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iago\Desktop\"/>
    </mc:Choice>
  </mc:AlternateContent>
  <xr:revisionPtr revIDLastSave="0" documentId="13_ncr:1_{2A00A43E-F445-4F69-9236-2618967DC928}" xr6:coauthVersionLast="47" xr6:coauthVersionMax="47" xr10:uidLastSave="{00000000-0000-0000-0000-000000000000}"/>
  <bookViews>
    <workbookView xWindow="19090" yWindow="-110" windowWidth="38620" windowHeight="21100" tabRatio="873" firstSheet="4" activeTab="5" xr2:uid="{00000000-000D-0000-FFFF-FFFF00000000}"/>
  </bookViews>
  <sheets>
    <sheet name="🔧 MongoDB Schema" sheetId="61" r:id="rId1"/>
    <sheet name="🔧 Ingestão Config" sheetId="62" r:id="rId2"/>
    <sheet name="📊 Dashboard" sheetId="40" r:id="rId3"/>
    <sheet name="Categorias" sheetId="44" r:id="rId4"/>
    <sheet name="Base de Dados POI" sheetId="6" r:id="rId5"/>
    <sheet name="🗺 Guia do Viajante" sheetId="2" r:id="rId6"/>
    <sheet name="🚌 Transportes" sheetId="3" r:id="rId7"/>
    <sheet name="Música Tradicional" sheetId="1" r:id="rId8"/>
    <sheet name="Sopas Típicas" sheetId="51" r:id="rId9"/>
    <sheet name="Barragens e Albufeiras" sheetId="4" r:id="rId10"/>
    <sheet name="Pratos Típicos" sheetId="48" r:id="rId11"/>
    <sheet name="Doçaria Regional" sheetId="50" r:id="rId12"/>
    <sheet name="Festivais de Música" sheetId="5" r:id="rId13"/>
    <sheet name="Festas e Romarias" sheetId="7" r:id="rId14"/>
    <sheet name="Percursos Pedestres" sheetId="8" r:id="rId15"/>
    <sheet name="Ofícios e Artesanato" sheetId="9" r:id="rId16"/>
    <sheet name="Mercados e Feiras" sheetId="10" r:id="rId17"/>
    <sheet name="Tabernas Históricas" sheetId="11" r:id="rId18"/>
    <sheet name="Museus" sheetId="12" r:id="rId19"/>
    <sheet name="Fauna Autóctone" sheetId="13" r:id="rId20"/>
    <sheet name="Flora Autóctone" sheetId="14" r:id="rId21"/>
    <sheet name="Aventura e Natureza" sheetId="15" r:id="rId22"/>
    <sheet name="Natureza Especializada" sheetId="16" r:id="rId23"/>
    <sheet name="Flora Botânica" sheetId="17" r:id="rId24"/>
    <sheet name="Castelos" sheetId="18" r:id="rId25"/>
    <sheet name="Palácios e Solares" sheetId="19" r:id="rId26"/>
    <sheet name="Surf" sheetId="20" r:id="rId27"/>
    <sheet name="Praias Fluviais" sheetId="21" r:id="rId28"/>
    <sheet name="Produtores DOP e Locais" sheetId="22" r:id="rId29"/>
    <sheet name="Restaurantes e Gastronomia" sheetId="30" r:id="rId30"/>
    <sheet name="Parques de Campismo" sheetId="25" r:id="rId31"/>
    <sheet name="Pousadas de Juventude" sheetId="27" r:id="rId32"/>
    <sheet name="Rotas Temáticas" sheetId="28" r:id="rId33"/>
    <sheet name="Grande Expedição 2026" sheetId="29" r:id="rId34"/>
    <sheet name="Biodiversidade | Avistamentos" sheetId="33" r:id="rId35"/>
    <sheet name="Miradouros Portugal" sheetId="34" r:id="rId36"/>
    <sheet name="Património Ferroviário" sheetId="35" r:id="rId37"/>
    <sheet name="Arte Urbana e Intervenção" sheetId="36" r:id="rId38"/>
    <sheet name="Cascatas e Poços Naturais" sheetId="37" r:id="rId39"/>
    <sheet name="Termas e Banhos" sheetId="38" r:id="rId40"/>
    <sheet name="Pérolas de Portugal" sheetId="41" r:id="rId41"/>
    <sheet name="Moinhos e Azenhas" sheetId="42" r:id="rId42"/>
    <sheet name="Arqueologia, Geologia e Mineral" sheetId="26" r:id="rId43"/>
    <sheet name="Ecovias e Passadiços" sheetId="43" r:id="rId44"/>
    <sheet name="Praias Bandeira Azul" sheetId="45" r:id="rId45"/>
    <sheet name="Faróis" sheetId="46" r:id="rId46"/>
    <sheet name="Alojamentos Rurais" sheetId="32" r:id="rId47"/>
    <sheet name="Entidades e Operadores" sheetId="31" r:id="rId48"/>
    <sheet name="Agentes Turísticos" sheetId="23" r:id="rId49"/>
    <sheet name="Agroturismo e Enoturismo" sheetId="39" r:id="rId50"/>
  </sheets>
  <definedNames>
    <definedName name="_xlnm._FilterDatabase" localSheetId="4" hidden="1">'Base de Dados POI'!$A$4:$M$222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44" l="1"/>
  <c r="E31" i="44"/>
  <c r="K86" i="8"/>
  <c r="K85" i="8"/>
  <c r="K84" i="8"/>
  <c r="K83" i="8"/>
  <c r="K82" i="8"/>
  <c r="K81" i="8"/>
  <c r="K80" i="8"/>
  <c r="K79" i="8"/>
  <c r="K78" i="8"/>
  <c r="K77" i="8"/>
  <c r="K76" i="8"/>
  <c r="K75" i="8"/>
  <c r="K74" i="8"/>
  <c r="K73" i="8"/>
  <c r="K72" i="8"/>
  <c r="K71" i="8"/>
  <c r="K70" i="8"/>
  <c r="K69" i="8"/>
  <c r="K68" i="8"/>
  <c r="K67" i="8"/>
  <c r="K66" i="8"/>
  <c r="K65" i="8"/>
  <c r="K64" i="8"/>
  <c r="K63" i="8"/>
  <c r="K62"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323" i="8"/>
  <c r="K322" i="8"/>
  <c r="K321" i="8"/>
  <c r="K320" i="8"/>
  <c r="K319" i="8"/>
  <c r="K318" i="8"/>
  <c r="K317" i="8"/>
  <c r="K316" i="8"/>
  <c r="K315" i="8"/>
  <c r="K314" i="8"/>
  <c r="K313" i="8"/>
  <c r="K312" i="8"/>
  <c r="K225" i="8"/>
  <c r="K224" i="8"/>
  <c r="K223" i="8"/>
  <c r="K222" i="8"/>
  <c r="K221" i="8"/>
  <c r="K220" i="8"/>
  <c r="K219" i="8"/>
  <c r="K218" i="8"/>
  <c r="K217" i="8"/>
  <c r="K216" i="8"/>
  <c r="K215" i="8"/>
  <c r="K214" i="8"/>
  <c r="K213" i="8"/>
  <c r="K212" i="8"/>
  <c r="K311" i="8"/>
  <c r="K310" i="8"/>
  <c r="K309" i="8"/>
  <c r="K308" i="8"/>
  <c r="K307" i="8"/>
  <c r="K306" i="8"/>
  <c r="K305" i="8"/>
  <c r="K304" i="8"/>
  <c r="K303" i="8"/>
  <c r="K302" i="8"/>
  <c r="K301" i="8"/>
  <c r="K300" i="8"/>
  <c r="K299" i="8"/>
  <c r="K298" i="8"/>
  <c r="K297" i="8"/>
  <c r="K296" i="8"/>
  <c r="K295"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K345" i="8"/>
  <c r="K387" i="8"/>
  <c r="K386" i="8"/>
  <c r="K385" i="8"/>
  <c r="K384" i="8"/>
  <c r="K383" i="8"/>
  <c r="K382" i="8"/>
  <c r="K381" i="8"/>
  <c r="K380" i="8"/>
  <c r="K379" i="8"/>
  <c r="K378" i="8"/>
  <c r="K377" i="8"/>
  <c r="K376" i="8"/>
  <c r="K375" i="8"/>
  <c r="K374" i="8"/>
  <c r="K373" i="8"/>
  <c r="K344" i="8"/>
  <c r="K343" i="8"/>
  <c r="K342" i="8"/>
  <c r="K341" i="8"/>
  <c r="K340" i="8"/>
  <c r="K339" i="8"/>
  <c r="K338" i="8"/>
  <c r="K337" i="8"/>
  <c r="K336" i="8"/>
  <c r="K335" i="8"/>
  <c r="K334" i="8"/>
  <c r="K333" i="8"/>
  <c r="K332" i="8"/>
  <c r="K331" i="8"/>
  <c r="K330" i="8"/>
  <c r="K329" i="8"/>
  <c r="K328" i="8"/>
  <c r="K327" i="8"/>
  <c r="K326" i="8"/>
  <c r="K32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34" i="8"/>
  <c r="K433" i="8"/>
  <c r="K431" i="8"/>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3" i="8"/>
  <c r="K402" i="8"/>
  <c r="K401" i="8"/>
  <c r="K400" i="8"/>
  <c r="K399" i="8"/>
  <c r="K398" i="8"/>
  <c r="K397" i="8"/>
  <c r="K396" i="8"/>
  <c r="K395" i="8"/>
  <c r="K394" i="8"/>
  <c r="K393" i="8"/>
  <c r="K392" i="8"/>
  <c r="K391" i="8"/>
  <c r="K390" i="8"/>
  <c r="K389" i="8"/>
  <c r="I178" i="28"/>
  <c r="I177" i="28"/>
  <c r="I176" i="28"/>
  <c r="I175" i="28"/>
  <c r="I174" i="28"/>
  <c r="I173" i="28"/>
  <c r="I172" i="28"/>
  <c r="I171" i="28"/>
  <c r="I170" i="28"/>
  <c r="I169" i="28"/>
  <c r="I168" i="28"/>
  <c r="I167" i="28"/>
  <c r="I166" i="28"/>
  <c r="I165" i="28"/>
  <c r="I164" i="28"/>
  <c r="I163" i="28"/>
  <c r="I162" i="28"/>
  <c r="I161" i="28"/>
  <c r="I160" i="28"/>
  <c r="I159" i="28"/>
  <c r="I157" i="28"/>
  <c r="I156" i="28"/>
  <c r="I155" i="28"/>
  <c r="I154" i="28"/>
  <c r="I153" i="28"/>
  <c r="I152" i="28"/>
  <c r="I151" i="28"/>
  <c r="I150" i="28"/>
  <c r="I149" i="28"/>
  <c r="I148" i="28"/>
  <c r="I147" i="28"/>
  <c r="I146" i="28"/>
  <c r="I145" i="28"/>
  <c r="I144" i="28"/>
  <c r="I143" i="28"/>
  <c r="I142" i="28"/>
  <c r="I141" i="28"/>
  <c r="I140" i="28"/>
  <c r="I139" i="28"/>
  <c r="I138" i="28"/>
  <c r="I137" i="28"/>
  <c r="I136" i="28"/>
  <c r="I135" i="28"/>
  <c r="I134" i="28"/>
  <c r="I133" i="28"/>
  <c r="I132" i="28"/>
  <c r="I131" i="28"/>
  <c r="I130" i="28"/>
  <c r="I129" i="28"/>
  <c r="I128" i="28"/>
  <c r="I127" i="28"/>
  <c r="I126" i="28"/>
  <c r="I125" i="28"/>
  <c r="I124" i="28"/>
  <c r="I123" i="28"/>
  <c r="I122" i="28"/>
  <c r="I121" i="28"/>
  <c r="I120" i="28"/>
  <c r="I119" i="28"/>
  <c r="I118" i="28"/>
  <c r="I117" i="28"/>
  <c r="I116" i="28"/>
  <c r="I115" i="28"/>
  <c r="I114" i="28"/>
  <c r="I113" i="28"/>
  <c r="I112" i="28"/>
  <c r="I111" i="28"/>
  <c r="I110" i="28"/>
  <c r="I109" i="28"/>
  <c r="I108" i="28"/>
  <c r="I107" i="28"/>
  <c r="I106" i="28"/>
  <c r="I105" i="28"/>
  <c r="I104" i="28"/>
  <c r="I103" i="28"/>
  <c r="I102" i="28"/>
  <c r="I101" i="28"/>
  <c r="I100" i="28"/>
  <c r="I99" i="28"/>
  <c r="I98" i="28"/>
  <c r="I97" i="28"/>
  <c r="I96" i="28"/>
  <c r="I95" i="28"/>
  <c r="I94" i="28"/>
  <c r="I93" i="28"/>
  <c r="I92" i="28"/>
  <c r="I91" i="28"/>
  <c r="I90" i="28"/>
  <c r="I89" i="28"/>
  <c r="I88" i="28"/>
  <c r="I87" i="28"/>
  <c r="I86" i="28"/>
  <c r="I85" i="28"/>
  <c r="I84" i="28"/>
  <c r="I83" i="28"/>
  <c r="I82" i="28"/>
  <c r="I81" i="28"/>
  <c r="I80" i="28"/>
  <c r="I79" i="28"/>
  <c r="I78" i="28"/>
  <c r="I77" i="28"/>
  <c r="I76" i="28"/>
  <c r="I75" i="28"/>
  <c r="I74" i="28"/>
  <c r="I73" i="28"/>
  <c r="I72" i="28"/>
  <c r="I71" i="28"/>
  <c r="I70" i="28"/>
  <c r="I69" i="28"/>
  <c r="I68" i="28"/>
  <c r="I67" i="28"/>
  <c r="I66" i="28"/>
  <c r="I65" i="28"/>
  <c r="I64" i="28"/>
  <c r="I63" i="28"/>
  <c r="I62" i="28"/>
  <c r="I61" i="28"/>
  <c r="I60" i="28"/>
  <c r="I59" i="28"/>
  <c r="I58" i="28"/>
  <c r="I57" i="28"/>
  <c r="I56" i="28"/>
  <c r="I55" i="28"/>
  <c r="I54" i="28"/>
  <c r="I53" i="28"/>
  <c r="I52" i="28"/>
  <c r="I51" i="28"/>
  <c r="I50" i="28"/>
  <c r="I49" i="28"/>
  <c r="I48" i="28"/>
  <c r="I47" i="28"/>
  <c r="I46" i="28"/>
  <c r="I45" i="28"/>
  <c r="I44" i="28"/>
  <c r="I43" i="28"/>
  <c r="I42" i="28"/>
  <c r="I41" i="28"/>
  <c r="I40" i="28"/>
  <c r="I39" i="28"/>
  <c r="I38" i="28"/>
  <c r="I37" i="28"/>
  <c r="I36" i="28"/>
  <c r="I35" i="28"/>
  <c r="I34" i="28"/>
  <c r="I33" i="28"/>
  <c r="I32" i="28"/>
  <c r="I31" i="28"/>
  <c r="I30" i="28"/>
  <c r="I29" i="28"/>
  <c r="I28" i="28"/>
  <c r="I27" i="28"/>
  <c r="I26" i="28"/>
  <c r="I25" i="28"/>
  <c r="I24" i="28"/>
  <c r="I23" i="28"/>
  <c r="I22" i="28"/>
  <c r="I21" i="28"/>
  <c r="I20" i="28"/>
  <c r="I19" i="28"/>
  <c r="I18" i="28"/>
  <c r="I17" i="28"/>
  <c r="I16" i="28"/>
  <c r="I15" i="28"/>
  <c r="I14" i="28"/>
  <c r="I13" i="28"/>
  <c r="I12" i="28"/>
  <c r="I11" i="28"/>
  <c r="I10" i="28"/>
  <c r="I9" i="28"/>
  <c r="I8" i="28"/>
  <c r="I7" i="28"/>
  <c r="I6" i="28"/>
  <c r="I5" i="28"/>
  <c r="K56" i="27"/>
  <c r="K55" i="27"/>
  <c r="K54" i="27"/>
  <c r="K52" i="27"/>
  <c r="K50" i="27"/>
  <c r="K49" i="27"/>
  <c r="K48" i="27"/>
  <c r="K47" i="27"/>
  <c r="K46" i="27"/>
  <c r="K45" i="27"/>
  <c r="K44" i="27"/>
  <c r="K42" i="27"/>
  <c r="K41" i="27"/>
  <c r="K40" i="27"/>
  <c r="K39" i="27"/>
  <c r="K38" i="27"/>
  <c r="K37" i="27"/>
  <c r="K36" i="27"/>
  <c r="K34" i="27"/>
  <c r="K33" i="27"/>
  <c r="K32" i="27"/>
  <c r="K31" i="27"/>
  <c r="K30" i="27"/>
  <c r="K29" i="27"/>
  <c r="K28" i="27"/>
  <c r="K26" i="27"/>
  <c r="K25" i="27"/>
  <c r="K24" i="27"/>
  <c r="K23" i="27"/>
  <c r="K22" i="27"/>
  <c r="K21" i="27"/>
  <c r="K20" i="27"/>
  <c r="K19" i="27"/>
  <c r="K18" i="27"/>
  <c r="K17" i="27"/>
  <c r="K16" i="27"/>
  <c r="K15" i="27"/>
  <c r="K13" i="27"/>
  <c r="K12" i="27"/>
  <c r="K11" i="27"/>
  <c r="K10" i="27"/>
  <c r="K9" i="27"/>
  <c r="K8" i="27"/>
  <c r="K7" i="27"/>
  <c r="K6" i="27"/>
  <c r="K5" i="27"/>
  <c r="J102" i="17"/>
  <c r="J101" i="17"/>
  <c r="J100" i="17"/>
  <c r="J99" i="17"/>
  <c r="J98" i="17"/>
  <c r="J97" i="17"/>
  <c r="J96" i="17"/>
  <c r="J95" i="17"/>
  <c r="J94" i="17"/>
  <c r="J93" i="17"/>
  <c r="J92" i="17"/>
  <c r="J91" i="17"/>
  <c r="J90" i="17"/>
  <c r="J88" i="17"/>
  <c r="J87" i="17"/>
  <c r="J86" i="17"/>
  <c r="J85" i="17"/>
  <c r="J84" i="17"/>
  <c r="J83" i="17"/>
  <c r="J82" i="17"/>
  <c r="J81" i="17"/>
  <c r="J80" i="17"/>
  <c r="J79" i="17"/>
  <c r="J78" i="17"/>
  <c r="J77" i="17"/>
  <c r="J75" i="17"/>
  <c r="J74" i="17"/>
  <c r="J73" i="17"/>
  <c r="J72" i="17"/>
  <c r="J71" i="17"/>
  <c r="J69" i="17"/>
  <c r="J68" i="17"/>
  <c r="J67" i="17"/>
  <c r="J66" i="17"/>
  <c r="J65" i="17"/>
  <c r="J64" i="17"/>
  <c r="J62" i="17"/>
  <c r="J61" i="17"/>
  <c r="J60" i="17"/>
  <c r="J59" i="17"/>
  <c r="J58" i="17"/>
  <c r="J57" i="17"/>
  <c r="J56" i="17"/>
  <c r="J55" i="17"/>
  <c r="J54" i="17"/>
  <c r="J53" i="17"/>
  <c r="J52" i="17"/>
  <c r="J51" i="17"/>
  <c r="J50" i="17"/>
  <c r="J49" i="17"/>
  <c r="J48" i="17"/>
  <c r="J47" i="17"/>
  <c r="J45" i="17"/>
  <c r="J44" i="17"/>
  <c r="J43" i="17"/>
  <c r="J42" i="17"/>
  <c r="J41" i="17"/>
  <c r="J40" i="17"/>
  <c r="J39" i="17"/>
  <c r="J38" i="17"/>
  <c r="J37" i="17"/>
  <c r="J36" i="17"/>
  <c r="J35" i="17"/>
  <c r="J34" i="17"/>
  <c r="J33" i="17"/>
  <c r="J32" i="17"/>
  <c r="J31" i="17"/>
  <c r="J30" i="17"/>
  <c r="J29" i="17"/>
  <c r="J28" i="17"/>
  <c r="J27" i="17"/>
  <c r="J25" i="17"/>
  <c r="J24" i="17"/>
  <c r="J23" i="17"/>
  <c r="J22" i="17"/>
  <c r="J21" i="17"/>
  <c r="J20" i="17"/>
  <c r="J19" i="17"/>
  <c r="J18" i="17"/>
  <c r="J17" i="17"/>
  <c r="J16" i="17"/>
  <c r="J15" i="17"/>
  <c r="J14" i="17"/>
  <c r="J13" i="17"/>
  <c r="J12" i="17"/>
  <c r="J11" i="17"/>
  <c r="J10" i="17"/>
  <c r="J9" i="17"/>
  <c r="J8" i="17"/>
  <c r="J7" i="17"/>
  <c r="J6" i="17"/>
  <c r="J5" i="17"/>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5" i="26"/>
  <c r="I74" i="26"/>
  <c r="I73" i="26"/>
  <c r="I72" i="26"/>
  <c r="I71" i="26"/>
  <c r="I70" i="26"/>
  <c r="I69" i="26"/>
  <c r="I68" i="26"/>
  <c r="I67" i="26"/>
  <c r="I66" i="26"/>
  <c r="I65" i="26"/>
  <c r="I64" i="26"/>
  <c r="I59" i="26"/>
  <c r="I58" i="26"/>
  <c r="I57" i="26"/>
  <c r="I56" i="26"/>
  <c r="I55" i="26"/>
  <c r="I54" i="26"/>
  <c r="I53" i="26"/>
  <c r="I52" i="26"/>
  <c r="I51" i="26"/>
  <c r="I49" i="26"/>
  <c r="I48" i="26"/>
  <c r="I47" i="26"/>
  <c r="I46" i="26"/>
  <c r="I45" i="26"/>
  <c r="I43" i="26"/>
  <c r="I42" i="26"/>
  <c r="I41" i="26"/>
  <c r="I40" i="26"/>
  <c r="I39" i="26"/>
  <c r="I38" i="26"/>
  <c r="I37" i="26"/>
  <c r="I36" i="26"/>
  <c r="I34" i="26"/>
  <c r="I33" i="26"/>
  <c r="I32" i="26"/>
  <c r="I31" i="26"/>
  <c r="I30" i="26"/>
  <c r="I28" i="26"/>
  <c r="I27" i="26"/>
  <c r="I26" i="26"/>
  <c r="I25" i="26"/>
  <c r="I24" i="26"/>
  <c r="I23" i="26"/>
  <c r="I22" i="26"/>
  <c r="I21" i="26"/>
  <c r="I20" i="26"/>
  <c r="I19" i="26"/>
  <c r="I17" i="26"/>
  <c r="I16" i="26"/>
  <c r="I15" i="26"/>
  <c r="I14" i="26"/>
  <c r="I13" i="26"/>
  <c r="I12" i="26"/>
  <c r="I11" i="26"/>
  <c r="I10" i="26"/>
  <c r="I9" i="26"/>
  <c r="I8" i="26"/>
  <c r="I7" i="26"/>
  <c r="I6" i="26"/>
  <c r="I5" i="26"/>
  <c r="I53" i="42"/>
  <c r="I52" i="42"/>
  <c r="I51" i="42"/>
  <c r="I50" i="42"/>
  <c r="I49" i="42"/>
  <c r="I48" i="42"/>
  <c r="I47" i="42"/>
  <c r="I46" i="42"/>
  <c r="I45" i="42"/>
  <c r="I44" i="42"/>
  <c r="I43" i="42"/>
  <c r="I42" i="42"/>
  <c r="I41" i="42"/>
  <c r="I40" i="42"/>
  <c r="I39" i="42"/>
  <c r="I38" i="42"/>
  <c r="I37" i="42"/>
  <c r="I36" i="42"/>
  <c r="I35" i="42"/>
  <c r="I34" i="42"/>
  <c r="I33" i="42"/>
  <c r="I32" i="42"/>
  <c r="I31" i="42"/>
  <c r="I30" i="42"/>
  <c r="I29" i="42"/>
  <c r="I28" i="42"/>
  <c r="I27" i="42"/>
  <c r="I26" i="42"/>
  <c r="I25" i="42"/>
  <c r="I24" i="42"/>
  <c r="I23" i="42"/>
  <c r="I22" i="42"/>
  <c r="I21" i="42"/>
  <c r="I20" i="42"/>
  <c r="I19" i="42"/>
  <c r="I18" i="42"/>
  <c r="I17" i="42"/>
  <c r="I16" i="42"/>
  <c r="I15" i="42"/>
  <c r="I14" i="42"/>
  <c r="I13" i="42"/>
  <c r="I12" i="42"/>
  <c r="I11" i="42"/>
  <c r="I10" i="42"/>
  <c r="I9" i="42"/>
  <c r="I8" i="42"/>
  <c r="I7" i="42"/>
  <c r="I6" i="42"/>
  <c r="I5" i="42"/>
  <c r="I4" i="42"/>
  <c r="K89" i="38"/>
  <c r="K88" i="38"/>
  <c r="K87" i="38"/>
  <c r="K85" i="38"/>
  <c r="K84" i="38"/>
  <c r="K83" i="38"/>
  <c r="K82" i="38"/>
  <c r="K81" i="38"/>
  <c r="K80" i="38"/>
  <c r="K79" i="38"/>
  <c r="K78" i="38"/>
  <c r="K77" i="38"/>
  <c r="K76" i="38"/>
  <c r="K75" i="38"/>
  <c r="K74" i="38"/>
  <c r="K72" i="38"/>
  <c r="K71" i="38"/>
  <c r="K69" i="38"/>
  <c r="K68" i="38"/>
  <c r="K66" i="38"/>
  <c r="K65" i="38"/>
  <c r="K64" i="38"/>
  <c r="K63" i="38"/>
  <c r="K62" i="38"/>
  <c r="K61" i="38"/>
  <c r="K59" i="38"/>
  <c r="K58" i="38"/>
  <c r="K57" i="38"/>
  <c r="K56" i="38"/>
  <c r="K55" i="38"/>
  <c r="K54" i="38"/>
  <c r="K53" i="38"/>
  <c r="K52" i="38"/>
  <c r="K51" i="38"/>
  <c r="K50" i="38"/>
  <c r="K49" i="38"/>
  <c r="K48" i="38"/>
  <c r="K47" i="38"/>
  <c r="K46" i="38"/>
  <c r="K45" i="38"/>
  <c r="K44" i="38"/>
  <c r="K43" i="38"/>
  <c r="K42" i="38"/>
  <c r="K41" i="38"/>
  <c r="K40" i="38"/>
  <c r="K39" i="38"/>
  <c r="K38" i="38"/>
  <c r="K37" i="38"/>
  <c r="K36" i="38"/>
  <c r="K35" i="38"/>
  <c r="K34" i="38"/>
  <c r="K33" i="38"/>
  <c r="K32" i="38"/>
  <c r="K31" i="38"/>
  <c r="K29" i="38"/>
  <c r="K28" i="38"/>
  <c r="K27" i="38"/>
  <c r="K26" i="38"/>
  <c r="K25" i="38"/>
  <c r="K24" i="38"/>
  <c r="K23" i="38"/>
  <c r="K22" i="38"/>
  <c r="K21" i="38"/>
  <c r="K20" i="38"/>
  <c r="K19" i="38"/>
  <c r="K18" i="38"/>
  <c r="K17" i="38"/>
  <c r="K16" i="38"/>
  <c r="K15" i="38"/>
  <c r="K14" i="38"/>
  <c r="K13" i="38"/>
  <c r="K12" i="38"/>
  <c r="K11" i="38"/>
  <c r="K10" i="38"/>
  <c r="K9" i="38"/>
  <c r="K8" i="38"/>
  <c r="K7" i="38"/>
  <c r="K6" i="38"/>
  <c r="K5" i="38"/>
  <c r="J213" i="35"/>
  <c r="J212" i="35"/>
  <c r="J211" i="35"/>
  <c r="J210" i="35"/>
  <c r="J209" i="35"/>
  <c r="J207" i="35"/>
  <c r="J206" i="35"/>
  <c r="J205" i="35"/>
  <c r="J204" i="35"/>
  <c r="J203" i="35"/>
  <c r="J201" i="35"/>
  <c r="J200" i="35"/>
  <c r="J199" i="35"/>
  <c r="J198" i="35"/>
  <c r="J197" i="35"/>
  <c r="J196" i="35"/>
  <c r="J195" i="35"/>
  <c r="J194" i="35"/>
  <c r="J193" i="35"/>
  <c r="J192" i="35"/>
  <c r="J191" i="35"/>
  <c r="J190" i="35"/>
  <c r="J189" i="35"/>
  <c r="J188" i="35"/>
  <c r="J187" i="35"/>
  <c r="J186" i="35"/>
  <c r="J185" i="35"/>
  <c r="J184" i="35"/>
  <c r="J183" i="35"/>
  <c r="J182" i="35"/>
  <c r="J181" i="35"/>
  <c r="J180" i="35"/>
  <c r="J179" i="35"/>
  <c r="J178" i="35"/>
  <c r="J177" i="35"/>
  <c r="J176" i="35"/>
  <c r="J175" i="35"/>
  <c r="J174" i="35"/>
  <c r="J173" i="35"/>
  <c r="J172" i="35"/>
  <c r="J171" i="35"/>
  <c r="J170" i="35"/>
  <c r="J169" i="35"/>
  <c r="J168" i="35"/>
  <c r="J167" i="35"/>
  <c r="J166" i="35"/>
  <c r="J165" i="35"/>
  <c r="J164" i="35"/>
  <c r="J163" i="35"/>
  <c r="J162" i="35"/>
  <c r="J160" i="35"/>
  <c r="J159" i="35"/>
  <c r="J158" i="35"/>
  <c r="J157" i="35"/>
  <c r="J156" i="35"/>
  <c r="J155" i="35"/>
  <c r="J154" i="35"/>
  <c r="J153" i="35"/>
  <c r="J152" i="35"/>
  <c r="J151" i="35"/>
  <c r="J150" i="35"/>
  <c r="J149" i="35"/>
  <c r="J148" i="35"/>
  <c r="J147" i="35"/>
  <c r="J146" i="35"/>
  <c r="J145" i="35"/>
  <c r="J144" i="35"/>
  <c r="J143" i="35"/>
  <c r="J142" i="35"/>
  <c r="J141" i="35"/>
  <c r="J140" i="35"/>
  <c r="J139" i="35"/>
  <c r="J138" i="35"/>
  <c r="J137" i="35"/>
  <c r="J136" i="35"/>
  <c r="J135" i="35"/>
  <c r="J134" i="35"/>
  <c r="J133" i="35"/>
  <c r="J132" i="35"/>
  <c r="J131" i="35"/>
  <c r="J130" i="35"/>
  <c r="J129" i="35"/>
  <c r="J128" i="35"/>
  <c r="J126" i="35"/>
  <c r="J125" i="35"/>
  <c r="J124" i="35"/>
  <c r="J123" i="35"/>
  <c r="J122" i="35"/>
  <c r="J121" i="35"/>
  <c r="J120" i="35"/>
  <c r="J119" i="35"/>
  <c r="J118" i="35"/>
  <c r="J117" i="35"/>
  <c r="J116" i="35"/>
  <c r="J115" i="35"/>
  <c r="J114" i="35"/>
  <c r="J113" i="35"/>
  <c r="J112" i="35"/>
  <c r="J111" i="35"/>
  <c r="J110" i="35"/>
  <c r="J109" i="35"/>
  <c r="J108" i="35"/>
  <c r="J107" i="35"/>
  <c r="J106" i="35"/>
  <c r="J105" i="35"/>
  <c r="J104" i="35"/>
  <c r="J103" i="35"/>
  <c r="J102" i="35"/>
  <c r="J101" i="35"/>
  <c r="J100" i="35"/>
  <c r="J99" i="35"/>
  <c r="J98" i="35"/>
  <c r="J97" i="35"/>
  <c r="J96" i="35"/>
  <c r="J95" i="35"/>
  <c r="J94" i="35"/>
  <c r="J93" i="35"/>
  <c r="J92" i="35"/>
  <c r="J91" i="35"/>
  <c r="J90" i="35"/>
  <c r="J89" i="35"/>
  <c r="J88" i="35"/>
  <c r="J87" i="35"/>
  <c r="J85" i="35"/>
  <c r="J84" i="35"/>
  <c r="J83" i="35"/>
  <c r="J82" i="35"/>
  <c r="J81" i="35"/>
  <c r="J80" i="35"/>
  <c r="J79" i="35"/>
  <c r="J78" i="35"/>
  <c r="J77" i="35"/>
  <c r="J76" i="35"/>
  <c r="J75" i="35"/>
  <c r="J74" i="35"/>
  <c r="J73" i="35"/>
  <c r="J72" i="35"/>
  <c r="J71" i="35"/>
  <c r="J70" i="35"/>
  <c r="J69" i="35"/>
  <c r="J68" i="35"/>
  <c r="J67" i="35"/>
  <c r="J66" i="35"/>
  <c r="J65" i="35"/>
  <c r="J64" i="35"/>
  <c r="J63" i="35"/>
  <c r="J62" i="35"/>
  <c r="J61" i="35"/>
  <c r="J60" i="35"/>
  <c r="J59" i="35"/>
  <c r="J58" i="35"/>
  <c r="J57" i="35"/>
  <c r="J56" i="35"/>
  <c r="J55" i="35"/>
  <c r="J54" i="35"/>
  <c r="J53" i="35"/>
  <c r="J52" i="35"/>
  <c r="J51" i="35"/>
  <c r="J50" i="35"/>
  <c r="J49" i="35"/>
  <c r="J48" i="35"/>
  <c r="J47" i="35"/>
  <c r="J46"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13" i="35"/>
  <c r="J12" i="35"/>
  <c r="J11" i="35"/>
  <c r="J10" i="35"/>
  <c r="J9" i="35"/>
  <c r="J8" i="35"/>
  <c r="J7" i="35"/>
  <c r="J6" i="35"/>
  <c r="J5" i="35"/>
  <c r="I113" i="39"/>
  <c r="G113" i="39"/>
  <c r="I112" i="39"/>
  <c r="G112" i="39"/>
  <c r="I80" i="39"/>
  <c r="G80" i="39"/>
  <c r="I79" i="39"/>
  <c r="G79" i="39"/>
  <c r="I78" i="39"/>
  <c r="G78" i="39"/>
  <c r="I38" i="39"/>
  <c r="G38" i="39"/>
  <c r="I37" i="39"/>
  <c r="G37" i="39"/>
  <c r="I36" i="39"/>
  <c r="G36" i="39"/>
  <c r="I35" i="39"/>
  <c r="G35" i="39"/>
  <c r="I559" i="45"/>
  <c r="I558" i="45"/>
  <c r="I556" i="45"/>
  <c r="I555" i="45"/>
  <c r="I554" i="45"/>
  <c r="I553" i="45"/>
  <c r="I552" i="45"/>
  <c r="I551" i="45"/>
  <c r="I550" i="45"/>
  <c r="I549" i="45"/>
  <c r="I548" i="45"/>
  <c r="I547" i="45"/>
  <c r="I546" i="45"/>
  <c r="I544" i="45"/>
  <c r="I543" i="45"/>
  <c r="I542" i="45"/>
  <c r="I541" i="45"/>
  <c r="I540" i="45"/>
  <c r="I538" i="45"/>
  <c r="I537" i="45"/>
  <c r="I535" i="45"/>
  <c r="I534" i="45"/>
  <c r="I533" i="45"/>
  <c r="I532" i="45"/>
  <c r="I531" i="45"/>
  <c r="I530" i="45"/>
  <c r="I529" i="45"/>
  <c r="I527" i="45"/>
  <c r="I526" i="45"/>
  <c r="I525" i="45"/>
  <c r="I523" i="45"/>
  <c r="I521" i="45"/>
  <c r="I519" i="45"/>
  <c r="I518" i="45"/>
  <c r="I517" i="45"/>
  <c r="I515" i="45"/>
  <c r="I514" i="45"/>
  <c r="I512" i="45"/>
  <c r="I511" i="45"/>
  <c r="I509" i="45"/>
  <c r="I508" i="45"/>
  <c r="I507" i="45"/>
  <c r="I506" i="45"/>
  <c r="I505" i="45"/>
  <c r="I504" i="45"/>
  <c r="I502" i="45"/>
  <c r="I500" i="45"/>
  <c r="I499" i="45"/>
  <c r="I498" i="45"/>
  <c r="I497" i="45"/>
  <c r="I496" i="45"/>
  <c r="I494" i="45"/>
  <c r="I493" i="45"/>
  <c r="I492" i="45"/>
  <c r="I491" i="45"/>
  <c r="I490" i="45"/>
  <c r="I488" i="45"/>
  <c r="I486" i="45"/>
  <c r="I484" i="45"/>
  <c r="I482" i="45"/>
  <c r="I481" i="45"/>
  <c r="I480" i="45"/>
  <c r="I479" i="45"/>
  <c r="I478" i="45"/>
  <c r="I477" i="45"/>
  <c r="I476" i="45"/>
  <c r="I475" i="45"/>
  <c r="I474" i="45"/>
  <c r="I473" i="45"/>
  <c r="I472" i="45"/>
  <c r="I470" i="45"/>
  <c r="I469" i="45"/>
  <c r="I467" i="45"/>
  <c r="I465" i="45"/>
  <c r="I464" i="45"/>
  <c r="I463" i="45"/>
  <c r="I462" i="45"/>
  <c r="I461" i="45"/>
  <c r="I460" i="45"/>
  <c r="I459" i="45"/>
  <c r="I458" i="45"/>
  <c r="I457" i="45"/>
  <c r="I456" i="45"/>
  <c r="I454" i="45"/>
  <c r="I453" i="45"/>
  <c r="I451" i="45"/>
  <c r="I449" i="45"/>
  <c r="I448" i="45"/>
  <c r="I445" i="45"/>
  <c r="I443" i="45"/>
  <c r="I442" i="45"/>
  <c r="I441" i="45"/>
  <c r="I440" i="45"/>
  <c r="I439" i="45"/>
  <c r="I438" i="45"/>
  <c r="I437" i="45"/>
  <c r="I436" i="45"/>
  <c r="I435" i="45"/>
  <c r="I434" i="45"/>
  <c r="I433" i="45"/>
  <c r="I432" i="45"/>
  <c r="I431" i="45"/>
  <c r="I430" i="45"/>
  <c r="I429" i="45"/>
  <c r="I428" i="45"/>
  <c r="I427" i="45"/>
  <c r="I426" i="45"/>
  <c r="I425" i="45"/>
  <c r="I423" i="45"/>
  <c r="I422" i="45"/>
  <c r="I421" i="45"/>
  <c r="I420" i="45"/>
  <c r="I419" i="45"/>
  <c r="I417" i="45"/>
  <c r="I416" i="45"/>
  <c r="I415" i="45"/>
  <c r="I414" i="45"/>
  <c r="I413" i="45"/>
  <c r="I412" i="45"/>
  <c r="I411" i="45"/>
  <c r="I410" i="45"/>
  <c r="I409" i="45"/>
  <c r="I408" i="45"/>
  <c r="I407" i="45"/>
  <c r="I405" i="45"/>
  <c r="I404" i="45"/>
  <c r="I403" i="45"/>
  <c r="I402" i="45"/>
  <c r="I401" i="45"/>
  <c r="I400" i="45"/>
  <c r="I399" i="45"/>
  <c r="I398" i="45"/>
  <c r="I396" i="45"/>
  <c r="I395" i="45"/>
  <c r="I394" i="45"/>
  <c r="I393" i="45"/>
  <c r="I391" i="45"/>
  <c r="I389" i="45"/>
  <c r="I388" i="45"/>
  <c r="I387" i="45"/>
  <c r="I386" i="45"/>
  <c r="I385" i="45"/>
  <c r="I384" i="45"/>
  <c r="I383" i="45"/>
  <c r="I382" i="45"/>
  <c r="I381" i="45"/>
  <c r="I380" i="45"/>
  <c r="I379" i="45"/>
  <c r="I378" i="45"/>
  <c r="I377" i="45"/>
  <c r="I376" i="45"/>
  <c r="I375" i="45"/>
  <c r="I374" i="45"/>
  <c r="I373" i="45"/>
  <c r="I371" i="45"/>
  <c r="I370" i="45"/>
  <c r="I369" i="45"/>
  <c r="I368" i="45"/>
  <c r="I366" i="45"/>
  <c r="I364" i="45"/>
  <c r="I362" i="45"/>
  <c r="I361" i="45"/>
  <c r="I360" i="45"/>
  <c r="I359" i="45"/>
  <c r="I357" i="45"/>
  <c r="I356" i="45"/>
  <c r="I355" i="45"/>
  <c r="I353" i="45"/>
  <c r="I352" i="45"/>
  <c r="I351" i="45"/>
  <c r="I350" i="45"/>
  <c r="I348" i="45"/>
  <c r="I347" i="45"/>
  <c r="I346" i="45"/>
  <c r="I343" i="45"/>
  <c r="I341" i="45"/>
  <c r="I340" i="45"/>
  <c r="I338" i="45"/>
  <c r="I336" i="45"/>
  <c r="I335" i="45"/>
  <c r="I334" i="45"/>
  <c r="I333" i="45"/>
  <c r="I331" i="45"/>
  <c r="I329" i="45"/>
  <c r="I328" i="45"/>
  <c r="I327" i="45"/>
  <c r="I326" i="45"/>
  <c r="I324" i="45"/>
  <c r="I323" i="45"/>
  <c r="I322" i="45"/>
  <c r="I321" i="45"/>
  <c r="I320" i="45"/>
  <c r="I319" i="45"/>
  <c r="I318" i="45"/>
  <c r="I317" i="45"/>
  <c r="I316" i="45"/>
  <c r="I315" i="45"/>
  <c r="I313" i="45"/>
  <c r="I312" i="45"/>
  <c r="I311" i="45"/>
  <c r="I310" i="45"/>
  <c r="I309" i="45"/>
  <c r="I308" i="45"/>
  <c r="I305" i="45"/>
  <c r="I304" i="45"/>
  <c r="I303" i="45"/>
  <c r="I301" i="45"/>
  <c r="I299" i="45"/>
  <c r="I297" i="45"/>
  <c r="I296" i="45"/>
  <c r="I294" i="45"/>
  <c r="I292" i="45"/>
  <c r="I291" i="45"/>
  <c r="I290" i="45"/>
  <c r="I288" i="45"/>
  <c r="I287" i="45"/>
  <c r="I286" i="45"/>
  <c r="I284" i="45"/>
  <c r="I283" i="45"/>
  <c r="I282" i="45"/>
  <c r="I280" i="45"/>
  <c r="I278" i="45"/>
  <c r="I277" i="45"/>
  <c r="I275" i="45"/>
  <c r="I274" i="45"/>
  <c r="I272" i="45"/>
  <c r="I271" i="45"/>
  <c r="I270" i="45"/>
  <c r="I268" i="45"/>
  <c r="I267" i="45"/>
  <c r="I266" i="45"/>
  <c r="I265" i="45"/>
  <c r="I263" i="45"/>
  <c r="I261" i="45"/>
  <c r="I260" i="45"/>
  <c r="I259" i="45"/>
  <c r="I258" i="45"/>
  <c r="I257" i="45"/>
  <c r="I256" i="45"/>
  <c r="I255" i="45"/>
  <c r="I254" i="45"/>
  <c r="I253" i="45"/>
  <c r="I252" i="45"/>
  <c r="I251" i="45"/>
  <c r="I249" i="45"/>
  <c r="I248" i="45"/>
  <c r="I246" i="45"/>
  <c r="I245" i="45"/>
  <c r="I244" i="45"/>
  <c r="I243" i="45"/>
  <c r="I241" i="45"/>
  <c r="I240" i="45"/>
  <c r="I238" i="45"/>
  <c r="I235" i="45"/>
  <c r="I234" i="45"/>
  <c r="I233" i="45"/>
  <c r="I232" i="45"/>
  <c r="I230" i="45"/>
  <c r="I229" i="45"/>
  <c r="I228" i="45"/>
  <c r="I227" i="45"/>
  <c r="I226" i="45"/>
  <c r="I225" i="45"/>
  <c r="I224" i="45"/>
  <c r="I223" i="45"/>
  <c r="I222" i="45"/>
  <c r="I221" i="45"/>
  <c r="I219" i="45"/>
  <c r="I218" i="45"/>
  <c r="I217" i="45"/>
  <c r="I216" i="45"/>
  <c r="I214" i="45"/>
  <c r="I213" i="45"/>
  <c r="I211" i="45"/>
  <c r="I210" i="45"/>
  <c r="I209" i="45"/>
  <c r="I208" i="45"/>
  <c r="I207" i="45"/>
  <c r="I206" i="45"/>
  <c r="I205" i="45"/>
  <c r="I204" i="45"/>
  <c r="I203" i="45"/>
  <c r="I201" i="45"/>
  <c r="I200" i="45"/>
  <c r="I199" i="45"/>
  <c r="I198" i="45"/>
  <c r="I196" i="45"/>
  <c r="I195" i="45"/>
  <c r="I194" i="45"/>
  <c r="I193" i="45"/>
  <c r="I192" i="45"/>
  <c r="I191" i="45"/>
  <c r="I190" i="45"/>
  <c r="I189" i="45"/>
  <c r="I188" i="45"/>
  <c r="I187" i="45"/>
  <c r="I186" i="45"/>
  <c r="I184" i="45"/>
  <c r="I183" i="45"/>
  <c r="I182" i="45"/>
  <c r="I181" i="45"/>
  <c r="I179" i="45"/>
  <c r="I178" i="45"/>
  <c r="I177" i="45"/>
  <c r="I176" i="45"/>
  <c r="I175" i="45"/>
  <c r="I174" i="45"/>
  <c r="I172" i="45"/>
  <c r="I171" i="45"/>
  <c r="I170" i="45"/>
  <c r="I169" i="45"/>
  <c r="I167" i="45"/>
  <c r="I166" i="45"/>
  <c r="I165" i="45"/>
  <c r="I163" i="45"/>
  <c r="I162" i="45"/>
  <c r="I161" i="45"/>
  <c r="I160" i="45"/>
  <c r="I158" i="45"/>
  <c r="I157" i="45"/>
  <c r="I156" i="45"/>
  <c r="I155" i="45"/>
  <c r="I154" i="45"/>
  <c r="I153" i="45"/>
  <c r="I152" i="45"/>
  <c r="I151" i="45"/>
  <c r="I150" i="45"/>
  <c r="I149" i="45"/>
  <c r="I148" i="45"/>
  <c r="I147" i="45"/>
  <c r="I146" i="45"/>
  <c r="I145" i="45"/>
  <c r="I144" i="45"/>
  <c r="I143" i="45"/>
  <c r="I142" i="45"/>
  <c r="I141" i="45"/>
  <c r="I140" i="45"/>
  <c r="I139" i="45"/>
  <c r="I138" i="45"/>
  <c r="I137" i="45"/>
  <c r="I136" i="45"/>
  <c r="I135" i="45"/>
  <c r="I134" i="45"/>
  <c r="I133" i="45"/>
  <c r="I130" i="45"/>
  <c r="I129" i="45"/>
  <c r="I128" i="45"/>
  <c r="I127" i="45"/>
  <c r="I125" i="45"/>
  <c r="I124" i="45"/>
  <c r="I123" i="45"/>
  <c r="I121" i="45"/>
  <c r="I120" i="45"/>
  <c r="I118" i="45"/>
  <c r="I117" i="45"/>
  <c r="I116" i="45"/>
  <c r="I114" i="45"/>
  <c r="I112" i="45"/>
  <c r="I111" i="45"/>
  <c r="I109" i="45"/>
  <c r="I108" i="45"/>
  <c r="I107" i="45"/>
  <c r="I106" i="45"/>
  <c r="I105" i="45"/>
  <c r="I104" i="45"/>
  <c r="I103" i="45"/>
  <c r="I102" i="45"/>
  <c r="I101" i="45"/>
  <c r="I100" i="45"/>
  <c r="I99" i="45"/>
  <c r="I97" i="45"/>
  <c r="I95" i="45"/>
  <c r="I93" i="45"/>
  <c r="I91" i="45"/>
  <c r="I90" i="45"/>
  <c r="I89" i="45"/>
  <c r="I88" i="45"/>
  <c r="I87" i="45"/>
  <c r="I86" i="45"/>
  <c r="I85" i="45"/>
  <c r="I84" i="45"/>
  <c r="I83" i="45"/>
  <c r="I82" i="45"/>
  <c r="I81" i="45"/>
  <c r="I79" i="45"/>
  <c r="I77" i="45"/>
  <c r="I75" i="45"/>
  <c r="I72" i="45"/>
  <c r="I71" i="45"/>
  <c r="I70" i="45"/>
  <c r="I69" i="45"/>
  <c r="I68" i="45"/>
  <c r="I67" i="45"/>
  <c r="I66" i="45"/>
  <c r="I65" i="45"/>
  <c r="I63" i="45"/>
  <c r="I62" i="45"/>
  <c r="I61" i="45"/>
  <c r="I60" i="45"/>
  <c r="I58" i="45"/>
  <c r="I56" i="45"/>
  <c r="I55" i="45"/>
  <c r="I54" i="45"/>
  <c r="I53" i="45"/>
  <c r="I51" i="45"/>
  <c r="I50" i="45"/>
  <c r="I49" i="45"/>
  <c r="I48" i="45"/>
  <c r="I47" i="45"/>
  <c r="I45" i="45"/>
  <c r="I44" i="45"/>
  <c r="I43" i="45"/>
  <c r="I42" i="45"/>
  <c r="I41" i="45"/>
  <c r="I40" i="45"/>
  <c r="I39" i="45"/>
  <c r="I38" i="45"/>
  <c r="I37" i="45"/>
  <c r="I35" i="45"/>
  <c r="I34" i="45"/>
  <c r="I33" i="45"/>
  <c r="I31" i="45"/>
  <c r="I30" i="45"/>
  <c r="I29" i="45"/>
  <c r="I28" i="45"/>
  <c r="I27" i="45"/>
  <c r="I26" i="45"/>
  <c r="I24" i="45"/>
  <c r="I22" i="45"/>
  <c r="I21" i="45"/>
  <c r="I20" i="45"/>
  <c r="I18" i="45"/>
  <c r="I17" i="45"/>
  <c r="I16" i="45"/>
  <c r="I15" i="45"/>
  <c r="I14" i="45"/>
  <c r="I12" i="45"/>
  <c r="I11" i="45"/>
  <c r="I10" i="45"/>
  <c r="I9" i="45"/>
  <c r="I8" i="45"/>
  <c r="I7" i="45"/>
  <c r="I6" i="45"/>
  <c r="I116"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104" i="13"/>
  <c r="I103" i="13"/>
  <c r="I102" i="13"/>
  <c r="I101" i="13"/>
  <c r="I100" i="13"/>
  <c r="I99" i="13"/>
  <c r="I98" i="13"/>
  <c r="I97" i="13"/>
  <c r="I96" i="13"/>
  <c r="I95" i="13"/>
  <c r="I94" i="13"/>
  <c r="I93" i="13"/>
  <c r="I92" i="13"/>
  <c r="I91" i="13"/>
  <c r="I90" i="13"/>
  <c r="I89" i="13"/>
  <c r="I88" i="13"/>
  <c r="I87" i="13"/>
  <c r="I86" i="13"/>
  <c r="I85" i="13"/>
  <c r="I84" i="13"/>
  <c r="I83" i="13"/>
  <c r="I82" i="13"/>
  <c r="I81" i="13"/>
  <c r="I80" i="13"/>
  <c r="I79" i="13"/>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7" i="13"/>
  <c r="I6" i="13"/>
  <c r="I5" i="13"/>
  <c r="I111" i="16"/>
  <c r="I110" i="16"/>
  <c r="I109" i="16"/>
  <c r="I108" i="16"/>
  <c r="I106" i="16"/>
  <c r="I105" i="16"/>
  <c r="I104" i="16"/>
  <c r="I103" i="16"/>
  <c r="I102" i="16"/>
  <c r="I101" i="16"/>
  <c r="I100" i="16"/>
  <c r="I98" i="16"/>
  <c r="I97" i="16"/>
  <c r="I96" i="16"/>
  <c r="I95" i="16"/>
  <c r="I94" i="16"/>
  <c r="I93" i="16"/>
  <c r="I92" i="16"/>
  <c r="I91" i="16"/>
  <c r="I90" i="16"/>
  <c r="I89" i="16"/>
  <c r="I88" i="16"/>
  <c r="I87" i="16"/>
  <c r="I86" i="16"/>
  <c r="I85" i="16"/>
  <c r="I84" i="16"/>
  <c r="I82" i="16"/>
  <c r="I81" i="16"/>
  <c r="I80" i="16"/>
  <c r="I79" i="16"/>
  <c r="I78" i="16"/>
  <c r="I77" i="16"/>
  <c r="I76" i="16"/>
  <c r="I75" i="16"/>
  <c r="I74" i="16"/>
  <c r="I73" i="16"/>
  <c r="I72" i="16"/>
  <c r="I71" i="16"/>
  <c r="I70" i="16"/>
  <c r="I69" i="16"/>
  <c r="I68" i="16"/>
  <c r="I67" i="16"/>
  <c r="I66" i="16"/>
  <c r="I64" i="16"/>
  <c r="I63" i="16"/>
  <c r="I62" i="16"/>
  <c r="I61" i="16"/>
  <c r="I60" i="16"/>
  <c r="I59" i="16"/>
  <c r="I58" i="16"/>
  <c r="I57" i="16"/>
  <c r="I56" i="16"/>
  <c r="I55" i="16"/>
  <c r="I54" i="16"/>
  <c r="I53" i="16"/>
  <c r="I52" i="16"/>
  <c r="I50" i="16"/>
  <c r="I49" i="16"/>
  <c r="I48" i="16"/>
  <c r="I47" i="16"/>
  <c r="I46" i="16"/>
  <c r="I45" i="16"/>
  <c r="I44" i="16"/>
  <c r="I43" i="16"/>
  <c r="I42" i="16"/>
  <c r="I41" i="16"/>
  <c r="I40" i="16"/>
  <c r="I39" i="16"/>
  <c r="I38" i="16"/>
  <c r="I37" i="16"/>
  <c r="I36" i="16"/>
  <c r="I35" i="16"/>
  <c r="I34" i="16"/>
  <c r="I33" i="16"/>
  <c r="I32" i="16"/>
  <c r="I31" i="16"/>
  <c r="I29" i="16"/>
  <c r="I28" i="16"/>
  <c r="I27" i="16"/>
  <c r="I26" i="16"/>
  <c r="I25" i="16"/>
  <c r="I24" i="16"/>
  <c r="I23" i="16"/>
  <c r="I22" i="16"/>
  <c r="I21" i="16"/>
  <c r="I20" i="16"/>
  <c r="I19" i="16"/>
  <c r="I18" i="16"/>
  <c r="I17" i="16"/>
  <c r="I16" i="16"/>
  <c r="I15" i="16"/>
  <c r="I14" i="16"/>
  <c r="I13" i="16"/>
  <c r="I12" i="16"/>
  <c r="I11" i="16"/>
  <c r="I10" i="16"/>
  <c r="I9" i="16"/>
  <c r="I8" i="16"/>
  <c r="I7" i="16"/>
  <c r="I6" i="16"/>
  <c r="I5" i="16"/>
  <c r="K118" i="23"/>
  <c r="K116" i="23"/>
  <c r="K115" i="23"/>
  <c r="K114" i="23"/>
  <c r="K113" i="23"/>
  <c r="K112" i="23"/>
  <c r="K111" i="23"/>
  <c r="K110" i="23"/>
  <c r="K108" i="23"/>
  <c r="K107" i="23"/>
  <c r="K106" i="23"/>
  <c r="K105" i="23"/>
  <c r="K104" i="23"/>
  <c r="K103" i="23"/>
  <c r="K102" i="23"/>
  <c r="K100" i="23"/>
  <c r="K99" i="23"/>
  <c r="K98" i="23"/>
  <c r="K97" i="23"/>
  <c r="K96" i="23"/>
  <c r="K95" i="23"/>
  <c r="K94" i="23"/>
  <c r="K93" i="23"/>
  <c r="K92" i="23"/>
  <c r="K91" i="23"/>
  <c r="K90" i="23"/>
  <c r="K89" i="23"/>
  <c r="K87" i="23"/>
  <c r="K86" i="23"/>
  <c r="K85" i="23"/>
  <c r="K84" i="23"/>
  <c r="K83" i="23"/>
  <c r="K82" i="23"/>
  <c r="K81" i="23"/>
  <c r="K80" i="23"/>
  <c r="K79" i="23"/>
  <c r="K78" i="23"/>
  <c r="K76" i="23"/>
  <c r="K75" i="23"/>
  <c r="K74" i="23"/>
  <c r="K73" i="23"/>
  <c r="K72" i="23"/>
  <c r="K71" i="23"/>
  <c r="K70" i="23"/>
  <c r="K69" i="23"/>
  <c r="K68" i="23"/>
  <c r="K67" i="23"/>
  <c r="K66" i="23"/>
  <c r="K65" i="23"/>
  <c r="K64" i="23"/>
  <c r="K63" i="23"/>
  <c r="K62" i="23"/>
  <c r="K61" i="23"/>
  <c r="K60" i="23"/>
  <c r="K59" i="23"/>
  <c r="K58" i="23"/>
  <c r="K57" i="23"/>
  <c r="K56" i="23"/>
  <c r="K55" i="23"/>
  <c r="K54" i="23"/>
  <c r="K53" i="23"/>
  <c r="K52" i="23"/>
  <c r="K51" i="23"/>
  <c r="K50" i="23"/>
  <c r="K49" i="23"/>
  <c r="K48" i="23"/>
  <c r="K47" i="23"/>
  <c r="K46" i="23"/>
  <c r="K45" i="23"/>
  <c r="K44" i="23"/>
  <c r="K43" i="23"/>
  <c r="K42" i="23"/>
  <c r="K41" i="23"/>
  <c r="K40" i="23"/>
  <c r="K39" i="23"/>
  <c r="K38" i="23"/>
  <c r="K37" i="23"/>
  <c r="K36" i="23"/>
  <c r="K35" i="23"/>
  <c r="K34" i="23"/>
  <c r="K33" i="23"/>
  <c r="K32" i="23"/>
  <c r="K31" i="23"/>
  <c r="K30" i="23"/>
  <c r="K29" i="23"/>
  <c r="K28" i="23"/>
  <c r="K27" i="23"/>
  <c r="K26" i="23"/>
  <c r="K25" i="23"/>
  <c r="K24" i="23"/>
  <c r="K23" i="23"/>
  <c r="K22" i="23"/>
  <c r="K21" i="23"/>
  <c r="K20" i="23"/>
  <c r="K19" i="23"/>
  <c r="K18" i="23"/>
  <c r="K17" i="23"/>
  <c r="K16" i="23"/>
  <c r="K15" i="23"/>
  <c r="K14" i="23"/>
  <c r="K13" i="23"/>
  <c r="K12" i="23"/>
  <c r="K11" i="23"/>
  <c r="K10" i="23"/>
  <c r="K9" i="23"/>
  <c r="K8" i="23"/>
  <c r="K7" i="23"/>
  <c r="K6" i="23"/>
  <c r="K5" i="23"/>
  <c r="I158" i="28"/>
  <c r="K52" i="41"/>
  <c r="K50" i="41"/>
  <c r="K49" i="41"/>
  <c r="K48" i="41"/>
  <c r="K47" i="41"/>
  <c r="K45" i="41"/>
  <c r="K44" i="41"/>
  <c r="K43" i="41"/>
  <c r="K42" i="41"/>
  <c r="K40" i="41"/>
  <c r="K39" i="41"/>
  <c r="K38" i="41"/>
  <c r="K37" i="41"/>
  <c r="K35" i="41"/>
  <c r="K34" i="41"/>
  <c r="K33" i="41"/>
  <c r="K32" i="41"/>
  <c r="K31" i="41"/>
  <c r="K30" i="41"/>
  <c r="K28" i="41"/>
  <c r="K27" i="41"/>
  <c r="K26" i="41"/>
  <c r="K25" i="41"/>
  <c r="K23" i="41"/>
  <c r="K22" i="41"/>
  <c r="K21" i="41"/>
  <c r="K20" i="41"/>
  <c r="K19" i="41"/>
  <c r="K18" i="41"/>
  <c r="K17" i="41"/>
  <c r="K16" i="41"/>
  <c r="K14" i="41"/>
  <c r="K13" i="41"/>
  <c r="K12" i="41"/>
  <c r="K11" i="41"/>
  <c r="K10" i="41"/>
  <c r="K9" i="41"/>
  <c r="K8" i="41"/>
  <c r="K7" i="41"/>
  <c r="K6" i="41"/>
  <c r="K5" i="41"/>
  <c r="I296" i="34"/>
  <c r="I294" i="34"/>
  <c r="I292" i="34"/>
  <c r="I291" i="34"/>
  <c r="I290" i="34"/>
  <c r="I289" i="34"/>
  <c r="I288" i="34"/>
  <c r="I287" i="34"/>
  <c r="I286" i="34"/>
  <c r="I285" i="34"/>
  <c r="I284" i="34"/>
  <c r="I283" i="34"/>
  <c r="I282" i="34"/>
  <c r="I281" i="34"/>
  <c r="I280" i="34"/>
  <c r="I279" i="34"/>
  <c r="I278" i="34"/>
  <c r="I277" i="34"/>
  <c r="I276" i="34"/>
  <c r="I275" i="34"/>
  <c r="I274" i="34"/>
  <c r="I273" i="34"/>
  <c r="I272" i="34"/>
  <c r="I271" i="34"/>
  <c r="I270" i="34"/>
  <c r="I269" i="34"/>
  <c r="I268" i="34"/>
  <c r="I267" i="34"/>
  <c r="I266" i="34"/>
  <c r="I265" i="34"/>
  <c r="I264" i="34"/>
  <c r="I263" i="34"/>
  <c r="I262" i="34"/>
  <c r="I261" i="34"/>
  <c r="I260" i="34"/>
  <c r="I259" i="34"/>
  <c r="I258" i="34"/>
  <c r="I257" i="34"/>
  <c r="I256" i="34"/>
  <c r="I255" i="34"/>
  <c r="I254" i="34"/>
  <c r="I253" i="34"/>
  <c r="I251" i="34"/>
  <c r="I250" i="34"/>
  <c r="I249" i="34"/>
  <c r="I248" i="34"/>
  <c r="I247" i="34"/>
  <c r="I246" i="34"/>
  <c r="I245" i="34"/>
  <c r="I244" i="34"/>
  <c r="I243" i="34"/>
  <c r="I242" i="34"/>
  <c r="I241" i="34"/>
  <c r="I240" i="34"/>
  <c r="I239" i="34"/>
  <c r="I238" i="34"/>
  <c r="I237" i="34"/>
  <c r="I236" i="34"/>
  <c r="I235" i="34"/>
  <c r="I234" i="34"/>
  <c r="I233" i="34"/>
  <c r="I232" i="34"/>
  <c r="I231" i="34"/>
  <c r="I230" i="34"/>
  <c r="I229" i="34"/>
  <c r="I228" i="34"/>
  <c r="I227" i="34"/>
  <c r="I226" i="34"/>
  <c r="I225" i="34"/>
  <c r="I224" i="34"/>
  <c r="I223" i="34"/>
  <c r="I222" i="34"/>
  <c r="I221" i="34"/>
  <c r="I220" i="34"/>
  <c r="I219" i="34"/>
  <c r="I218" i="34"/>
  <c r="I217" i="34"/>
  <c r="I216" i="34"/>
  <c r="I215" i="34"/>
  <c r="I214" i="34"/>
  <c r="I213" i="34"/>
  <c r="I212" i="34"/>
  <c r="I210" i="34"/>
  <c r="I209" i="34"/>
  <c r="I207" i="34"/>
  <c r="I205" i="34"/>
  <c r="I204" i="34"/>
  <c r="I203" i="34"/>
  <c r="I202" i="34"/>
  <c r="I201" i="34"/>
  <c r="I200" i="34"/>
  <c r="I199" i="34"/>
  <c r="I198" i="34"/>
  <c r="I197" i="34"/>
  <c r="I196" i="34"/>
  <c r="I195" i="34"/>
  <c r="I194" i="34"/>
  <c r="I193" i="34"/>
  <c r="I192" i="34"/>
  <c r="I191" i="34"/>
  <c r="I190" i="34"/>
  <c r="I189" i="34"/>
  <c r="I188" i="34"/>
  <c r="I187" i="34"/>
  <c r="I186" i="34"/>
  <c r="I185" i="34"/>
  <c r="I184" i="34"/>
  <c r="I183" i="34"/>
  <c r="I182" i="34"/>
  <c r="I181" i="34"/>
  <c r="I180" i="34"/>
  <c r="I179" i="34"/>
  <c r="I178" i="34"/>
  <c r="I177" i="34"/>
  <c r="I176" i="34"/>
  <c r="I175" i="34"/>
  <c r="I174" i="34"/>
  <c r="I173" i="34"/>
  <c r="I172" i="34"/>
  <c r="I171" i="34"/>
  <c r="I170" i="34"/>
  <c r="I169" i="34"/>
  <c r="I167" i="34"/>
  <c r="I166" i="34"/>
  <c r="I165" i="34"/>
  <c r="I164" i="34"/>
  <c r="I163" i="34"/>
  <c r="I162" i="34"/>
  <c r="I161" i="34"/>
  <c r="I160" i="34"/>
  <c r="I159" i="34"/>
  <c r="I158" i="34"/>
  <c r="I157" i="34"/>
  <c r="I156" i="34"/>
  <c r="I155" i="34"/>
  <c r="I154" i="34"/>
  <c r="I153" i="34"/>
  <c r="I152" i="34"/>
  <c r="I151" i="34"/>
  <c r="I150" i="34"/>
  <c r="I149" i="34"/>
  <c r="I148" i="34"/>
  <c r="I147" i="34"/>
  <c r="I146" i="34"/>
  <c r="I145" i="34"/>
  <c r="I144" i="34"/>
  <c r="I143" i="34"/>
  <c r="I142" i="34"/>
  <c r="I141" i="34"/>
  <c r="I140" i="34"/>
  <c r="I139" i="34"/>
  <c r="I138" i="34"/>
  <c r="I137" i="34"/>
  <c r="I136" i="34"/>
  <c r="I135" i="34"/>
  <c r="I134" i="34"/>
  <c r="I133" i="34"/>
  <c r="I132" i="34"/>
  <c r="I131" i="34"/>
  <c r="I130" i="34"/>
  <c r="I129" i="34"/>
  <c r="I128" i="34"/>
  <c r="I126" i="34"/>
  <c r="I125" i="34"/>
  <c r="I124" i="34"/>
  <c r="I123" i="34"/>
  <c r="I122" i="34"/>
  <c r="I121" i="34"/>
  <c r="I120" i="34"/>
  <c r="I119" i="34"/>
  <c r="I118" i="34"/>
  <c r="I117" i="34"/>
  <c r="I116" i="34"/>
  <c r="I115" i="34"/>
  <c r="I114" i="34"/>
  <c r="I113" i="34"/>
  <c r="I112" i="34"/>
  <c r="I111" i="34"/>
  <c r="I110" i="34"/>
  <c r="I109" i="34"/>
  <c r="I108" i="34"/>
  <c r="I107" i="34"/>
  <c r="I106" i="34"/>
  <c r="I105" i="34"/>
  <c r="I104" i="34"/>
  <c r="I103" i="34"/>
  <c r="I102" i="34"/>
  <c r="I101" i="34"/>
  <c r="I100" i="34"/>
  <c r="I99" i="34"/>
  <c r="I98" i="34"/>
  <c r="I97" i="34"/>
  <c r="I96" i="34"/>
  <c r="I95" i="34"/>
  <c r="I94" i="34"/>
  <c r="I93" i="34"/>
  <c r="I92" i="34"/>
  <c r="I91" i="34"/>
  <c r="I90" i="34"/>
  <c r="I89" i="34"/>
  <c r="I88" i="34"/>
  <c r="I87" i="34"/>
  <c r="I85" i="34"/>
  <c r="I84" i="34"/>
  <c r="I83" i="34"/>
  <c r="I82" i="34"/>
  <c r="I81" i="34"/>
  <c r="I80" i="34"/>
  <c r="I79" i="34"/>
  <c r="I78" i="34"/>
  <c r="I77" i="34"/>
  <c r="I76" i="34"/>
  <c r="I75" i="34"/>
  <c r="I74" i="34"/>
  <c r="I73" i="34"/>
  <c r="I72" i="34"/>
  <c r="I71" i="34"/>
  <c r="I70" i="34"/>
  <c r="I69" i="34"/>
  <c r="I68" i="34"/>
  <c r="I67" i="34"/>
  <c r="I66" i="34"/>
  <c r="I65" i="34"/>
  <c r="I64" i="34"/>
  <c r="I63" i="34"/>
  <c r="I62" i="34"/>
  <c r="I61" i="34"/>
  <c r="I60" i="34"/>
  <c r="I59" i="34"/>
  <c r="I58" i="34"/>
  <c r="I57" i="34"/>
  <c r="I56" i="34"/>
  <c r="I55" i="34"/>
  <c r="I54" i="34"/>
  <c r="I53" i="34"/>
  <c r="I52" i="34"/>
  <c r="I51" i="34"/>
  <c r="I50" i="34"/>
  <c r="I49" i="34"/>
  <c r="I48" i="34"/>
  <c r="I47" i="34"/>
  <c r="I46" i="34"/>
  <c r="I44" i="34"/>
  <c r="I43" i="34"/>
  <c r="I42" i="34"/>
  <c r="I41" i="34"/>
  <c r="I40" i="34"/>
  <c r="I39" i="34"/>
  <c r="I38" i="34"/>
  <c r="I37" i="34"/>
  <c r="I36" i="34"/>
  <c r="I35" i="34"/>
  <c r="I34" i="34"/>
  <c r="I33" i="34"/>
  <c r="I32" i="34"/>
  <c r="I31" i="34"/>
  <c r="I30" i="34"/>
  <c r="I29" i="34"/>
  <c r="I28" i="34"/>
  <c r="I27" i="34"/>
  <c r="I26" i="34"/>
  <c r="I25" i="34"/>
  <c r="I24" i="34"/>
  <c r="I23" i="34"/>
  <c r="I22" i="34"/>
  <c r="I21" i="34"/>
  <c r="I20" i="34"/>
  <c r="I19" i="34"/>
  <c r="I18" i="34"/>
  <c r="I17" i="34"/>
  <c r="I16" i="34"/>
  <c r="I15" i="34"/>
  <c r="I14" i="34"/>
  <c r="I13" i="34"/>
  <c r="I12" i="34"/>
  <c r="I11" i="34"/>
  <c r="I10" i="34"/>
  <c r="I9" i="34"/>
  <c r="I8" i="34"/>
  <c r="I7" i="34"/>
  <c r="I6" i="34"/>
  <c r="I5" i="34"/>
  <c r="I137" i="32"/>
  <c r="I136" i="32"/>
  <c r="I135" i="32"/>
  <c r="I134" i="32"/>
  <c r="I133" i="32"/>
  <c r="I132" i="32"/>
  <c r="I131"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7" i="32"/>
  <c r="I6" i="32"/>
  <c r="I5" i="32"/>
  <c r="K295" i="30"/>
  <c r="K293" i="30"/>
  <c r="K292" i="30"/>
  <c r="K291" i="30"/>
  <c r="K290" i="30"/>
  <c r="K289" i="30"/>
  <c r="K288" i="30"/>
  <c r="K287" i="30"/>
  <c r="K286" i="30"/>
  <c r="K285" i="30"/>
  <c r="K284" i="30"/>
  <c r="K283" i="30"/>
  <c r="K282" i="30"/>
  <c r="K281" i="30"/>
  <c r="K280" i="30"/>
  <c r="K279" i="30"/>
  <c r="K278" i="30"/>
  <c r="K277" i="30"/>
  <c r="K276" i="30"/>
  <c r="K275" i="30"/>
  <c r="K274" i="30"/>
  <c r="K273" i="30"/>
  <c r="K272" i="30"/>
  <c r="K271" i="30"/>
  <c r="K270" i="30"/>
  <c r="K269" i="30"/>
  <c r="K268" i="30"/>
  <c r="K267" i="30"/>
  <c r="K266" i="30"/>
  <c r="K265" i="30"/>
  <c r="K263" i="30"/>
  <c r="K262" i="30"/>
  <c r="K261" i="30"/>
  <c r="K260" i="30"/>
  <c r="K259" i="30"/>
  <c r="K258" i="30"/>
  <c r="K257" i="30"/>
  <c r="K256" i="30"/>
  <c r="K255" i="30"/>
  <c r="K254" i="30"/>
  <c r="K253" i="30"/>
  <c r="K252" i="30"/>
  <c r="K251" i="30"/>
  <c r="K250" i="30"/>
  <c r="K249" i="30"/>
  <c r="K248" i="30"/>
  <c r="K247" i="30"/>
  <c r="K246" i="30"/>
  <c r="K245" i="30"/>
  <c r="K244" i="30"/>
  <c r="K243" i="30"/>
  <c r="K242" i="30"/>
  <c r="K241" i="30"/>
  <c r="K240" i="30"/>
  <c r="K239" i="30"/>
  <c r="K238" i="30"/>
  <c r="K237" i="30"/>
  <c r="K236" i="30"/>
  <c r="K235" i="30"/>
  <c r="K234" i="30"/>
  <c r="K233" i="30"/>
  <c r="K232" i="30"/>
  <c r="K231" i="30"/>
  <c r="K230" i="30"/>
  <c r="K229" i="30"/>
  <c r="K228" i="30"/>
  <c r="K226" i="30"/>
  <c r="K225" i="30"/>
  <c r="K224" i="30"/>
  <c r="K223" i="30"/>
  <c r="K222" i="30"/>
  <c r="K221" i="30"/>
  <c r="K220" i="30"/>
  <c r="K219" i="30"/>
  <c r="K218" i="30"/>
  <c r="K217" i="30"/>
  <c r="K216" i="30"/>
  <c r="K215" i="30"/>
  <c r="K214" i="30"/>
  <c r="K213" i="30"/>
  <c r="K212" i="30"/>
  <c r="K211" i="30"/>
  <c r="K210" i="30"/>
  <c r="K209" i="30"/>
  <c r="K208" i="30"/>
  <c r="K207" i="30"/>
  <c r="K206" i="30"/>
  <c r="K205" i="30"/>
  <c r="K204"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49" i="30"/>
  <c r="K148" i="30"/>
  <c r="K147" i="30"/>
  <c r="K146" i="30"/>
  <c r="K145" i="30"/>
  <c r="K144" i="30"/>
  <c r="K143" i="30"/>
  <c r="K142" i="30"/>
  <c r="K141" i="30"/>
  <c r="K140" i="30"/>
  <c r="K139" i="30"/>
  <c r="K138" i="30"/>
  <c r="K137" i="30"/>
  <c r="K13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1" i="30"/>
  <c r="K100" i="30"/>
  <c r="K99" i="30"/>
  <c r="K98" i="30"/>
  <c r="K97" i="30"/>
  <c r="K96" i="30"/>
  <c r="K95"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J85" i="25"/>
  <c r="J83" i="25"/>
  <c r="J82" i="25"/>
  <c r="J81" i="25"/>
  <c r="J80" i="25"/>
  <c r="J79" i="25"/>
  <c r="J77" i="25"/>
  <c r="J76" i="25"/>
  <c r="J75" i="25"/>
  <c r="J74" i="25"/>
  <c r="J73" i="25"/>
  <c r="J72" i="25"/>
  <c r="J71" i="25"/>
  <c r="J70" i="25"/>
  <c r="J69" i="25"/>
  <c r="J67" i="25"/>
  <c r="J66" i="25"/>
  <c r="J65" i="25"/>
  <c r="J64" i="25"/>
  <c r="J63" i="25"/>
  <c r="J62" i="25"/>
  <c r="J61" i="25"/>
  <c r="J60" i="25"/>
  <c r="J59" i="25"/>
  <c r="J58" i="25"/>
  <c r="J57" i="25"/>
  <c r="J56" i="25"/>
  <c r="J55" i="25"/>
  <c r="J54" i="25"/>
  <c r="J53" i="25"/>
  <c r="J52" i="25"/>
  <c r="J51" i="25"/>
  <c r="J49" i="25"/>
  <c r="J48" i="25"/>
  <c r="J47" i="25"/>
  <c r="J46" i="25"/>
  <c r="J45" i="25"/>
  <c r="J44" i="25"/>
  <c r="J43" i="25"/>
  <c r="J42" i="25"/>
  <c r="J41" i="25"/>
  <c r="J40" i="25"/>
  <c r="J39" i="25"/>
  <c r="J38" i="25"/>
  <c r="J36" i="25"/>
  <c r="J35" i="25"/>
  <c r="J34" i="25"/>
  <c r="J33" i="25"/>
  <c r="J32" i="25"/>
  <c r="J31" i="25"/>
  <c r="J30" i="25"/>
  <c r="J29" i="25"/>
  <c r="J28" i="25"/>
  <c r="J27" i="25"/>
  <c r="J26" i="25"/>
  <c r="J25" i="25"/>
  <c r="J24" i="25"/>
  <c r="J23" i="25"/>
  <c r="J22" i="25"/>
  <c r="J21" i="25"/>
  <c r="J19" i="25"/>
  <c r="J18" i="25"/>
  <c r="J17" i="25"/>
  <c r="J16" i="25"/>
  <c r="J15" i="25"/>
  <c r="J14" i="25"/>
  <c r="J13" i="25"/>
  <c r="J12" i="25"/>
  <c r="J11" i="25"/>
  <c r="J10" i="25"/>
  <c r="J9" i="25"/>
  <c r="J8" i="25"/>
  <c r="J7" i="25"/>
  <c r="J6" i="25"/>
  <c r="J5" i="25"/>
  <c r="J249" i="10"/>
  <c r="J248" i="10"/>
  <c r="J247" i="10"/>
  <c r="J246" i="10"/>
  <c r="J245" i="10"/>
  <c r="J244" i="10"/>
  <c r="J243" i="10"/>
  <c r="J242" i="10"/>
  <c r="J241" i="10"/>
  <c r="J240" i="10"/>
  <c r="J239" i="10"/>
  <c r="J238" i="10"/>
  <c r="J237" i="10"/>
  <c r="J236" i="10"/>
  <c r="J235" i="10"/>
  <c r="J234" i="10"/>
  <c r="J233" i="10"/>
  <c r="J232" i="10"/>
  <c r="J231" i="10"/>
  <c r="J230" i="10"/>
  <c r="J229" i="10"/>
  <c r="J228" i="10"/>
  <c r="J227" i="10"/>
  <c r="J226" i="10"/>
  <c r="J224" i="10"/>
  <c r="J223" i="10"/>
  <c r="J222" i="10"/>
  <c r="J221" i="10"/>
  <c r="J220" i="10"/>
  <c r="J219" i="10"/>
  <c r="J218" i="10"/>
  <c r="J217" i="10"/>
  <c r="J216" i="10"/>
  <c r="J215" i="10"/>
  <c r="J214" i="10"/>
  <c r="J213" i="10"/>
  <c r="J212" i="10"/>
  <c r="J211" i="10"/>
  <c r="J210" i="10"/>
  <c r="J209" i="10"/>
  <c r="J208" i="10"/>
  <c r="J207" i="10"/>
  <c r="J206" i="10"/>
  <c r="J205" i="10"/>
  <c r="J204" i="10"/>
  <c r="J203" i="10"/>
  <c r="J202" i="10"/>
  <c r="J201" i="10"/>
  <c r="J200" i="10"/>
  <c r="J198" i="10"/>
  <c r="J197" i="10"/>
  <c r="J196" i="10"/>
  <c r="J195" i="10"/>
  <c r="J194" i="10"/>
  <c r="J193" i="10"/>
  <c r="J192" i="10"/>
  <c r="J191" i="10"/>
  <c r="J190" i="10"/>
  <c r="J189" i="10"/>
  <c r="J188" i="10"/>
  <c r="J187" i="10"/>
  <c r="J186" i="10"/>
  <c r="J185" i="10"/>
  <c r="J184" i="10"/>
  <c r="J183" i="10"/>
  <c r="J182" i="10"/>
  <c r="J181" i="10"/>
  <c r="J180" i="10"/>
  <c r="J179" i="10"/>
  <c r="J178" i="10"/>
  <c r="J177" i="10"/>
  <c r="J176" i="10"/>
  <c r="J175" i="10"/>
  <c r="J174" i="10"/>
  <c r="J173" i="10"/>
  <c r="J172" i="10"/>
  <c r="J171" i="10"/>
  <c r="J170" i="10"/>
  <c r="J169" i="10"/>
  <c r="J167" i="10"/>
  <c r="J166" i="10"/>
  <c r="J165" i="10"/>
  <c r="J164" i="10"/>
  <c r="J163" i="10"/>
  <c r="J162" i="10"/>
  <c r="J161" i="10"/>
  <c r="J160" i="10"/>
  <c r="J159" i="10"/>
  <c r="J158" i="10"/>
  <c r="J157" i="10"/>
  <c r="J156" i="10"/>
  <c r="J155" i="10"/>
  <c r="J154" i="10"/>
  <c r="J153" i="10"/>
  <c r="J152" i="10"/>
  <c r="J151" i="10"/>
  <c r="J150" i="10"/>
  <c r="J149" i="10"/>
  <c r="J148" i="10"/>
  <c r="J147" i="10"/>
  <c r="J146" i="10"/>
  <c r="J145" i="10"/>
  <c r="J144" i="10"/>
  <c r="J143" i="10"/>
  <c r="J142" i="10"/>
  <c r="J141" i="10"/>
  <c r="J140" i="10"/>
  <c r="J139" i="10"/>
  <c r="J138" i="10"/>
  <c r="J136" i="10"/>
  <c r="J135" i="10"/>
  <c r="J134" i="10"/>
  <c r="J133" i="10"/>
  <c r="J132" i="10"/>
  <c r="J131" i="10"/>
  <c r="J130" i="10"/>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4" i="10"/>
  <c r="J103" i="10"/>
  <c r="J102" i="10"/>
  <c r="J101" i="10"/>
  <c r="J100" i="10"/>
  <c r="J99" i="10"/>
  <c r="J98" i="10"/>
  <c r="J97" i="10"/>
  <c r="J96" i="10"/>
  <c r="J95" i="10"/>
  <c r="J94" i="10"/>
  <c r="J93" i="10"/>
  <c r="J92"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K110" i="37"/>
  <c r="J110" i="37"/>
  <c r="K109" i="37"/>
  <c r="J109" i="37"/>
  <c r="K108" i="37"/>
  <c r="J108" i="37"/>
  <c r="K107" i="37"/>
  <c r="J107" i="37"/>
  <c r="K106" i="37"/>
  <c r="J106" i="37"/>
  <c r="K105" i="37"/>
  <c r="J105" i="37"/>
  <c r="K104" i="37"/>
  <c r="J104" i="37"/>
  <c r="K103" i="37"/>
  <c r="J103" i="37"/>
  <c r="K102" i="37"/>
  <c r="J102" i="37"/>
  <c r="K100" i="37"/>
  <c r="J100" i="37"/>
  <c r="K99" i="37"/>
  <c r="J99" i="37"/>
  <c r="K98" i="37"/>
  <c r="J98" i="37"/>
  <c r="K97" i="37"/>
  <c r="J97" i="37"/>
  <c r="K96" i="37"/>
  <c r="J96" i="37"/>
  <c r="K95" i="37"/>
  <c r="J95" i="37"/>
  <c r="K94" i="37"/>
  <c r="J94" i="37"/>
  <c r="K93" i="37"/>
  <c r="J93" i="37"/>
  <c r="K92" i="37"/>
  <c r="J92" i="37"/>
  <c r="K91" i="37"/>
  <c r="J91" i="37"/>
  <c r="K90" i="37"/>
  <c r="J90" i="37"/>
  <c r="K89" i="37"/>
  <c r="J89" i="37"/>
  <c r="K88" i="37"/>
  <c r="J88" i="37"/>
  <c r="K87" i="37"/>
  <c r="J87" i="37"/>
  <c r="K86" i="37"/>
  <c r="J86" i="37"/>
  <c r="K85" i="37"/>
  <c r="J85" i="37"/>
  <c r="K84" i="37"/>
  <c r="J84" i="37"/>
  <c r="K83" i="37"/>
  <c r="J83" i="37"/>
  <c r="K82" i="37"/>
  <c r="J82" i="37"/>
  <c r="K81" i="37"/>
  <c r="J81" i="37"/>
  <c r="K80" i="37"/>
  <c r="J80" i="37"/>
  <c r="K79" i="37"/>
  <c r="J79" i="37"/>
  <c r="K78" i="37"/>
  <c r="J78" i="37"/>
  <c r="K76" i="37"/>
  <c r="J76" i="37"/>
  <c r="K75" i="37"/>
  <c r="J75" i="37"/>
  <c r="K74" i="37"/>
  <c r="J74" i="37"/>
  <c r="K73" i="37"/>
  <c r="J73" i="37"/>
  <c r="K72" i="37"/>
  <c r="J72" i="37"/>
  <c r="K70" i="37"/>
  <c r="J70" i="37"/>
  <c r="K68" i="37"/>
  <c r="J68" i="37"/>
  <c r="K66" i="37"/>
  <c r="J66" i="37"/>
  <c r="K65" i="37"/>
  <c r="J65" i="37"/>
  <c r="K64" i="37"/>
  <c r="J64" i="37"/>
  <c r="K63" i="37"/>
  <c r="J63" i="37"/>
  <c r="K62" i="37"/>
  <c r="J62" i="37"/>
  <c r="K61" i="37"/>
  <c r="J61" i="37"/>
  <c r="K60" i="37"/>
  <c r="J60" i="37"/>
  <c r="K59" i="37"/>
  <c r="J59" i="37"/>
  <c r="K58" i="37"/>
  <c r="J58" i="37"/>
  <c r="K57" i="37"/>
  <c r="J57" i="37"/>
  <c r="K56" i="37"/>
  <c r="J56" i="37"/>
  <c r="K55" i="37"/>
  <c r="J55" i="37"/>
  <c r="K54" i="37"/>
  <c r="J54" i="37"/>
  <c r="K53" i="37"/>
  <c r="J53" i="37"/>
  <c r="K52" i="37"/>
  <c r="J52" i="37"/>
  <c r="K51" i="37"/>
  <c r="J51" i="37"/>
  <c r="K50" i="37"/>
  <c r="J50" i="37"/>
  <c r="K49" i="37"/>
  <c r="J49" i="37"/>
  <c r="K48" i="37"/>
  <c r="J48" i="37"/>
  <c r="K47" i="37"/>
  <c r="J47" i="37"/>
  <c r="K46" i="37"/>
  <c r="J46" i="37"/>
  <c r="K45" i="37"/>
  <c r="J45" i="37"/>
  <c r="K44" i="37"/>
  <c r="J44" i="37"/>
  <c r="K43" i="37"/>
  <c r="J43" i="37"/>
  <c r="K42" i="37"/>
  <c r="J42" i="37"/>
  <c r="K41" i="37"/>
  <c r="J41" i="37"/>
  <c r="K40" i="37"/>
  <c r="J40" i="37"/>
  <c r="K39" i="37"/>
  <c r="J39" i="37"/>
  <c r="K38" i="37"/>
  <c r="J38" i="37"/>
  <c r="K37" i="37"/>
  <c r="J37" i="37"/>
  <c r="K36" i="37"/>
  <c r="J36" i="37"/>
  <c r="K34" i="37"/>
  <c r="J34" i="37"/>
  <c r="K33" i="37"/>
  <c r="J33" i="37"/>
  <c r="K32" i="37"/>
  <c r="J32" i="37"/>
  <c r="K31" i="37"/>
  <c r="J31" i="37"/>
  <c r="K30" i="37"/>
  <c r="J30" i="37"/>
  <c r="K29" i="37"/>
  <c r="J29" i="37"/>
  <c r="K28" i="37"/>
  <c r="J28" i="37"/>
  <c r="K27" i="37"/>
  <c r="J27" i="37"/>
  <c r="K26" i="37"/>
  <c r="J26" i="37"/>
  <c r="K25" i="37"/>
  <c r="J25" i="37"/>
  <c r="K24" i="37"/>
  <c r="J24" i="37"/>
  <c r="K23" i="37"/>
  <c r="J23" i="37"/>
  <c r="K22" i="37"/>
  <c r="J22" i="37"/>
  <c r="K21" i="37"/>
  <c r="J21" i="37"/>
  <c r="K20" i="37"/>
  <c r="J20" i="37"/>
  <c r="K19" i="37"/>
  <c r="J19" i="37"/>
  <c r="K18" i="37"/>
  <c r="J18" i="37"/>
  <c r="K17" i="37"/>
  <c r="J17" i="37"/>
  <c r="K16" i="37"/>
  <c r="J16" i="37"/>
  <c r="K15" i="37"/>
  <c r="J15" i="37"/>
  <c r="K14" i="37"/>
  <c r="J14" i="37"/>
  <c r="K13" i="37"/>
  <c r="J13" i="37"/>
  <c r="K12" i="37"/>
  <c r="J12" i="37"/>
  <c r="K11" i="37"/>
  <c r="J11" i="37"/>
  <c r="K10" i="37"/>
  <c r="J10" i="37"/>
  <c r="K9" i="37"/>
  <c r="J9" i="37"/>
  <c r="K8" i="37"/>
  <c r="J8" i="37"/>
  <c r="K7" i="37"/>
  <c r="J7" i="37"/>
  <c r="K6" i="37"/>
  <c r="J6" i="37"/>
  <c r="K5" i="37"/>
  <c r="J5" i="37"/>
  <c r="J163" i="22"/>
  <c r="J164" i="22"/>
  <c r="J165" i="22"/>
  <c r="J166" i="22"/>
  <c r="J167" i="22"/>
  <c r="J168" i="22"/>
  <c r="J169" i="22"/>
  <c r="J170" i="22"/>
  <c r="J171" i="22"/>
  <c r="J172" i="22"/>
  <c r="J173" i="22"/>
  <c r="J174" i="22"/>
  <c r="J175" i="22"/>
  <c r="J176" i="22"/>
  <c r="J177" i="22"/>
  <c r="K251" i="43"/>
  <c r="K252" i="43"/>
  <c r="K253" i="43"/>
  <c r="K254" i="43"/>
  <c r="K255" i="43"/>
  <c r="K256" i="43"/>
  <c r="K257" i="43"/>
  <c r="K258" i="43"/>
  <c r="K259" i="43"/>
  <c r="K260" i="43"/>
  <c r="K261" i="43"/>
  <c r="K262" i="43"/>
  <c r="K263" i="43"/>
  <c r="K264" i="43"/>
  <c r="K265" i="43"/>
  <c r="K266" i="43"/>
  <c r="K267" i="43"/>
  <c r="K268" i="43"/>
  <c r="K269" i="43"/>
  <c r="K270" i="43"/>
  <c r="K271" i="43"/>
  <c r="K272" i="43"/>
  <c r="K273" i="43"/>
  <c r="K274" i="43"/>
  <c r="K275" i="43"/>
  <c r="K276" i="43"/>
  <c r="K277" i="43"/>
  <c r="K278" i="43"/>
  <c r="K279" i="43"/>
  <c r="K280" i="43"/>
  <c r="K281" i="43"/>
  <c r="K282" i="43"/>
  <c r="K283" i="43"/>
  <c r="K284" i="43"/>
  <c r="K285" i="43"/>
  <c r="K286" i="43"/>
  <c r="K287" i="43"/>
  <c r="K288" i="43"/>
  <c r="K289" i="43"/>
  <c r="K290" i="43"/>
  <c r="K210" i="43"/>
  <c r="K211" i="43"/>
  <c r="K212" i="43"/>
  <c r="K213" i="43"/>
  <c r="K214" i="43"/>
  <c r="K215" i="43"/>
  <c r="K216" i="43"/>
  <c r="K217" i="43"/>
  <c r="K218" i="43"/>
  <c r="K219" i="43"/>
  <c r="K220" i="43"/>
  <c r="K221" i="43"/>
  <c r="K222" i="43"/>
  <c r="K223" i="43"/>
  <c r="K224" i="43"/>
  <c r="K225" i="43"/>
  <c r="K226" i="43"/>
  <c r="K227" i="43"/>
  <c r="K228" i="43"/>
  <c r="K229" i="43"/>
  <c r="K230" i="43"/>
  <c r="K231" i="43"/>
  <c r="K232" i="43"/>
  <c r="K233" i="43"/>
  <c r="K234" i="43"/>
  <c r="K235" i="43"/>
  <c r="K236" i="43"/>
  <c r="K237" i="43"/>
  <c r="K238" i="43"/>
  <c r="K239" i="43"/>
  <c r="K240" i="43"/>
  <c r="K241" i="43"/>
  <c r="K242" i="43"/>
  <c r="K243" i="43"/>
  <c r="K244" i="43"/>
  <c r="K245" i="43"/>
  <c r="K246" i="43"/>
  <c r="K247" i="43"/>
  <c r="K248" i="43"/>
  <c r="K249" i="43"/>
  <c r="K169" i="43"/>
  <c r="K170" i="43"/>
  <c r="K171" i="43"/>
  <c r="K172" i="43"/>
  <c r="K173" i="43"/>
  <c r="K174" i="43"/>
  <c r="K175" i="43"/>
  <c r="K176" i="43"/>
  <c r="K177" i="43"/>
  <c r="K178" i="43"/>
  <c r="K179" i="43"/>
  <c r="K180" i="43"/>
  <c r="K181" i="43"/>
  <c r="K182" i="43"/>
  <c r="K183" i="43"/>
  <c r="K184" i="43"/>
  <c r="K185" i="43"/>
  <c r="K186" i="43"/>
  <c r="K187" i="43"/>
  <c r="K188" i="43"/>
  <c r="K189" i="43"/>
  <c r="K190" i="43"/>
  <c r="K191" i="43"/>
  <c r="K192" i="43"/>
  <c r="K193" i="43"/>
  <c r="K194" i="43"/>
  <c r="K195" i="43"/>
  <c r="K196" i="43"/>
  <c r="K197" i="43"/>
  <c r="K198" i="43"/>
  <c r="K199" i="43"/>
  <c r="K200" i="43"/>
  <c r="K201" i="43"/>
  <c r="K202" i="43"/>
  <c r="K203" i="43"/>
  <c r="K204" i="43"/>
  <c r="K205" i="43"/>
  <c r="K206" i="43"/>
  <c r="K207" i="43"/>
  <c r="K208" i="43"/>
  <c r="K128" i="43"/>
  <c r="K129" i="43"/>
  <c r="K130" i="43"/>
  <c r="K131" i="43"/>
  <c r="K132" i="43"/>
  <c r="K133" i="43"/>
  <c r="K134" i="43"/>
  <c r="K135" i="43"/>
  <c r="K136" i="43"/>
  <c r="K137" i="43"/>
  <c r="K138" i="43"/>
  <c r="K139" i="43"/>
  <c r="K140" i="43"/>
  <c r="K141" i="43"/>
  <c r="K142" i="43"/>
  <c r="K143" i="43"/>
  <c r="K144" i="43"/>
  <c r="K145" i="43"/>
  <c r="K146" i="43"/>
  <c r="K147" i="43"/>
  <c r="K148" i="43"/>
  <c r="K149" i="43"/>
  <c r="K150" i="43"/>
  <c r="K151" i="43"/>
  <c r="K152" i="43"/>
  <c r="K153" i="43"/>
  <c r="K154" i="43"/>
  <c r="K155" i="43"/>
  <c r="K156" i="43"/>
  <c r="K157" i="43"/>
  <c r="K158" i="43"/>
  <c r="K159" i="43"/>
  <c r="K160" i="43"/>
  <c r="K161" i="43"/>
  <c r="K162" i="43"/>
  <c r="K163" i="43"/>
  <c r="K164" i="43"/>
  <c r="K165" i="43"/>
  <c r="K166" i="43"/>
  <c r="K167" i="43"/>
  <c r="K87" i="43"/>
  <c r="K88" i="43"/>
  <c r="K89" i="43"/>
  <c r="K90" i="43"/>
  <c r="K91" i="43"/>
  <c r="K92" i="43"/>
  <c r="K93" i="43"/>
  <c r="K94" i="43"/>
  <c r="K95" i="43"/>
  <c r="K96" i="43"/>
  <c r="K97" i="43"/>
  <c r="K98" i="43"/>
  <c r="K99" i="43"/>
  <c r="K100" i="43"/>
  <c r="K101" i="43"/>
  <c r="K102" i="43"/>
  <c r="K103" i="43"/>
  <c r="K104" i="43"/>
  <c r="K105" i="43"/>
  <c r="K106" i="43"/>
  <c r="K107" i="43"/>
  <c r="K108" i="43"/>
  <c r="K109" i="43"/>
  <c r="K110" i="43"/>
  <c r="K111" i="43"/>
  <c r="K112" i="43"/>
  <c r="K113" i="43"/>
  <c r="K114" i="43"/>
  <c r="K115" i="43"/>
  <c r="K116" i="43"/>
  <c r="K117" i="43"/>
  <c r="K118" i="43"/>
  <c r="K119" i="43"/>
  <c r="K120" i="43"/>
  <c r="K121" i="43"/>
  <c r="K122" i="43"/>
  <c r="K123" i="43"/>
  <c r="K124" i="43"/>
  <c r="K125" i="43"/>
  <c r="K126" i="43"/>
  <c r="K46" i="43"/>
  <c r="K47" i="43"/>
  <c r="K48" i="43"/>
  <c r="K49" i="43"/>
  <c r="K50" i="43"/>
  <c r="K51" i="43"/>
  <c r="K52" i="43"/>
  <c r="K53" i="43"/>
  <c r="K54" i="43"/>
  <c r="K55" i="43"/>
  <c r="K56" i="43"/>
  <c r="K57" i="43"/>
  <c r="K58" i="43"/>
  <c r="K59" i="43"/>
  <c r="K60" i="43"/>
  <c r="K61" i="43"/>
  <c r="K62" i="43"/>
  <c r="K63" i="43"/>
  <c r="K64" i="43"/>
  <c r="K65" i="43"/>
  <c r="K66" i="43"/>
  <c r="K67" i="43"/>
  <c r="K68" i="43"/>
  <c r="K69" i="43"/>
  <c r="K70" i="43"/>
  <c r="K71" i="43"/>
  <c r="K72" i="43"/>
  <c r="K73" i="43"/>
  <c r="K74" i="43"/>
  <c r="K75" i="43"/>
  <c r="K76" i="43"/>
  <c r="K77" i="43"/>
  <c r="K78" i="43"/>
  <c r="K79" i="43"/>
  <c r="K80" i="43"/>
  <c r="K81" i="43"/>
  <c r="K82" i="43"/>
  <c r="K83" i="43"/>
  <c r="K84" i="43"/>
  <c r="K85" i="43"/>
  <c r="K44" i="43"/>
  <c r="K43" i="43"/>
  <c r="K42" i="43"/>
  <c r="K41" i="43"/>
  <c r="K40" i="43"/>
  <c r="K39" i="43"/>
  <c r="K38" i="43"/>
  <c r="K37" i="43"/>
  <c r="K36" i="43"/>
  <c r="K35" i="43"/>
  <c r="K34" i="43"/>
  <c r="K33" i="43"/>
  <c r="K32" i="43"/>
  <c r="K31" i="43"/>
  <c r="K30" i="43"/>
  <c r="K29" i="43"/>
  <c r="K28" i="43"/>
  <c r="K27" i="43"/>
  <c r="K26" i="43"/>
  <c r="K25" i="43"/>
  <c r="K24" i="43"/>
  <c r="K23" i="43"/>
  <c r="K22" i="43"/>
  <c r="K21" i="43"/>
  <c r="K20" i="43"/>
  <c r="K19" i="43"/>
  <c r="K18" i="43"/>
  <c r="K17" i="43"/>
  <c r="K16" i="43"/>
  <c r="K15" i="43"/>
  <c r="K14" i="43"/>
  <c r="K13" i="43"/>
  <c r="K12" i="43"/>
  <c r="K11" i="43"/>
  <c r="K10" i="43"/>
  <c r="K9" i="43"/>
  <c r="K8" i="43"/>
  <c r="K7" i="43"/>
  <c r="K6" i="43"/>
  <c r="K5" i="43"/>
  <c r="I206" i="39"/>
  <c r="G206" i="39"/>
  <c r="I205" i="39"/>
  <c r="G205" i="39"/>
  <c r="I204" i="39"/>
  <c r="G204" i="39"/>
  <c r="I203" i="39"/>
  <c r="G203" i="39"/>
  <c r="I202" i="39"/>
  <c r="G202" i="39"/>
  <c r="I201" i="39"/>
  <c r="G201" i="39"/>
  <c r="I200" i="39"/>
  <c r="G200" i="39"/>
  <c r="I199" i="39"/>
  <c r="G199" i="39"/>
  <c r="I198" i="39"/>
  <c r="G198" i="39"/>
  <c r="I197" i="39"/>
  <c r="G197" i="39"/>
  <c r="I196" i="39"/>
  <c r="G196" i="39"/>
  <c r="I195" i="39"/>
  <c r="G195" i="39"/>
  <c r="I194" i="39"/>
  <c r="G194" i="39"/>
  <c r="I193" i="39"/>
  <c r="G193" i="39"/>
  <c r="I192" i="39"/>
  <c r="G192" i="39"/>
  <c r="I191" i="39"/>
  <c r="G191" i="39"/>
  <c r="I190" i="39"/>
  <c r="G190" i="39"/>
  <c r="I189" i="39"/>
  <c r="G189" i="39"/>
  <c r="I188" i="39"/>
  <c r="G188" i="39"/>
  <c r="I187" i="39"/>
  <c r="G187" i="39"/>
  <c r="I186" i="39"/>
  <c r="G186" i="39"/>
  <c r="I185" i="39"/>
  <c r="G185" i="39"/>
  <c r="I184" i="39"/>
  <c r="G184" i="39"/>
  <c r="I183" i="39"/>
  <c r="G183" i="39"/>
  <c r="I182" i="39"/>
  <c r="G182" i="39"/>
  <c r="I181" i="39"/>
  <c r="G181" i="39"/>
  <c r="I180" i="39"/>
  <c r="G180" i="39"/>
  <c r="I179" i="39"/>
  <c r="G179" i="39"/>
  <c r="I178" i="39"/>
  <c r="G178" i="39"/>
  <c r="I177" i="39"/>
  <c r="G177" i="39"/>
  <c r="I175" i="39"/>
  <c r="G175" i="39"/>
  <c r="I174" i="39"/>
  <c r="G174" i="39"/>
  <c r="I173" i="39"/>
  <c r="G173" i="39"/>
  <c r="I172" i="39"/>
  <c r="G172" i="39"/>
  <c r="I171" i="39"/>
  <c r="G171" i="39"/>
  <c r="I170" i="39"/>
  <c r="G170" i="39"/>
  <c r="I169" i="39"/>
  <c r="G169" i="39"/>
  <c r="I168" i="39"/>
  <c r="G168" i="39"/>
  <c r="I167" i="39"/>
  <c r="G167" i="39"/>
  <c r="I166" i="39"/>
  <c r="G166" i="39"/>
  <c r="I165" i="39"/>
  <c r="G165" i="39"/>
  <c r="I164" i="39"/>
  <c r="G164" i="39"/>
  <c r="I163" i="39"/>
  <c r="G163" i="39"/>
  <c r="I162" i="39"/>
  <c r="G162" i="39"/>
  <c r="I161" i="39"/>
  <c r="G161" i="39"/>
  <c r="I160" i="39"/>
  <c r="G160" i="39"/>
  <c r="I159" i="39"/>
  <c r="G159" i="39"/>
  <c r="I158" i="39"/>
  <c r="G158" i="39"/>
  <c r="I157" i="39"/>
  <c r="G157" i="39"/>
  <c r="I156" i="39"/>
  <c r="G156" i="39"/>
  <c r="I155" i="39"/>
  <c r="G155" i="39"/>
  <c r="I154" i="39"/>
  <c r="G154" i="39"/>
  <c r="I153" i="39"/>
  <c r="G153" i="39"/>
  <c r="I152" i="39"/>
  <c r="G152" i="39"/>
  <c r="I151" i="39"/>
  <c r="G151" i="39"/>
  <c r="I150" i="39"/>
  <c r="G150" i="39"/>
  <c r="I149" i="39"/>
  <c r="G149" i="39"/>
  <c r="I148" i="39"/>
  <c r="G148" i="39"/>
  <c r="I147" i="39"/>
  <c r="G147" i="39"/>
  <c r="I146" i="39"/>
  <c r="G146" i="39"/>
  <c r="I144" i="39"/>
  <c r="G144" i="39"/>
  <c r="I143" i="39"/>
  <c r="G143" i="39"/>
  <c r="I142" i="39"/>
  <c r="G142" i="39"/>
  <c r="I141" i="39"/>
  <c r="G141" i="39"/>
  <c r="I140" i="39"/>
  <c r="G140" i="39"/>
  <c r="I139" i="39"/>
  <c r="G139" i="39"/>
  <c r="I138" i="39"/>
  <c r="G138" i="39"/>
  <c r="I137" i="39"/>
  <c r="G137" i="39"/>
  <c r="I136" i="39"/>
  <c r="G136" i="39"/>
  <c r="I135" i="39"/>
  <c r="G135" i="39"/>
  <c r="I134" i="39"/>
  <c r="G134" i="39"/>
  <c r="I133" i="39"/>
  <c r="G133" i="39"/>
  <c r="I132" i="39"/>
  <c r="G132" i="39"/>
  <c r="I131" i="39"/>
  <c r="G131" i="39"/>
  <c r="I130" i="39"/>
  <c r="G130" i="39"/>
  <c r="I129" i="39"/>
  <c r="G129" i="39"/>
  <c r="I128" i="39"/>
  <c r="G128" i="39"/>
  <c r="I127" i="39"/>
  <c r="G127" i="39"/>
  <c r="I126" i="39"/>
  <c r="G126" i="39"/>
  <c r="I125" i="39"/>
  <c r="G125" i="39"/>
  <c r="I124" i="39"/>
  <c r="G124" i="39"/>
  <c r="I123" i="39"/>
  <c r="G123" i="39"/>
  <c r="I122" i="39"/>
  <c r="G122" i="39"/>
  <c r="I121" i="39"/>
  <c r="G121" i="39"/>
  <c r="I120" i="39"/>
  <c r="G120" i="39"/>
  <c r="I119" i="39"/>
  <c r="G119" i="39"/>
  <c r="I118" i="39"/>
  <c r="G118" i="39"/>
  <c r="I117" i="39"/>
  <c r="G117" i="39"/>
  <c r="I116" i="39"/>
  <c r="G116" i="39"/>
  <c r="I115" i="39"/>
  <c r="G115" i="39"/>
  <c r="I111" i="39"/>
  <c r="G111" i="39"/>
  <c r="I110" i="39"/>
  <c r="G110" i="39"/>
  <c r="I109" i="39"/>
  <c r="G109" i="39"/>
  <c r="I108" i="39"/>
  <c r="G108" i="39"/>
  <c r="I107" i="39"/>
  <c r="G107" i="39"/>
  <c r="I106" i="39"/>
  <c r="G106" i="39"/>
  <c r="I105" i="39"/>
  <c r="G105" i="39"/>
  <c r="I104" i="39"/>
  <c r="G104" i="39"/>
  <c r="I103" i="39"/>
  <c r="G103" i="39"/>
  <c r="I102" i="39"/>
  <c r="G102" i="39"/>
  <c r="I101" i="39"/>
  <c r="G101" i="39"/>
  <c r="I100" i="39"/>
  <c r="G100" i="39"/>
  <c r="I99" i="39"/>
  <c r="G99" i="39"/>
  <c r="I98" i="39"/>
  <c r="G98" i="39"/>
  <c r="I97" i="39"/>
  <c r="G97" i="39"/>
  <c r="I96" i="39"/>
  <c r="G96" i="39"/>
  <c r="I95" i="39"/>
  <c r="G95" i="39"/>
  <c r="I94" i="39"/>
  <c r="G94" i="39"/>
  <c r="I93" i="39"/>
  <c r="G93" i="39"/>
  <c r="I92" i="39"/>
  <c r="G92" i="39"/>
  <c r="I91" i="39"/>
  <c r="G91" i="39"/>
  <c r="I90" i="39"/>
  <c r="G90" i="39"/>
  <c r="I89" i="39"/>
  <c r="G89" i="39"/>
  <c r="I88" i="39"/>
  <c r="G88" i="39"/>
  <c r="I87" i="39"/>
  <c r="G87" i="39"/>
  <c r="I86" i="39"/>
  <c r="G86" i="39"/>
  <c r="I85" i="39"/>
  <c r="G85" i="39"/>
  <c r="I84" i="39"/>
  <c r="G84" i="39"/>
  <c r="I83" i="39"/>
  <c r="G83" i="39"/>
  <c r="I82" i="39"/>
  <c r="G82" i="39"/>
  <c r="I77" i="39"/>
  <c r="G77" i="39"/>
  <c r="I76" i="39"/>
  <c r="G76" i="39"/>
  <c r="I75" i="39"/>
  <c r="G75" i="39"/>
  <c r="I74" i="39"/>
  <c r="G74" i="39"/>
  <c r="I73" i="39"/>
  <c r="G73" i="39"/>
  <c r="I72" i="39"/>
  <c r="G72" i="39"/>
  <c r="I71" i="39"/>
  <c r="G71" i="39"/>
  <c r="I70" i="39"/>
  <c r="G70" i="39"/>
  <c r="I69" i="39"/>
  <c r="G69" i="39"/>
  <c r="I68" i="39"/>
  <c r="G68" i="39"/>
  <c r="I67" i="39"/>
  <c r="G67" i="39"/>
  <c r="I66" i="39"/>
  <c r="G66" i="39"/>
  <c r="I65" i="39"/>
  <c r="G65" i="39"/>
  <c r="I64" i="39"/>
  <c r="G64" i="39"/>
  <c r="I63" i="39"/>
  <c r="G63" i="39"/>
  <c r="I62" i="39"/>
  <c r="G62" i="39"/>
  <c r="I61" i="39"/>
  <c r="G61" i="39"/>
  <c r="I60" i="39"/>
  <c r="G60" i="39"/>
  <c r="I59" i="39"/>
  <c r="G59" i="39"/>
  <c r="I58" i="39"/>
  <c r="G58" i="39"/>
  <c r="I57" i="39"/>
  <c r="G57" i="39"/>
  <c r="I56" i="39"/>
  <c r="G56" i="39"/>
  <c r="I55" i="39"/>
  <c r="G55" i="39"/>
  <c r="I54" i="39"/>
  <c r="G54" i="39"/>
  <c r="I53" i="39"/>
  <c r="G53" i="39"/>
  <c r="I52" i="39"/>
  <c r="G52" i="39"/>
  <c r="I51" i="39"/>
  <c r="G51" i="39"/>
  <c r="I50" i="39"/>
  <c r="G50" i="39"/>
  <c r="I49" i="39"/>
  <c r="G49" i="39"/>
  <c r="I48" i="39"/>
  <c r="G48" i="39"/>
  <c r="I34" i="39"/>
  <c r="G34" i="39"/>
  <c r="I33" i="39"/>
  <c r="G33" i="39"/>
  <c r="I32" i="39"/>
  <c r="G32" i="39"/>
  <c r="I31" i="39"/>
  <c r="G31" i="39"/>
  <c r="I30" i="39"/>
  <c r="G30" i="39"/>
  <c r="I29" i="39"/>
  <c r="G29" i="39"/>
  <c r="I28" i="39"/>
  <c r="G28" i="39"/>
  <c r="I27" i="39"/>
  <c r="G27" i="39"/>
  <c r="I26" i="39"/>
  <c r="G26" i="39"/>
  <c r="I25" i="39"/>
  <c r="G25" i="39"/>
  <c r="I24" i="39"/>
  <c r="G24" i="39"/>
  <c r="I23" i="39"/>
  <c r="G23" i="39"/>
  <c r="I22" i="39"/>
  <c r="G22" i="39"/>
  <c r="I21" i="39"/>
  <c r="G21" i="39"/>
  <c r="I20" i="39"/>
  <c r="G20" i="39"/>
  <c r="I19" i="39"/>
  <c r="G19" i="39"/>
  <c r="I18" i="39"/>
  <c r="G18" i="39"/>
  <c r="I17" i="39"/>
  <c r="G17" i="39"/>
  <c r="I16" i="39"/>
  <c r="G16" i="39"/>
  <c r="I15" i="39"/>
  <c r="G15" i="39"/>
  <c r="I14" i="39"/>
  <c r="G14" i="39"/>
  <c r="I13" i="39"/>
  <c r="G13" i="39"/>
  <c r="I12" i="39"/>
  <c r="G12" i="39"/>
  <c r="I11" i="39"/>
  <c r="G11" i="39"/>
  <c r="I10" i="39"/>
  <c r="G10" i="39"/>
  <c r="I9" i="39"/>
  <c r="G9" i="39"/>
  <c r="I8" i="39"/>
  <c r="G8" i="39"/>
  <c r="I7" i="39"/>
  <c r="G7" i="39"/>
  <c r="I6" i="39"/>
  <c r="G6" i="39"/>
  <c r="I5" i="39"/>
  <c r="G5" i="39"/>
  <c r="J87" i="38"/>
  <c r="J83" i="38"/>
  <c r="J82" i="38"/>
  <c r="J77" i="38"/>
  <c r="J76" i="38"/>
  <c r="J75" i="38"/>
  <c r="J74" i="38"/>
  <c r="J71" i="38"/>
  <c r="J69" i="38"/>
  <c r="J68" i="38"/>
  <c r="J63" i="38"/>
  <c r="J62" i="38"/>
  <c r="J61" i="38"/>
  <c r="J53" i="38"/>
  <c r="J44" i="38"/>
  <c r="J38" i="38"/>
  <c r="J36" i="38"/>
  <c r="J35" i="38"/>
  <c r="J34" i="38"/>
  <c r="J33" i="38"/>
  <c r="J32" i="38"/>
  <c r="J31" i="38"/>
  <c r="J28" i="38"/>
  <c r="J17" i="38"/>
  <c r="J16" i="38"/>
  <c r="J15" i="38"/>
  <c r="J13" i="38"/>
  <c r="J11" i="38"/>
  <c r="J10" i="38"/>
  <c r="J9" i="38"/>
  <c r="J8" i="38"/>
  <c r="J7" i="38"/>
  <c r="J6" i="38"/>
  <c r="J5" i="38"/>
  <c r="I49" i="36"/>
  <c r="I48" i="36"/>
  <c r="I47" i="36"/>
  <c r="I46" i="36"/>
  <c r="I45" i="36"/>
  <c r="I44" i="36"/>
  <c r="I43" i="36"/>
  <c r="I42" i="36"/>
  <c r="I41" i="36"/>
  <c r="I40" i="36"/>
  <c r="I39" i="36"/>
  <c r="I38" i="36"/>
  <c r="I37" i="36"/>
  <c r="I36" i="36"/>
  <c r="I35" i="36"/>
  <c r="I34" i="36"/>
  <c r="I33" i="36"/>
  <c r="I32" i="36"/>
  <c r="I31" i="36"/>
  <c r="I30" i="36"/>
  <c r="I29" i="36"/>
  <c r="I28" i="36"/>
  <c r="I27" i="36"/>
  <c r="I26" i="36"/>
  <c r="I25" i="36"/>
  <c r="I24" i="36"/>
  <c r="I23" i="36"/>
  <c r="I22" i="36"/>
  <c r="I21" i="36"/>
  <c r="I20" i="36"/>
  <c r="I19" i="36"/>
  <c r="I18" i="36"/>
  <c r="I17" i="36"/>
  <c r="I16" i="36"/>
  <c r="I15" i="36"/>
  <c r="I14" i="36"/>
  <c r="I13" i="36"/>
  <c r="I12" i="36"/>
  <c r="I11" i="36"/>
  <c r="I10" i="36"/>
  <c r="I9" i="36"/>
  <c r="I8" i="36"/>
  <c r="I7" i="36"/>
  <c r="I6" i="36"/>
  <c r="I5" i="36"/>
  <c r="J37" i="33"/>
  <c r="J36" i="33"/>
  <c r="J35" i="33"/>
  <c r="J34" i="33"/>
  <c r="J33" i="33"/>
  <c r="J32" i="33"/>
  <c r="J31" i="33"/>
  <c r="J30" i="33"/>
  <c r="J29" i="33"/>
  <c r="J28" i="33"/>
  <c r="J27" i="33"/>
  <c r="J26" i="33"/>
  <c r="J25" i="33"/>
  <c r="J24" i="33"/>
  <c r="J23" i="33"/>
  <c r="J22" i="33"/>
  <c r="J21" i="33"/>
  <c r="J20" i="33"/>
  <c r="J19" i="33"/>
  <c r="J18" i="33"/>
  <c r="J17" i="33"/>
  <c r="J16" i="33"/>
  <c r="J15" i="33"/>
  <c r="J14" i="33"/>
  <c r="J13" i="33"/>
  <c r="J12" i="33"/>
  <c r="J8" i="33"/>
  <c r="J7" i="33"/>
  <c r="J6" i="33"/>
  <c r="J5" i="33"/>
  <c r="H65" i="31"/>
  <c r="H63" i="31"/>
  <c r="H62" i="31"/>
  <c r="H61" i="31"/>
  <c r="H58" i="31"/>
  <c r="H57" i="31"/>
  <c r="H56" i="31"/>
  <c r="H54" i="31"/>
  <c r="H53" i="31"/>
  <c r="H52" i="31"/>
  <c r="H51" i="31"/>
  <c r="H50" i="31"/>
  <c r="H49" i="31"/>
  <c r="H48" i="31"/>
  <c r="H47" i="31"/>
  <c r="H46" i="31"/>
  <c r="H45" i="31"/>
  <c r="H44" i="31"/>
  <c r="H43" i="31"/>
  <c r="H40" i="31"/>
  <c r="H39" i="31"/>
  <c r="H37" i="31"/>
  <c r="H36" i="31"/>
  <c r="H35" i="31"/>
  <c r="H34" i="31"/>
  <c r="H33" i="31"/>
  <c r="H32" i="31"/>
  <c r="H30" i="31"/>
  <c r="H28" i="31"/>
  <c r="H27" i="31"/>
  <c r="H26" i="31"/>
  <c r="H25" i="31"/>
  <c r="H23" i="31"/>
  <c r="H22" i="31"/>
  <c r="H16" i="31"/>
  <c r="H15" i="31"/>
  <c r="H14" i="31"/>
  <c r="H12" i="31"/>
  <c r="H11" i="31"/>
  <c r="H10" i="31"/>
  <c r="H8" i="31"/>
  <c r="H7" i="31"/>
  <c r="H6" i="31"/>
  <c r="H5" i="31"/>
  <c r="H52" i="27"/>
  <c r="H50" i="27"/>
  <c r="H49" i="27"/>
  <c r="H48" i="27"/>
  <c r="H47" i="27"/>
  <c r="H46" i="27"/>
  <c r="H45" i="27"/>
  <c r="H44" i="27"/>
  <c r="H42" i="27"/>
  <c r="H41" i="27"/>
  <c r="H40" i="27"/>
  <c r="H39" i="27"/>
  <c r="H38" i="27"/>
  <c r="H37" i="27"/>
  <c r="H36" i="27"/>
  <c r="H34" i="27"/>
  <c r="H33" i="27"/>
  <c r="H32" i="27"/>
  <c r="H31" i="27"/>
  <c r="H30" i="27"/>
  <c r="H29" i="27"/>
  <c r="H28" i="27"/>
  <c r="H26" i="27"/>
  <c r="H25" i="27"/>
  <c r="H24" i="27"/>
  <c r="H23" i="27"/>
  <c r="H22" i="27"/>
  <c r="H21" i="27"/>
  <c r="H20" i="27"/>
  <c r="H19" i="27"/>
  <c r="H18" i="27"/>
  <c r="H17" i="27"/>
  <c r="H16" i="27"/>
  <c r="H15" i="27"/>
  <c r="H13" i="27"/>
  <c r="H12" i="27"/>
  <c r="H11" i="27"/>
  <c r="H10" i="27"/>
  <c r="H9" i="27"/>
  <c r="H8" i="27"/>
  <c r="H7" i="27"/>
  <c r="H6" i="27"/>
  <c r="H5" i="27"/>
  <c r="I116" i="23"/>
  <c r="I115" i="23"/>
  <c r="I114" i="23"/>
  <c r="I113" i="23"/>
  <c r="I112" i="23"/>
  <c r="I111" i="23"/>
  <c r="I110" i="23"/>
  <c r="I108" i="23"/>
  <c r="I107" i="23"/>
  <c r="I106" i="23"/>
  <c r="I105" i="23"/>
  <c r="I104" i="23"/>
  <c r="I103" i="23"/>
  <c r="I102" i="23"/>
  <c r="I100" i="23"/>
  <c r="I99" i="23"/>
  <c r="I98" i="23"/>
  <c r="I97" i="23"/>
  <c r="I96" i="23"/>
  <c r="I95" i="23"/>
  <c r="I94" i="23"/>
  <c r="I93" i="23"/>
  <c r="I92" i="23"/>
  <c r="I91" i="23"/>
  <c r="I90" i="23"/>
  <c r="I89" i="23"/>
  <c r="I87" i="23"/>
  <c r="I86" i="23"/>
  <c r="I85" i="23"/>
  <c r="I84" i="23"/>
  <c r="I83" i="23"/>
  <c r="I82" i="23"/>
  <c r="I81" i="23"/>
  <c r="I80" i="23"/>
  <c r="I79" i="23"/>
  <c r="I78" i="23"/>
  <c r="I29" i="23"/>
  <c r="I28" i="23"/>
  <c r="I27" i="23"/>
  <c r="I26" i="23"/>
  <c r="I25" i="23"/>
  <c r="I24" i="23"/>
  <c r="I23" i="23"/>
  <c r="I22" i="23"/>
  <c r="I21" i="23"/>
  <c r="I20" i="23"/>
  <c r="I19" i="23"/>
  <c r="I18" i="23"/>
  <c r="I17" i="23"/>
  <c r="I16" i="23"/>
  <c r="I15" i="23"/>
  <c r="I14" i="23"/>
  <c r="I13" i="23"/>
  <c r="I12" i="23"/>
  <c r="I11" i="23"/>
  <c r="I10" i="23"/>
  <c r="I9" i="23"/>
  <c r="I8" i="23"/>
  <c r="I7" i="23"/>
  <c r="I6" i="23"/>
  <c r="I5" i="23"/>
  <c r="J161" i="22"/>
  <c r="G161" i="22"/>
  <c r="J160" i="22"/>
  <c r="G160" i="22"/>
  <c r="J159" i="22"/>
  <c r="G159" i="22"/>
  <c r="J158" i="22"/>
  <c r="G158" i="22"/>
  <c r="J157" i="22"/>
  <c r="G157" i="22"/>
  <c r="J156" i="22"/>
  <c r="G156" i="22"/>
  <c r="J155" i="22"/>
  <c r="G155" i="22"/>
  <c r="J154" i="22"/>
  <c r="G154" i="22"/>
  <c r="J153" i="22"/>
  <c r="G153" i="22"/>
  <c r="J152" i="22"/>
  <c r="G152" i="22"/>
  <c r="J151" i="22"/>
  <c r="G151" i="22"/>
  <c r="J150" i="22"/>
  <c r="G150" i="22"/>
  <c r="J149" i="22"/>
  <c r="G149" i="22"/>
  <c r="J148" i="22"/>
  <c r="G148" i="22"/>
  <c r="J147" i="22"/>
  <c r="G147" i="22"/>
  <c r="J146" i="22"/>
  <c r="G146" i="22"/>
  <c r="J145" i="22"/>
  <c r="G145" i="22"/>
  <c r="J144" i="22"/>
  <c r="G144" i="22"/>
  <c r="J143" i="22"/>
  <c r="G143" i="22"/>
  <c r="J142" i="22"/>
  <c r="G142" i="22"/>
  <c r="J141" i="22"/>
  <c r="G141" i="22"/>
  <c r="J140" i="22"/>
  <c r="G140" i="22"/>
  <c r="J139" i="22"/>
  <c r="G139" i="22"/>
  <c r="J138" i="22"/>
  <c r="G138" i="22"/>
  <c r="J137" i="22"/>
  <c r="G137" i="22"/>
  <c r="J136" i="22"/>
  <c r="G136" i="22"/>
  <c r="J135" i="22"/>
  <c r="G135" i="22"/>
  <c r="J134" i="22"/>
  <c r="G134" i="22"/>
  <c r="J133" i="22"/>
  <c r="G133" i="22"/>
  <c r="J132" i="22"/>
  <c r="G132" i="22"/>
  <c r="J131" i="22"/>
  <c r="G131" i="22"/>
  <c r="J130" i="22"/>
  <c r="G130" i="22"/>
  <c r="J129" i="22"/>
  <c r="G129" i="22"/>
  <c r="J128" i="22"/>
  <c r="G128" i="22"/>
  <c r="J127" i="22"/>
  <c r="G127" i="22"/>
  <c r="J126" i="22"/>
  <c r="G126" i="22"/>
  <c r="J125" i="22"/>
  <c r="G125" i="22"/>
  <c r="J124" i="22"/>
  <c r="G124" i="22"/>
  <c r="J123" i="22"/>
  <c r="G123" i="22"/>
  <c r="J122" i="22"/>
  <c r="G122" i="22"/>
  <c r="J121" i="22"/>
  <c r="G121" i="22"/>
  <c r="J120" i="22"/>
  <c r="G120" i="22"/>
  <c r="J119" i="22"/>
  <c r="G119" i="22"/>
  <c r="J118" i="22"/>
  <c r="G118" i="22"/>
  <c r="J117" i="22"/>
  <c r="G117" i="22"/>
  <c r="J116" i="22"/>
  <c r="G116" i="22"/>
  <c r="J115" i="22"/>
  <c r="G115" i="22"/>
  <c r="J114" i="22"/>
  <c r="G114" i="22"/>
  <c r="J113" i="22"/>
  <c r="G113" i="22"/>
  <c r="J112" i="22"/>
  <c r="G112" i="22"/>
  <c r="J111" i="22"/>
  <c r="G111" i="22"/>
  <c r="J110" i="22"/>
  <c r="G110" i="22"/>
  <c r="J109" i="22"/>
  <c r="G109" i="22"/>
  <c r="J108" i="22"/>
  <c r="G108" i="22"/>
  <c r="J107" i="22"/>
  <c r="G107" i="22"/>
  <c r="J106" i="22"/>
  <c r="G106" i="22"/>
  <c r="J105" i="22"/>
  <c r="G105" i="22"/>
  <c r="J104" i="22"/>
  <c r="G104" i="22"/>
  <c r="J103" i="22"/>
  <c r="G103" i="22"/>
  <c r="J102" i="22"/>
  <c r="G102" i="22"/>
  <c r="J101" i="22"/>
  <c r="G101" i="22"/>
  <c r="J100" i="22"/>
  <c r="G100" i="22"/>
  <c r="J99" i="22"/>
  <c r="G99" i="22"/>
  <c r="J98" i="22"/>
  <c r="G98" i="22"/>
  <c r="J97" i="22"/>
  <c r="G97" i="22"/>
  <c r="J96" i="22"/>
  <c r="G96" i="22"/>
  <c r="J95" i="22"/>
  <c r="G95" i="22"/>
  <c r="J94" i="22"/>
  <c r="G94" i="22"/>
  <c r="J93" i="22"/>
  <c r="G93" i="22"/>
  <c r="J92" i="22"/>
  <c r="G92" i="22"/>
  <c r="J91" i="22"/>
  <c r="G91" i="22"/>
  <c r="J90" i="22"/>
  <c r="G90" i="22"/>
  <c r="J89" i="22"/>
  <c r="G89" i="22"/>
  <c r="J88" i="22"/>
  <c r="G88" i="22"/>
  <c r="J87" i="22"/>
  <c r="G87" i="22"/>
  <c r="J86" i="22"/>
  <c r="G86" i="22"/>
  <c r="J85" i="22"/>
  <c r="G85" i="22"/>
  <c r="J84" i="22"/>
  <c r="G84" i="22"/>
  <c r="J83" i="22"/>
  <c r="G83" i="22"/>
  <c r="J82" i="22"/>
  <c r="G82" i="22"/>
  <c r="J81" i="22"/>
  <c r="G81" i="22"/>
  <c r="J80" i="22"/>
  <c r="G80" i="22"/>
  <c r="J79" i="22"/>
  <c r="G79" i="22"/>
  <c r="J78" i="22"/>
  <c r="G78" i="22"/>
  <c r="J77" i="22"/>
  <c r="G77" i="22"/>
  <c r="J76" i="22"/>
  <c r="G76" i="22"/>
  <c r="J75" i="22"/>
  <c r="G75" i="22"/>
  <c r="J74" i="22"/>
  <c r="G74" i="22"/>
  <c r="J73" i="22"/>
  <c r="G73" i="22"/>
  <c r="J72" i="22"/>
  <c r="G72" i="22"/>
  <c r="J71" i="22"/>
  <c r="G71" i="22"/>
  <c r="J70" i="22"/>
  <c r="G70" i="22"/>
  <c r="J69" i="22"/>
  <c r="G69" i="22"/>
  <c r="J68" i="22"/>
  <c r="G68" i="22"/>
  <c r="J67" i="22"/>
  <c r="G67" i="22"/>
  <c r="G66" i="22"/>
  <c r="J65" i="22"/>
  <c r="G65" i="22"/>
  <c r="G64" i="22"/>
  <c r="J63" i="22"/>
  <c r="G63" i="22"/>
  <c r="J62" i="22"/>
  <c r="G62" i="22"/>
  <c r="J61" i="22"/>
  <c r="G61" i="22"/>
  <c r="J60" i="22"/>
  <c r="G60" i="22"/>
  <c r="J59" i="22"/>
  <c r="G59" i="22"/>
  <c r="J58" i="22"/>
  <c r="G58" i="22"/>
  <c r="J57" i="22"/>
  <c r="G57" i="22"/>
  <c r="J56" i="22"/>
  <c r="G56" i="22"/>
  <c r="J55" i="22"/>
  <c r="G55" i="22"/>
  <c r="G54" i="22"/>
  <c r="J53" i="22"/>
  <c r="G53" i="22"/>
  <c r="J52" i="22"/>
  <c r="G52" i="22"/>
  <c r="J51" i="22"/>
  <c r="G51" i="22"/>
  <c r="J50" i="22"/>
  <c r="G50" i="22"/>
  <c r="G49" i="22"/>
  <c r="J48" i="22"/>
  <c r="G48" i="22"/>
  <c r="J47" i="22"/>
  <c r="G47" i="22"/>
  <c r="J46" i="22"/>
  <c r="G46" i="22"/>
  <c r="J45" i="22"/>
  <c r="G45" i="22"/>
  <c r="J44" i="22"/>
  <c r="G44" i="22"/>
  <c r="J43" i="22"/>
  <c r="G43" i="22"/>
  <c r="J42" i="22"/>
  <c r="G42" i="22"/>
  <c r="J41" i="22"/>
  <c r="G41" i="22"/>
  <c r="J40" i="22"/>
  <c r="G40" i="22"/>
  <c r="J39" i="22"/>
  <c r="G39" i="22"/>
  <c r="J38" i="22"/>
  <c r="G38" i="22"/>
  <c r="J37" i="22"/>
  <c r="G37" i="22"/>
  <c r="J36" i="22"/>
  <c r="G36" i="22"/>
  <c r="J35" i="22"/>
  <c r="G35" i="22"/>
  <c r="J34" i="22"/>
  <c r="G34" i="22"/>
  <c r="J33" i="22"/>
  <c r="G33" i="22"/>
  <c r="J32" i="22"/>
  <c r="G32" i="22"/>
  <c r="J31" i="22"/>
  <c r="J30" i="22"/>
  <c r="J29" i="22"/>
  <c r="J28" i="22"/>
  <c r="J27" i="22"/>
  <c r="J26" i="22"/>
  <c r="J25" i="22"/>
  <c r="J24" i="22"/>
  <c r="J23" i="22"/>
  <c r="J22" i="22"/>
  <c r="J21" i="22"/>
  <c r="J20" i="22"/>
  <c r="J19" i="22"/>
  <c r="J18" i="22"/>
  <c r="J17" i="22"/>
  <c r="J16" i="22"/>
  <c r="J15" i="22"/>
  <c r="J14" i="22"/>
  <c r="J13" i="22"/>
  <c r="J12" i="22"/>
  <c r="J11" i="22"/>
  <c r="J10" i="22"/>
  <c r="J9" i="22"/>
  <c r="J8" i="22"/>
  <c r="J7" i="22"/>
  <c r="J6" i="22"/>
  <c r="J5" i="22"/>
  <c r="J182" i="21"/>
  <c r="J181" i="21"/>
  <c r="J180" i="21"/>
  <c r="J179" i="21"/>
  <c r="J178" i="21"/>
  <c r="J175" i="21"/>
  <c r="J174" i="21"/>
  <c r="J173" i="21"/>
  <c r="J172" i="21"/>
  <c r="J167" i="21"/>
  <c r="J166" i="21"/>
  <c r="J165" i="21"/>
  <c r="J164" i="21"/>
  <c r="J162" i="21"/>
  <c r="J161" i="21"/>
  <c r="J160" i="21"/>
  <c r="J159" i="21"/>
  <c r="J158" i="21"/>
  <c r="J157" i="21"/>
  <c r="J156" i="21"/>
  <c r="J155" i="21"/>
  <c r="J154" i="21"/>
  <c r="J153" i="21"/>
  <c r="J152" i="21"/>
  <c r="J151" i="21"/>
  <c r="J150" i="21"/>
  <c r="J149" i="21"/>
  <c r="J147" i="21"/>
  <c r="J146" i="21"/>
  <c r="J145" i="21"/>
  <c r="J144" i="21"/>
  <c r="J143" i="21"/>
  <c r="J142" i="21"/>
  <c r="J141" i="21"/>
  <c r="J140" i="21"/>
  <c r="J139" i="21"/>
  <c r="J137" i="21"/>
  <c r="J136" i="21"/>
  <c r="J135" i="21"/>
  <c r="J134" i="21"/>
  <c r="J133" i="21"/>
  <c r="J132" i="21"/>
  <c r="J131" i="21"/>
  <c r="J130" i="21"/>
  <c r="J129" i="21"/>
  <c r="J128" i="21"/>
  <c r="J127" i="21"/>
  <c r="J126" i="21"/>
  <c r="J125" i="21"/>
  <c r="J124" i="21"/>
  <c r="J123" i="21"/>
  <c r="J122" i="21"/>
  <c r="J121" i="21"/>
  <c r="J120" i="21"/>
  <c r="J119" i="21"/>
  <c r="J118" i="21"/>
  <c r="J117" i="21"/>
  <c r="J116" i="21"/>
  <c r="J115" i="21"/>
  <c r="J114" i="21"/>
  <c r="J113" i="21"/>
  <c r="J112" i="21"/>
  <c r="J111" i="21"/>
  <c r="J110" i="21"/>
  <c r="J109" i="21"/>
  <c r="J108" i="21"/>
  <c r="J107" i="21"/>
  <c r="J106" i="21"/>
  <c r="J105" i="21"/>
  <c r="J104" i="21"/>
  <c r="J103" i="21"/>
  <c r="J102" i="21"/>
  <c r="J101" i="21"/>
  <c r="J100" i="21"/>
  <c r="J99" i="21"/>
  <c r="J98" i="21"/>
  <c r="J97" i="21"/>
  <c r="J96" i="21"/>
  <c r="J95" i="21"/>
  <c r="J94" i="21"/>
  <c r="J93" i="21"/>
  <c r="J92" i="21"/>
  <c r="J91" i="21"/>
  <c r="J90" i="21"/>
  <c r="J89" i="21"/>
  <c r="J88" i="21"/>
  <c r="J87" i="21"/>
  <c r="J86" i="21"/>
  <c r="J85" i="21"/>
  <c r="J84" i="21"/>
  <c r="J83" i="21"/>
  <c r="J82" i="21"/>
  <c r="J81" i="21"/>
  <c r="J80" i="21"/>
  <c r="J79" i="21"/>
  <c r="J78" i="21"/>
  <c r="J77" i="21"/>
  <c r="J76" i="21"/>
  <c r="J75" i="21"/>
  <c r="J74" i="21"/>
  <c r="J73" i="21"/>
  <c r="J71" i="21"/>
  <c r="J70" i="21"/>
  <c r="J69" i="21"/>
  <c r="J68" i="21"/>
  <c r="J67" i="21"/>
  <c r="J66" i="21"/>
  <c r="J65" i="21"/>
  <c r="J64" i="21"/>
  <c r="J63" i="21"/>
  <c r="J62" i="21"/>
  <c r="J61" i="21"/>
  <c r="J60" i="21"/>
  <c r="J59" i="21"/>
  <c r="J58" i="21"/>
  <c r="J57" i="21"/>
  <c r="J56" i="21"/>
  <c r="J55" i="21"/>
  <c r="J54" i="21"/>
  <c r="J53" i="21"/>
  <c r="J52" i="21"/>
  <c r="J51" i="21"/>
  <c r="J50" i="21"/>
  <c r="J49" i="2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13" i="21"/>
  <c r="J12" i="21"/>
  <c r="J11" i="21"/>
  <c r="J10" i="21"/>
  <c r="J9" i="21"/>
  <c r="J8" i="21"/>
  <c r="J7" i="21"/>
  <c r="J6" i="21"/>
  <c r="J5" i="21"/>
  <c r="I37" i="20"/>
  <c r="I36" i="20"/>
  <c r="I35" i="20"/>
  <c r="I34" i="20"/>
  <c r="I32" i="20"/>
  <c r="I31" i="20"/>
  <c r="I30" i="20"/>
  <c r="I29" i="20"/>
  <c r="I28" i="20"/>
  <c r="I26" i="20"/>
  <c r="I25" i="20"/>
  <c r="I24" i="20"/>
  <c r="I23" i="20"/>
  <c r="I21" i="20"/>
  <c r="I19" i="20"/>
  <c r="I18" i="20"/>
  <c r="I17" i="20"/>
  <c r="I16" i="20"/>
  <c r="I14" i="20"/>
  <c r="I13" i="20"/>
  <c r="I12" i="20"/>
  <c r="I11" i="20"/>
  <c r="I10" i="20"/>
  <c r="I9" i="20"/>
  <c r="I7" i="20"/>
  <c r="I6" i="20"/>
  <c r="I5" i="20"/>
  <c r="J193" i="19"/>
  <c r="J191" i="19"/>
  <c r="J190" i="19"/>
  <c r="J189" i="19"/>
  <c r="J188" i="19"/>
  <c r="J187" i="19"/>
  <c r="J186" i="19"/>
  <c r="J185" i="19"/>
  <c r="J184" i="19"/>
  <c r="J183" i="19"/>
  <c r="J182" i="19"/>
  <c r="J181" i="19"/>
  <c r="J180" i="19"/>
  <c r="J179" i="19"/>
  <c r="J178" i="19"/>
  <c r="J176" i="19"/>
  <c r="J175" i="19"/>
  <c r="J174" i="19"/>
  <c r="J173" i="19"/>
  <c r="J172" i="19"/>
  <c r="J171" i="19"/>
  <c r="J170" i="19"/>
  <c r="J169" i="19"/>
  <c r="J168" i="19"/>
  <c r="J167" i="19"/>
  <c r="J166" i="19"/>
  <c r="J165" i="19"/>
  <c r="J164" i="19"/>
  <c r="J163" i="19"/>
  <c r="J162" i="19"/>
  <c r="J161" i="19"/>
  <c r="J160" i="19"/>
  <c r="J159" i="19"/>
  <c r="J158" i="19"/>
  <c r="J157" i="19"/>
  <c r="J156" i="19"/>
  <c r="J155" i="19"/>
  <c r="J154" i="19"/>
  <c r="J153" i="19"/>
  <c r="J152" i="19"/>
  <c r="J151" i="19"/>
  <c r="J150" i="19"/>
  <c r="J149" i="19"/>
  <c r="J148" i="19"/>
  <c r="J147" i="19"/>
  <c r="J146" i="19"/>
  <c r="J145" i="19"/>
  <c r="J144" i="19"/>
  <c r="J143" i="19"/>
  <c r="J142" i="19"/>
  <c r="J141" i="19"/>
  <c r="J140" i="19"/>
  <c r="J139" i="19"/>
  <c r="J138" i="19"/>
  <c r="J137" i="19"/>
  <c r="J136" i="19"/>
  <c r="J135" i="19"/>
  <c r="J134" i="19"/>
  <c r="J133" i="19"/>
  <c r="J132" i="19"/>
  <c r="J131" i="19"/>
  <c r="J130" i="19"/>
  <c r="J129" i="19"/>
  <c r="J128" i="19"/>
  <c r="J127" i="19"/>
  <c r="J126" i="19"/>
  <c r="J125" i="19"/>
  <c r="J124" i="19"/>
  <c r="J123" i="19"/>
  <c r="J122" i="19"/>
  <c r="J121" i="19"/>
  <c r="J120" i="19"/>
  <c r="J119" i="19"/>
  <c r="J118" i="19"/>
  <c r="J117" i="19"/>
  <c r="J116" i="19"/>
  <c r="J115" i="19"/>
  <c r="J114" i="19"/>
  <c r="J113" i="19"/>
  <c r="J112" i="19"/>
  <c r="J111" i="19"/>
  <c r="J110" i="19"/>
  <c r="J109" i="19"/>
  <c r="J108" i="19"/>
  <c r="J107" i="19"/>
  <c r="J106" i="19"/>
  <c r="J105" i="19"/>
  <c r="J104" i="19"/>
  <c r="J103" i="19"/>
  <c r="J102" i="19"/>
  <c r="J101" i="19"/>
  <c r="J100" i="19"/>
  <c r="J99" i="19"/>
  <c r="J98" i="19"/>
  <c r="J97" i="19"/>
  <c r="J96" i="19"/>
  <c r="J95" i="19"/>
  <c r="J94" i="19"/>
  <c r="J93" i="19"/>
  <c r="J92" i="19"/>
  <c r="J91" i="19"/>
  <c r="J90" i="19"/>
  <c r="J89" i="19"/>
  <c r="J88" i="19"/>
  <c r="J87" i="19"/>
  <c r="J86" i="19"/>
  <c r="J85" i="19"/>
  <c r="J84" i="19"/>
  <c r="J83" i="19"/>
  <c r="J82" i="19"/>
  <c r="J81" i="19"/>
  <c r="J80" i="19"/>
  <c r="J79" i="19"/>
  <c r="J78" i="19"/>
  <c r="J77" i="19"/>
  <c r="J76" i="19"/>
  <c r="J75" i="19"/>
  <c r="J74" i="19"/>
  <c r="J73" i="19"/>
  <c r="J72" i="19"/>
  <c r="J71" i="19"/>
  <c r="J70" i="19"/>
  <c r="J69" i="19"/>
  <c r="J68" i="19"/>
  <c r="J67" i="19"/>
  <c r="J66" i="19"/>
  <c r="J65" i="19"/>
  <c r="J64" i="19"/>
  <c r="J63" i="19"/>
  <c r="J62" i="19"/>
  <c r="J61" i="19"/>
  <c r="J60" i="19"/>
  <c r="J59" i="19"/>
  <c r="J58" i="19"/>
  <c r="J57" i="19"/>
  <c r="J56" i="19"/>
  <c r="J55" i="19"/>
  <c r="J54" i="19"/>
  <c r="J53" i="19"/>
  <c r="J52" i="19"/>
  <c r="J51" i="19"/>
  <c r="J50" i="19"/>
  <c r="J49" i="19"/>
  <c r="J48" i="19"/>
  <c r="J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119" i="18"/>
  <c r="H119" i="18"/>
  <c r="J118" i="18"/>
  <c r="H118" i="18"/>
  <c r="J117" i="18"/>
  <c r="H117" i="18"/>
  <c r="J115" i="18"/>
  <c r="H115" i="18"/>
  <c r="J114" i="18"/>
  <c r="H114" i="18"/>
  <c r="J113" i="18"/>
  <c r="H113" i="18"/>
  <c r="J111" i="18"/>
  <c r="H111" i="18"/>
  <c r="J110" i="18"/>
  <c r="H110" i="18"/>
  <c r="J109" i="18"/>
  <c r="H109" i="18"/>
  <c r="J108" i="18"/>
  <c r="H108" i="18"/>
  <c r="J107" i="18"/>
  <c r="H107" i="18"/>
  <c r="J106" i="18"/>
  <c r="H106" i="18"/>
  <c r="J105" i="18"/>
  <c r="H105" i="18"/>
  <c r="J104" i="18"/>
  <c r="H104" i="18"/>
  <c r="J103" i="18"/>
  <c r="H103" i="18"/>
  <c r="J102" i="18"/>
  <c r="H102" i="18"/>
  <c r="J101" i="18"/>
  <c r="H101" i="18"/>
  <c r="J99" i="18"/>
  <c r="H99" i="18"/>
  <c r="J98" i="18"/>
  <c r="H98" i="18"/>
  <c r="J97" i="18"/>
  <c r="H97" i="18"/>
  <c r="J96" i="18"/>
  <c r="H96" i="18"/>
  <c r="J95" i="18"/>
  <c r="H95" i="18"/>
  <c r="J94" i="18"/>
  <c r="H94" i="18"/>
  <c r="J93" i="18"/>
  <c r="H93" i="18"/>
  <c r="J92" i="18"/>
  <c r="H92" i="18"/>
  <c r="J91" i="18"/>
  <c r="H91" i="18"/>
  <c r="J90" i="18"/>
  <c r="H90" i="18"/>
  <c r="J89" i="18"/>
  <c r="H89" i="18"/>
  <c r="J88" i="18"/>
  <c r="H88" i="18"/>
  <c r="J87" i="18"/>
  <c r="H87" i="18"/>
  <c r="J86" i="18"/>
  <c r="H86" i="18"/>
  <c r="J85" i="18"/>
  <c r="H85" i="18"/>
  <c r="J84" i="18"/>
  <c r="H84" i="18"/>
  <c r="J83" i="18"/>
  <c r="H83" i="18"/>
  <c r="J82" i="18"/>
  <c r="H82" i="18"/>
  <c r="J81" i="18"/>
  <c r="H81" i="18"/>
  <c r="J80" i="18"/>
  <c r="H80" i="18"/>
  <c r="J79" i="18"/>
  <c r="H79" i="18"/>
  <c r="J78" i="18"/>
  <c r="H78" i="18"/>
  <c r="J77" i="18"/>
  <c r="H77" i="18"/>
  <c r="J76" i="18"/>
  <c r="H76" i="18"/>
  <c r="J75" i="18"/>
  <c r="H75" i="18"/>
  <c r="J74" i="18"/>
  <c r="H74" i="18"/>
  <c r="J73" i="18"/>
  <c r="H73" i="18"/>
  <c r="J72" i="18"/>
  <c r="H72" i="18"/>
  <c r="J71" i="18"/>
  <c r="H71" i="18"/>
  <c r="J70" i="18"/>
  <c r="H70" i="18"/>
  <c r="J69" i="18"/>
  <c r="H69" i="18"/>
  <c r="J67" i="18"/>
  <c r="H67" i="18"/>
  <c r="J66" i="18"/>
  <c r="H66" i="18"/>
  <c r="J65" i="18"/>
  <c r="H65" i="18"/>
  <c r="J64" i="18"/>
  <c r="H64" i="18"/>
  <c r="J63" i="18"/>
  <c r="H63" i="18"/>
  <c r="J62" i="18"/>
  <c r="H62" i="18"/>
  <c r="J61" i="18"/>
  <c r="H61" i="18"/>
  <c r="J60" i="18"/>
  <c r="H60" i="18"/>
  <c r="J58" i="18"/>
  <c r="H58" i="18"/>
  <c r="J57" i="18"/>
  <c r="H57" i="18"/>
  <c r="J56" i="18"/>
  <c r="H56" i="18"/>
  <c r="J55" i="18"/>
  <c r="H55" i="18"/>
  <c r="J54" i="18"/>
  <c r="H54" i="18"/>
  <c r="J53" i="18"/>
  <c r="H53" i="18"/>
  <c r="J52" i="18"/>
  <c r="H52" i="18"/>
  <c r="J51" i="18"/>
  <c r="H51" i="18"/>
  <c r="J50" i="18"/>
  <c r="H50" i="18"/>
  <c r="J49" i="18"/>
  <c r="H49" i="18"/>
  <c r="J48" i="18"/>
  <c r="H48" i="18"/>
  <c r="J47" i="18"/>
  <c r="H47" i="18"/>
  <c r="J46" i="18"/>
  <c r="H46" i="18"/>
  <c r="J45" i="18"/>
  <c r="H45" i="18"/>
  <c r="J44" i="18"/>
  <c r="H44" i="18"/>
  <c r="J43" i="18"/>
  <c r="H43" i="18"/>
  <c r="J42" i="18"/>
  <c r="H42" i="18"/>
  <c r="J41" i="18"/>
  <c r="H41" i="18"/>
  <c r="J40" i="18"/>
  <c r="H40" i="18"/>
  <c r="J39" i="18"/>
  <c r="H39" i="18"/>
  <c r="J38" i="18"/>
  <c r="H38" i="18"/>
  <c r="J37" i="18"/>
  <c r="H37" i="18"/>
  <c r="J36" i="18"/>
  <c r="H36" i="18"/>
  <c r="J35" i="18"/>
  <c r="H35" i="18"/>
  <c r="J34" i="18"/>
  <c r="H34" i="18"/>
  <c r="J33" i="18"/>
  <c r="H33" i="18"/>
  <c r="J32" i="18"/>
  <c r="H32" i="18"/>
  <c r="J31" i="18"/>
  <c r="H31" i="18"/>
  <c r="J30" i="18"/>
  <c r="H30" i="18"/>
  <c r="J28" i="18"/>
  <c r="H28" i="18"/>
  <c r="J27" i="18"/>
  <c r="H27" i="18"/>
  <c r="J26" i="18"/>
  <c r="H26" i="18"/>
  <c r="J25" i="18"/>
  <c r="H25" i="18"/>
  <c r="J24" i="18"/>
  <c r="H24" i="18"/>
  <c r="J23" i="18"/>
  <c r="H23" i="18"/>
  <c r="J22" i="18"/>
  <c r="H22" i="18"/>
  <c r="J21" i="18"/>
  <c r="H21" i="18"/>
  <c r="J20" i="18"/>
  <c r="H20" i="18"/>
  <c r="J19" i="18"/>
  <c r="H19" i="18"/>
  <c r="J18" i="18"/>
  <c r="H18" i="18"/>
  <c r="J17" i="18"/>
  <c r="H17" i="18"/>
  <c r="J16" i="18"/>
  <c r="H16" i="18"/>
  <c r="J15" i="18"/>
  <c r="H15" i="18"/>
  <c r="J14" i="18"/>
  <c r="H14" i="18"/>
  <c r="J13" i="18"/>
  <c r="H13" i="18"/>
  <c r="J12" i="18"/>
  <c r="H12" i="18"/>
  <c r="J11" i="18"/>
  <c r="H11" i="18"/>
  <c r="J10" i="18"/>
  <c r="H10" i="18"/>
  <c r="J9" i="18"/>
  <c r="H9" i="18"/>
  <c r="J8" i="18"/>
  <c r="H8" i="18"/>
  <c r="J7" i="18"/>
  <c r="H7" i="18"/>
  <c r="J6" i="18"/>
  <c r="H6" i="18"/>
  <c r="J5" i="18"/>
  <c r="H5" i="18"/>
  <c r="F100" i="17"/>
  <c r="F98" i="17"/>
  <c r="F94" i="17"/>
  <c r="F91" i="17"/>
  <c r="F90" i="17"/>
  <c r="F79" i="17"/>
  <c r="F78" i="17"/>
  <c r="F73" i="17"/>
  <c r="F72" i="17"/>
  <c r="F71" i="17"/>
  <c r="F64" i="17"/>
  <c r="F60" i="17"/>
  <c r="F58" i="17"/>
  <c r="F55" i="17"/>
  <c r="F54" i="17"/>
  <c r="F52" i="17"/>
  <c r="F51" i="17"/>
  <c r="F50" i="17"/>
  <c r="F49" i="17"/>
  <c r="F48" i="17"/>
  <c r="F47" i="17"/>
  <c r="F45" i="17"/>
  <c r="F31" i="17"/>
  <c r="F30" i="17"/>
  <c r="F29" i="17"/>
  <c r="F28" i="17"/>
  <c r="F27" i="17"/>
  <c r="F25" i="17"/>
  <c r="F24" i="17"/>
  <c r="F23" i="17"/>
  <c r="F21" i="17"/>
  <c r="F16" i="17"/>
  <c r="F9" i="17"/>
  <c r="F8" i="17"/>
  <c r="F7" i="17"/>
  <c r="F6" i="17"/>
  <c r="F5" i="17"/>
  <c r="G111" i="16"/>
  <c r="G110" i="16"/>
  <c r="G109" i="16"/>
  <c r="G108" i="16"/>
  <c r="G106" i="16"/>
  <c r="G105" i="16"/>
  <c r="G104" i="16"/>
  <c r="G103" i="16"/>
  <c r="G102" i="16"/>
  <c r="G101" i="16"/>
  <c r="G100" i="16"/>
  <c r="G98" i="16"/>
  <c r="G97" i="16"/>
  <c r="G96" i="16"/>
  <c r="G95" i="16"/>
  <c r="G94" i="16"/>
  <c r="G93" i="16"/>
  <c r="G92" i="16"/>
  <c r="G91" i="16"/>
  <c r="G90" i="16"/>
  <c r="G89" i="16"/>
  <c r="G88" i="16"/>
  <c r="G87" i="16"/>
  <c r="G86" i="16"/>
  <c r="G85" i="16"/>
  <c r="G84" i="16"/>
  <c r="G82" i="16"/>
  <c r="G81" i="16"/>
  <c r="G80" i="16"/>
  <c r="G79" i="16"/>
  <c r="G78" i="16"/>
  <c r="G77" i="16"/>
  <c r="G76" i="16"/>
  <c r="G75" i="16"/>
  <c r="G74" i="16"/>
  <c r="G73" i="16"/>
  <c r="G72" i="16"/>
  <c r="G71" i="16"/>
  <c r="G70" i="16"/>
  <c r="G69" i="16"/>
  <c r="G68" i="16"/>
  <c r="G67" i="16"/>
  <c r="G66" i="16"/>
  <c r="G64" i="16"/>
  <c r="G63" i="16"/>
  <c r="G62" i="16"/>
  <c r="G61" i="16"/>
  <c r="G60" i="16"/>
  <c r="G59" i="16"/>
  <c r="G58" i="16"/>
  <c r="G57" i="16"/>
  <c r="G56" i="16"/>
  <c r="G55" i="16"/>
  <c r="G54" i="16"/>
  <c r="G53" i="16"/>
  <c r="G52" i="16"/>
  <c r="G50" i="16"/>
  <c r="G49" i="16"/>
  <c r="G48" i="16"/>
  <c r="G47" i="16"/>
  <c r="G46" i="16"/>
  <c r="G45" i="16"/>
  <c r="G44" i="16"/>
  <c r="G43" i="16"/>
  <c r="G42" i="16"/>
  <c r="G41" i="16"/>
  <c r="G40" i="16"/>
  <c r="G39" i="16"/>
  <c r="G38" i="16"/>
  <c r="G37" i="16"/>
  <c r="G36" i="16"/>
  <c r="G35" i="16"/>
  <c r="G34" i="16"/>
  <c r="G33" i="16"/>
  <c r="G32" i="16"/>
  <c r="G31" i="16"/>
  <c r="G29" i="16"/>
  <c r="G28" i="16"/>
  <c r="G27" i="16"/>
  <c r="G26" i="16"/>
  <c r="G25" i="16"/>
  <c r="G24" i="16"/>
  <c r="G23" i="16"/>
  <c r="G22" i="16"/>
  <c r="G21" i="16"/>
  <c r="G20" i="16"/>
  <c r="G19" i="16"/>
  <c r="G18" i="16"/>
  <c r="G17" i="16"/>
  <c r="G16" i="16"/>
  <c r="G15" i="16"/>
  <c r="G14" i="16"/>
  <c r="G13" i="16"/>
  <c r="G12" i="16"/>
  <c r="G11" i="16"/>
  <c r="G10" i="16"/>
  <c r="G9" i="16"/>
  <c r="G8" i="16"/>
  <c r="G7" i="16"/>
  <c r="G6" i="16"/>
  <c r="G5" i="16"/>
  <c r="I176" i="15"/>
  <c r="D176" i="15"/>
  <c r="I175" i="15"/>
  <c r="D175" i="15"/>
  <c r="I174" i="15"/>
  <c r="D174" i="15"/>
  <c r="I173" i="15"/>
  <c r="D173" i="15"/>
  <c r="I172" i="15"/>
  <c r="D172" i="15"/>
  <c r="I171" i="15"/>
  <c r="D171" i="15"/>
  <c r="I170" i="15"/>
  <c r="D170" i="15"/>
  <c r="I169" i="15"/>
  <c r="D169" i="15"/>
  <c r="I168" i="15"/>
  <c r="D168" i="15"/>
  <c r="I167" i="15"/>
  <c r="D167" i="15"/>
  <c r="I166" i="15"/>
  <c r="D166" i="15"/>
  <c r="I165" i="15"/>
  <c r="D165" i="15"/>
  <c r="I164" i="15"/>
  <c r="D164" i="15"/>
  <c r="I163" i="15"/>
  <c r="D163" i="15"/>
  <c r="I162" i="15"/>
  <c r="D162" i="15"/>
  <c r="I161" i="15"/>
  <c r="D161" i="15"/>
  <c r="I160" i="15"/>
  <c r="D160" i="15"/>
  <c r="I159" i="15"/>
  <c r="D159" i="15"/>
  <c r="I158" i="15"/>
  <c r="D158" i="15"/>
  <c r="I157" i="15"/>
  <c r="D157" i="15"/>
  <c r="I156" i="15"/>
  <c r="D156" i="15"/>
  <c r="I155" i="15"/>
  <c r="D155" i="15"/>
  <c r="I153" i="15"/>
  <c r="D153" i="15"/>
  <c r="I152" i="15"/>
  <c r="D152" i="15"/>
  <c r="I151" i="15"/>
  <c r="D151" i="15"/>
  <c r="I150" i="15"/>
  <c r="D150" i="15"/>
  <c r="I149" i="15"/>
  <c r="D149" i="15"/>
  <c r="I148" i="15"/>
  <c r="D148" i="15"/>
  <c r="I147" i="15"/>
  <c r="D147" i="15"/>
  <c r="I146" i="15"/>
  <c r="D146" i="15"/>
  <c r="I145" i="15"/>
  <c r="D145" i="15"/>
  <c r="I144" i="15"/>
  <c r="D144" i="15"/>
  <c r="I143" i="15"/>
  <c r="D143" i="15"/>
  <c r="I142" i="15"/>
  <c r="D142" i="15"/>
  <c r="I141" i="15"/>
  <c r="D141" i="15"/>
  <c r="I140" i="15"/>
  <c r="D140" i="15"/>
  <c r="I139" i="15"/>
  <c r="D139" i="15"/>
  <c r="I138" i="15"/>
  <c r="D138" i="15"/>
  <c r="I137" i="15"/>
  <c r="D137" i="15"/>
  <c r="I136" i="15"/>
  <c r="D136" i="15"/>
  <c r="I135" i="15"/>
  <c r="D135" i="15"/>
  <c r="I134" i="15"/>
  <c r="D134" i="15"/>
  <c r="I133" i="15"/>
  <c r="D133" i="15"/>
  <c r="I132" i="15"/>
  <c r="D132" i="15"/>
  <c r="I131" i="15"/>
  <c r="D131" i="15"/>
  <c r="I130" i="15"/>
  <c r="D130" i="15"/>
  <c r="I129" i="15"/>
  <c r="D129" i="15"/>
  <c r="I128" i="15"/>
  <c r="D128" i="15"/>
  <c r="I127" i="15"/>
  <c r="D127" i="15"/>
  <c r="I126" i="15"/>
  <c r="D126" i="15"/>
  <c r="I125" i="15"/>
  <c r="D125" i="15"/>
  <c r="I124" i="15"/>
  <c r="D124" i="15"/>
  <c r="I123" i="15"/>
  <c r="D123" i="15"/>
  <c r="I122" i="15"/>
  <c r="D122" i="15"/>
  <c r="I121" i="15"/>
  <c r="D121" i="15"/>
  <c r="I120" i="15"/>
  <c r="D120" i="15"/>
  <c r="I119" i="15"/>
  <c r="D119" i="15"/>
  <c r="I118" i="15"/>
  <c r="D118" i="15"/>
  <c r="I117" i="15"/>
  <c r="D117" i="15"/>
  <c r="I116" i="15"/>
  <c r="D116" i="15"/>
  <c r="I114" i="15"/>
  <c r="D114" i="15"/>
  <c r="I113" i="15"/>
  <c r="D113" i="15"/>
  <c r="I112" i="15"/>
  <c r="D112" i="15"/>
  <c r="I110" i="15"/>
  <c r="D110" i="15"/>
  <c r="I109" i="15"/>
  <c r="D109" i="15"/>
  <c r="I108" i="15"/>
  <c r="D108" i="15"/>
  <c r="I107" i="15"/>
  <c r="D107" i="15"/>
  <c r="I106" i="15"/>
  <c r="D106" i="15"/>
  <c r="I105" i="15"/>
  <c r="D105" i="15"/>
  <c r="I104" i="15"/>
  <c r="D104" i="15"/>
  <c r="I103" i="15"/>
  <c r="D103" i="15"/>
  <c r="I102" i="15"/>
  <c r="D102" i="15"/>
  <c r="I101" i="15"/>
  <c r="D101" i="15"/>
  <c r="I100" i="15"/>
  <c r="D100" i="15"/>
  <c r="I99" i="15"/>
  <c r="D99" i="15"/>
  <c r="I98" i="15"/>
  <c r="D98" i="15"/>
  <c r="I97" i="15"/>
  <c r="D97" i="15"/>
  <c r="I96" i="15"/>
  <c r="D96" i="15"/>
  <c r="I95" i="15"/>
  <c r="D95" i="15"/>
  <c r="I94" i="15"/>
  <c r="D94" i="15"/>
  <c r="I93" i="15"/>
  <c r="D93" i="15"/>
  <c r="I92" i="15"/>
  <c r="D92" i="15"/>
  <c r="I91" i="15"/>
  <c r="D91" i="15"/>
  <c r="I90" i="15"/>
  <c r="D90" i="15"/>
  <c r="I89" i="15"/>
  <c r="D89" i="15"/>
  <c r="I88" i="15"/>
  <c r="D88" i="15"/>
  <c r="I87" i="15"/>
  <c r="D87" i="15"/>
  <c r="I86" i="15"/>
  <c r="D86" i="15"/>
  <c r="I85" i="15"/>
  <c r="D85" i="15"/>
  <c r="I84" i="15"/>
  <c r="D84" i="15"/>
  <c r="I83" i="15"/>
  <c r="D83" i="15"/>
  <c r="I82" i="15"/>
  <c r="D82" i="15"/>
  <c r="I81" i="15"/>
  <c r="D81" i="15"/>
  <c r="I80" i="15"/>
  <c r="D80" i="15"/>
  <c r="I79" i="15"/>
  <c r="D79" i="15"/>
  <c r="I78" i="15"/>
  <c r="D78" i="15"/>
  <c r="I77" i="15"/>
  <c r="D77" i="15"/>
  <c r="I76" i="15"/>
  <c r="D76" i="15"/>
  <c r="I75" i="15"/>
  <c r="D75" i="15"/>
  <c r="I74" i="15"/>
  <c r="D74" i="15"/>
  <c r="I73" i="15"/>
  <c r="D73" i="15"/>
  <c r="I71" i="15"/>
  <c r="D71" i="15"/>
  <c r="I70" i="15"/>
  <c r="D70" i="15"/>
  <c r="I69" i="15"/>
  <c r="D69" i="15"/>
  <c r="I68" i="15"/>
  <c r="D68" i="15"/>
  <c r="I67" i="15"/>
  <c r="D67" i="15"/>
  <c r="I66" i="15"/>
  <c r="D66" i="15"/>
  <c r="I65" i="15"/>
  <c r="D65" i="15"/>
  <c r="I64" i="15"/>
  <c r="D64" i="15"/>
  <c r="I63" i="15"/>
  <c r="D63" i="15"/>
  <c r="I62" i="15"/>
  <c r="D62" i="15"/>
  <c r="I61" i="15"/>
  <c r="D61" i="15"/>
  <c r="I60" i="15"/>
  <c r="D60" i="15"/>
  <c r="I59" i="15"/>
  <c r="D59" i="15"/>
  <c r="I58" i="15"/>
  <c r="D58" i="15"/>
  <c r="I57" i="15"/>
  <c r="D57" i="15"/>
  <c r="I56" i="15"/>
  <c r="D56" i="15"/>
  <c r="I55" i="15"/>
  <c r="D55" i="15"/>
  <c r="I54" i="15"/>
  <c r="D54" i="15"/>
  <c r="I53" i="15"/>
  <c r="D53" i="15"/>
  <c r="I52" i="15"/>
  <c r="D52" i="15"/>
  <c r="I51" i="15"/>
  <c r="D51" i="15"/>
  <c r="I50" i="15"/>
  <c r="D50" i="15"/>
  <c r="I49" i="15"/>
  <c r="D49" i="15"/>
  <c r="I48" i="15"/>
  <c r="D48" i="15"/>
  <c r="I47" i="15"/>
  <c r="D47" i="15"/>
  <c r="I46" i="15"/>
  <c r="D46" i="15"/>
  <c r="I45" i="15"/>
  <c r="D45" i="15"/>
  <c r="I44" i="15"/>
  <c r="D44" i="15"/>
  <c r="I43" i="15"/>
  <c r="D43" i="15"/>
  <c r="I42" i="15"/>
  <c r="D42" i="15"/>
  <c r="I41" i="15"/>
  <c r="D41" i="15"/>
  <c r="I40" i="15"/>
  <c r="D40" i="15"/>
  <c r="I39" i="15"/>
  <c r="D39" i="15"/>
  <c r="I38" i="15"/>
  <c r="D38" i="15"/>
  <c r="I37" i="15"/>
  <c r="D37" i="15"/>
  <c r="I36" i="15"/>
  <c r="D36" i="15"/>
  <c r="I35" i="15"/>
  <c r="D35" i="15"/>
  <c r="I34" i="15"/>
  <c r="D34" i="15"/>
  <c r="I33" i="15"/>
  <c r="D33" i="15"/>
  <c r="I32" i="15"/>
  <c r="D32" i="15"/>
  <c r="I31" i="15"/>
  <c r="D31" i="15"/>
  <c r="I30" i="15"/>
  <c r="D30" i="15"/>
  <c r="I29" i="15"/>
  <c r="D29" i="15"/>
  <c r="I28" i="15"/>
  <c r="D28" i="15"/>
  <c r="I27" i="15"/>
  <c r="D27" i="15"/>
  <c r="I26" i="15"/>
  <c r="D26" i="15"/>
  <c r="I25" i="15"/>
  <c r="D25" i="15"/>
  <c r="I24" i="15"/>
  <c r="D24" i="15"/>
  <c r="I23" i="15"/>
  <c r="D23" i="15"/>
  <c r="I22" i="15"/>
  <c r="D22" i="15"/>
  <c r="I21" i="15"/>
  <c r="D21" i="15"/>
  <c r="I20" i="15"/>
  <c r="D20" i="15"/>
  <c r="I19" i="15"/>
  <c r="D19" i="15"/>
  <c r="I18" i="15"/>
  <c r="D18" i="15"/>
  <c r="I17" i="15"/>
  <c r="D17" i="15"/>
  <c r="I16" i="15"/>
  <c r="D16" i="15"/>
  <c r="I15" i="15"/>
  <c r="D15" i="15"/>
  <c r="I14" i="15"/>
  <c r="D14" i="15"/>
  <c r="I13" i="15"/>
  <c r="D13" i="15"/>
  <c r="I12" i="15"/>
  <c r="D12" i="15"/>
  <c r="I11" i="15"/>
  <c r="D11" i="15"/>
  <c r="I10" i="15"/>
  <c r="D10" i="15"/>
  <c r="I9" i="15"/>
  <c r="D9" i="15"/>
  <c r="I8" i="15"/>
  <c r="D8" i="15"/>
  <c r="I7" i="15"/>
  <c r="D7" i="15"/>
  <c r="I6" i="15"/>
  <c r="D6" i="15"/>
  <c r="I5" i="15"/>
  <c r="D5" i="15"/>
  <c r="J400" i="12"/>
  <c r="J399" i="12"/>
  <c r="J398" i="12"/>
  <c r="J397" i="12"/>
  <c r="J396" i="12"/>
  <c r="J395" i="12"/>
  <c r="J394" i="12"/>
  <c r="J393" i="12"/>
  <c r="J392" i="12"/>
  <c r="J391" i="12"/>
  <c r="J390" i="12"/>
  <c r="J389" i="12"/>
  <c r="J388" i="12"/>
  <c r="J387" i="12"/>
  <c r="J386" i="12"/>
  <c r="J385" i="12"/>
  <c r="J384" i="12"/>
  <c r="J383" i="12"/>
  <c r="J382" i="12"/>
  <c r="J381" i="12"/>
  <c r="J380" i="12"/>
  <c r="J378" i="12"/>
  <c r="J377" i="12"/>
  <c r="J376" i="12"/>
  <c r="J375" i="12"/>
  <c r="J374" i="12"/>
  <c r="J373" i="12"/>
  <c r="J372" i="12"/>
  <c r="J371" i="12"/>
  <c r="J370" i="12"/>
  <c r="J369" i="12"/>
  <c r="J368" i="12"/>
  <c r="J367" i="12"/>
  <c r="J366" i="12"/>
  <c r="J365" i="12"/>
  <c r="J364" i="12"/>
  <c r="J363" i="12"/>
  <c r="J362" i="12"/>
  <c r="J361" i="12"/>
  <c r="J360" i="12"/>
  <c r="J359" i="12"/>
  <c r="J358" i="12"/>
  <c r="J357" i="12"/>
  <c r="J356" i="12"/>
  <c r="J355" i="12"/>
  <c r="J354" i="12"/>
  <c r="J353" i="12"/>
  <c r="J352" i="12"/>
  <c r="J350" i="12"/>
  <c r="J349" i="12"/>
  <c r="J348" i="12"/>
  <c r="J347" i="12"/>
  <c r="J346" i="12"/>
  <c r="J345" i="12"/>
  <c r="J344" i="12"/>
  <c r="J343" i="12"/>
  <c r="J342" i="12"/>
  <c r="J341" i="12"/>
  <c r="J340" i="12"/>
  <c r="J339" i="12"/>
  <c r="J338" i="12"/>
  <c r="J337" i="12"/>
  <c r="J336" i="12"/>
  <c r="J335" i="12"/>
  <c r="J334" i="12"/>
  <c r="J333" i="12"/>
  <c r="J332" i="12"/>
  <c r="J331" i="12"/>
  <c r="J330" i="12"/>
  <c r="J329" i="12"/>
  <c r="J328" i="12"/>
  <c r="J327" i="12"/>
  <c r="J326" i="12"/>
  <c r="J325" i="12"/>
  <c r="J324" i="12"/>
  <c r="J323" i="12"/>
  <c r="J322" i="12"/>
  <c r="J321" i="12"/>
  <c r="J319" i="12"/>
  <c r="J318" i="12"/>
  <c r="J317" i="12"/>
  <c r="J316" i="12"/>
  <c r="J315" i="12"/>
  <c r="J314" i="12"/>
  <c r="J313" i="12"/>
  <c r="J312" i="12"/>
  <c r="J311" i="12"/>
  <c r="J310" i="12"/>
  <c r="J309" i="12"/>
  <c r="J308" i="12"/>
  <c r="J307" i="12"/>
  <c r="J306" i="12"/>
  <c r="J305" i="12"/>
  <c r="J304" i="12"/>
  <c r="J303" i="12"/>
  <c r="J302" i="12"/>
  <c r="J301" i="12"/>
  <c r="J300" i="12"/>
  <c r="J299" i="12"/>
  <c r="J298" i="12"/>
  <c r="J297" i="12"/>
  <c r="J296" i="12"/>
  <c r="J295" i="12"/>
  <c r="J294" i="12"/>
  <c r="J293" i="12"/>
  <c r="J292" i="12"/>
  <c r="J291" i="12"/>
  <c r="J290" i="12"/>
  <c r="J289" i="12"/>
  <c r="J288" i="12"/>
  <c r="J287" i="12"/>
  <c r="J286" i="12"/>
  <c r="J285" i="12"/>
  <c r="J284" i="12"/>
  <c r="J283" i="12"/>
  <c r="J282" i="12"/>
  <c r="J281" i="12"/>
  <c r="J280" i="12"/>
  <c r="J279" i="12"/>
  <c r="J278" i="12"/>
  <c r="J277" i="12"/>
  <c r="J276" i="12"/>
  <c r="J275" i="12"/>
  <c r="J274" i="12"/>
  <c r="J273" i="12"/>
  <c r="J272" i="12"/>
  <c r="J271" i="12"/>
  <c r="J270" i="12"/>
  <c r="J269" i="12"/>
  <c r="J268" i="12"/>
  <c r="J267" i="12"/>
  <c r="J266" i="12"/>
  <c r="J265" i="12"/>
  <c r="J264" i="12"/>
  <c r="J263" i="12"/>
  <c r="J262" i="12"/>
  <c r="J261" i="12"/>
  <c r="J259" i="12"/>
  <c r="J258" i="12"/>
  <c r="J257" i="12"/>
  <c r="J256" i="12"/>
  <c r="J255" i="12"/>
  <c r="J254" i="12"/>
  <c r="J253" i="12"/>
  <c r="J252" i="12"/>
  <c r="J251" i="12"/>
  <c r="J250" i="12"/>
  <c r="J249" i="12"/>
  <c r="J248" i="12"/>
  <c r="J247" i="12"/>
  <c r="J246" i="12"/>
  <c r="J245" i="12"/>
  <c r="J244" i="12"/>
  <c r="J243" i="12"/>
  <c r="J242" i="12"/>
  <c r="J241" i="12"/>
  <c r="J240" i="12"/>
  <c r="J239" i="12"/>
  <c r="J238" i="12"/>
  <c r="J237" i="12"/>
  <c r="J236" i="12"/>
  <c r="J235" i="12"/>
  <c r="J234" i="12"/>
  <c r="J233" i="12"/>
  <c r="J232" i="12"/>
  <c r="J231" i="12"/>
  <c r="J230" i="12"/>
  <c r="J229" i="12"/>
  <c r="J228" i="12"/>
  <c r="J227" i="12"/>
  <c r="J226" i="12"/>
  <c r="J225" i="12"/>
  <c r="J224" i="12"/>
  <c r="J223" i="12"/>
  <c r="J222" i="12"/>
  <c r="J221" i="12"/>
  <c r="J220" i="12"/>
  <c r="J219" i="12"/>
  <c r="J218" i="12"/>
  <c r="J217" i="12"/>
  <c r="J216" i="12"/>
  <c r="J215" i="12"/>
  <c r="J214" i="12"/>
  <c r="J213" i="12"/>
  <c r="J212" i="12"/>
  <c r="J211" i="12"/>
  <c r="J210" i="12"/>
  <c r="J209" i="12"/>
  <c r="J208" i="12"/>
  <c r="J207" i="12"/>
  <c r="J205" i="12"/>
  <c r="J204" i="12"/>
  <c r="J203" i="12"/>
  <c r="J202" i="12"/>
  <c r="J201" i="12"/>
  <c r="J200" i="12"/>
  <c r="J199" i="12"/>
  <c r="J198" i="12"/>
  <c r="J197" i="12"/>
  <c r="J196" i="12"/>
  <c r="J195" i="12"/>
  <c r="J194" i="12"/>
  <c r="J193" i="12"/>
  <c r="J192" i="12"/>
  <c r="J191" i="12"/>
  <c r="J190" i="12"/>
  <c r="J189" i="12"/>
  <c r="J188" i="12"/>
  <c r="J187" i="12"/>
  <c r="J186" i="12"/>
  <c r="J185" i="12"/>
  <c r="J184" i="12"/>
  <c r="J183" i="12"/>
  <c r="J182" i="12"/>
  <c r="J181" i="12"/>
  <c r="J180" i="12"/>
  <c r="J179" i="12"/>
  <c r="J178" i="12"/>
  <c r="J177" i="12"/>
  <c r="J176" i="12"/>
  <c r="J175" i="12"/>
  <c r="J174" i="12"/>
  <c r="J173" i="12"/>
  <c r="J172" i="12"/>
  <c r="J171" i="12"/>
  <c r="J170" i="12"/>
  <c r="J169" i="12"/>
  <c r="J168" i="12"/>
  <c r="J167" i="12"/>
  <c r="J166" i="12"/>
  <c r="J165" i="12"/>
  <c r="J164" i="12"/>
  <c r="J163" i="12"/>
  <c r="J162" i="12"/>
  <c r="J161" i="12"/>
  <c r="J160" i="12"/>
  <c r="J159" i="12"/>
  <c r="J158" i="12"/>
  <c r="J157" i="12"/>
  <c r="J156" i="12"/>
  <c r="J155" i="12"/>
  <c r="J154" i="12"/>
  <c r="J153" i="12"/>
  <c r="J152" i="12"/>
  <c r="J151" i="12"/>
  <c r="J150" i="12"/>
  <c r="J149" i="12"/>
  <c r="J148" i="12"/>
  <c r="J147" i="12"/>
  <c r="J146" i="12"/>
  <c r="J145" i="12"/>
  <c r="J144" i="12"/>
  <c r="J143" i="12"/>
  <c r="J142" i="12"/>
  <c r="J141" i="12"/>
  <c r="J140" i="12"/>
  <c r="J139" i="12"/>
  <c r="J138" i="12"/>
  <c r="J137" i="12"/>
  <c r="J136" i="12"/>
  <c r="J135" i="12"/>
  <c r="J134" i="12"/>
  <c r="J133" i="12"/>
  <c r="J132" i="12"/>
  <c r="J131" i="12"/>
  <c r="J130" i="12"/>
  <c r="J129" i="12"/>
  <c r="J128" i="12"/>
  <c r="J127" i="12"/>
  <c r="J126" i="12"/>
  <c r="J125" i="12"/>
  <c r="J124" i="12"/>
  <c r="J123" i="12"/>
  <c r="J122" i="12"/>
  <c r="J121" i="12"/>
  <c r="J120" i="12"/>
  <c r="J119" i="12"/>
  <c r="J118" i="12"/>
  <c r="J117" i="12"/>
  <c r="J116" i="12"/>
  <c r="J115" i="12"/>
  <c r="J114" i="12"/>
  <c r="J113" i="12"/>
  <c r="J112" i="12"/>
  <c r="J111" i="12"/>
  <c r="J110" i="12"/>
  <c r="J109" i="12"/>
  <c r="J108" i="12"/>
  <c r="J107" i="12"/>
  <c r="J106" i="12"/>
  <c r="J105" i="12"/>
  <c r="J104" i="12"/>
  <c r="J103" i="12"/>
  <c r="J101" i="12"/>
  <c r="J100" i="12"/>
  <c r="J99" i="12"/>
  <c r="J98" i="12"/>
  <c r="J97" i="12"/>
  <c r="J96" i="12"/>
  <c r="J95" i="12"/>
  <c r="J94" i="12"/>
  <c r="J93" i="12"/>
  <c r="J92" i="12"/>
  <c r="J91" i="12"/>
  <c r="J90" i="12"/>
  <c r="J89" i="12"/>
  <c r="J88" i="12"/>
  <c r="J87" i="12"/>
  <c r="J86" i="12"/>
  <c r="J85" i="12"/>
  <c r="J84" i="12"/>
  <c r="J83" i="12"/>
  <c r="J82" i="12"/>
  <c r="J81" i="12"/>
  <c r="J8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J49" i="12"/>
  <c r="J48" i="12"/>
  <c r="J47" i="12"/>
  <c r="J46" i="12"/>
  <c r="J45" i="12"/>
  <c r="J44" i="12"/>
  <c r="J43" i="12"/>
  <c r="J42" i="12"/>
  <c r="J41" i="12"/>
  <c r="J40" i="12"/>
  <c r="J39" i="12"/>
  <c r="J38" i="12"/>
  <c r="J37" i="12"/>
  <c r="J36" i="12"/>
  <c r="J35" i="12"/>
  <c r="J34" i="12"/>
  <c r="J33" i="12"/>
  <c r="J32" i="12"/>
  <c r="J31" i="12"/>
  <c r="J30" i="12"/>
  <c r="J29" i="12"/>
  <c r="J28" i="12"/>
  <c r="J27" i="12"/>
  <c r="J26" i="12"/>
  <c r="J25" i="12"/>
  <c r="J24" i="12"/>
  <c r="J23" i="12"/>
  <c r="J22" i="12"/>
  <c r="J21" i="12"/>
  <c r="J20" i="12"/>
  <c r="J19" i="12"/>
  <c r="J18" i="12"/>
  <c r="J17" i="12"/>
  <c r="J16" i="12"/>
  <c r="J15" i="12"/>
  <c r="J14" i="12"/>
  <c r="J13" i="12"/>
  <c r="J12" i="12"/>
  <c r="J11" i="12"/>
  <c r="J10" i="12"/>
  <c r="J9" i="12"/>
  <c r="J8" i="12"/>
  <c r="J7" i="12"/>
  <c r="J6" i="12"/>
  <c r="J5" i="12"/>
  <c r="J134" i="11"/>
  <c r="F134" i="11"/>
  <c r="J133" i="11"/>
  <c r="F133" i="11"/>
  <c r="J132" i="11"/>
  <c r="F132" i="11"/>
  <c r="J130" i="11"/>
  <c r="F130" i="11"/>
  <c r="J129" i="11"/>
  <c r="F129" i="11"/>
  <c r="J128" i="11"/>
  <c r="F128" i="11"/>
  <c r="J127" i="11"/>
  <c r="F127" i="11"/>
  <c r="J126" i="11"/>
  <c r="F126" i="11"/>
  <c r="J125" i="11"/>
  <c r="F125" i="11"/>
  <c r="J124" i="11"/>
  <c r="F124" i="11"/>
  <c r="J123" i="11"/>
  <c r="F123" i="11"/>
  <c r="J122" i="11"/>
  <c r="F122" i="11"/>
  <c r="J121" i="11"/>
  <c r="F121" i="11"/>
  <c r="J120" i="11"/>
  <c r="F120" i="11"/>
  <c r="J119" i="11"/>
  <c r="F119" i="11"/>
  <c r="J117" i="11"/>
  <c r="F117" i="11"/>
  <c r="J116" i="11"/>
  <c r="F116" i="11"/>
  <c r="J115" i="11"/>
  <c r="F115" i="11"/>
  <c r="J114" i="11"/>
  <c r="F114" i="11"/>
  <c r="J113" i="11"/>
  <c r="F113" i="11"/>
  <c r="J112" i="11"/>
  <c r="F112" i="11"/>
  <c r="J111" i="11"/>
  <c r="F111" i="11"/>
  <c r="J110" i="11"/>
  <c r="F110" i="11"/>
  <c r="J109" i="11"/>
  <c r="F109" i="11"/>
  <c r="J108" i="11"/>
  <c r="F108" i="11"/>
  <c r="J107" i="11"/>
  <c r="F107" i="11"/>
  <c r="J106" i="11"/>
  <c r="F106" i="11"/>
  <c r="J105" i="11"/>
  <c r="F105" i="11"/>
  <c r="J104" i="11"/>
  <c r="F104" i="11"/>
  <c r="J103" i="11"/>
  <c r="F103" i="11"/>
  <c r="J102" i="11"/>
  <c r="F102" i="11"/>
  <c r="J101" i="11"/>
  <c r="F101" i="11"/>
  <c r="J100" i="11"/>
  <c r="F100" i="11"/>
  <c r="J99" i="11"/>
  <c r="F99" i="11"/>
  <c r="J98" i="11"/>
  <c r="F98" i="11"/>
  <c r="J97" i="11"/>
  <c r="F97" i="11"/>
  <c r="J96" i="11"/>
  <c r="F96" i="11"/>
  <c r="J95" i="11"/>
  <c r="F95" i="11"/>
  <c r="J94" i="11"/>
  <c r="F94" i="11"/>
  <c r="J93" i="11"/>
  <c r="F93" i="11"/>
  <c r="J92" i="11"/>
  <c r="F92" i="11"/>
  <c r="J91" i="11"/>
  <c r="F91" i="11"/>
  <c r="J90" i="11"/>
  <c r="F90" i="11"/>
  <c r="J89" i="11"/>
  <c r="F89" i="11"/>
  <c r="J88" i="11"/>
  <c r="F88" i="11"/>
  <c r="J87" i="11"/>
  <c r="F87" i="11"/>
  <c r="J86" i="11"/>
  <c r="F86" i="11"/>
  <c r="J85" i="11"/>
  <c r="F85" i="11"/>
  <c r="J84" i="11"/>
  <c r="F84" i="11"/>
  <c r="J83" i="11"/>
  <c r="F83" i="11"/>
  <c r="J82" i="11"/>
  <c r="F82" i="11"/>
  <c r="J81" i="11"/>
  <c r="F81" i="11"/>
  <c r="J80" i="11"/>
  <c r="F80" i="11"/>
  <c r="J79" i="11"/>
  <c r="F79" i="11"/>
  <c r="J78" i="11"/>
  <c r="F78" i="11"/>
  <c r="J77" i="11"/>
  <c r="F77" i="11"/>
  <c r="J76" i="11"/>
  <c r="F76" i="11"/>
  <c r="J75" i="11"/>
  <c r="F75" i="11"/>
  <c r="J74" i="11"/>
  <c r="F74" i="11"/>
  <c r="J73" i="11"/>
  <c r="F73" i="11"/>
  <c r="J72" i="11"/>
  <c r="F72" i="11"/>
  <c r="J71" i="11"/>
  <c r="F71" i="11"/>
  <c r="J70" i="11"/>
  <c r="F70" i="11"/>
  <c r="J69" i="11"/>
  <c r="F69" i="11"/>
  <c r="J68" i="11"/>
  <c r="F68" i="11"/>
  <c r="J67" i="11"/>
  <c r="F67" i="11"/>
  <c r="J66" i="11"/>
  <c r="F66" i="11"/>
  <c r="J65" i="11"/>
  <c r="F65" i="11"/>
  <c r="J64" i="11"/>
  <c r="F64" i="11"/>
  <c r="J63" i="11"/>
  <c r="F63" i="11"/>
  <c r="J62" i="11"/>
  <c r="F62" i="11"/>
  <c r="J61" i="11"/>
  <c r="F61" i="11"/>
  <c r="J60" i="11"/>
  <c r="F60" i="11"/>
  <c r="J59" i="11"/>
  <c r="F59" i="11"/>
  <c r="J58" i="11"/>
  <c r="F58" i="11"/>
  <c r="J57" i="11"/>
  <c r="F57" i="11"/>
  <c r="J56" i="11"/>
  <c r="F56" i="11"/>
  <c r="J55" i="11"/>
  <c r="F55" i="11"/>
  <c r="J54" i="11"/>
  <c r="F54" i="11"/>
  <c r="J53" i="11"/>
  <c r="F53" i="11"/>
  <c r="J52" i="11"/>
  <c r="F52" i="11"/>
  <c r="J51" i="11"/>
  <c r="F51" i="11"/>
  <c r="J50" i="11"/>
  <c r="F50" i="11"/>
  <c r="J49" i="11"/>
  <c r="F49" i="11"/>
  <c r="J48" i="11"/>
  <c r="F48" i="11"/>
  <c r="J47" i="11"/>
  <c r="F47" i="11"/>
  <c r="J46" i="11"/>
  <c r="F46" i="11"/>
  <c r="J45" i="11"/>
  <c r="F45" i="11"/>
  <c r="J44" i="11"/>
  <c r="F44" i="11"/>
  <c r="J43" i="11"/>
  <c r="F43" i="11"/>
  <c r="J42" i="11"/>
  <c r="F42" i="11"/>
  <c r="J41" i="11"/>
  <c r="F41" i="11"/>
  <c r="J40" i="11"/>
  <c r="F40" i="11"/>
  <c r="J39" i="11"/>
  <c r="F39" i="11"/>
  <c r="J38" i="11"/>
  <c r="F38" i="11"/>
  <c r="J37" i="11"/>
  <c r="F37" i="11"/>
  <c r="J36" i="11"/>
  <c r="F36" i="11"/>
  <c r="J35" i="11"/>
  <c r="F35" i="11"/>
  <c r="J34" i="11"/>
  <c r="F34" i="11"/>
  <c r="J33" i="11"/>
  <c r="F33" i="11"/>
  <c r="J32" i="11"/>
  <c r="F32" i="11"/>
  <c r="J31" i="11"/>
  <c r="F31" i="11"/>
  <c r="J30" i="11"/>
  <c r="F30" i="11"/>
  <c r="J29" i="11"/>
  <c r="F29" i="11"/>
  <c r="J28" i="11"/>
  <c r="F28" i="11"/>
  <c r="J27" i="11"/>
  <c r="F27" i="11"/>
  <c r="J26" i="11"/>
  <c r="F26" i="11"/>
  <c r="J25" i="11"/>
  <c r="F25" i="11"/>
  <c r="J24" i="11"/>
  <c r="F24" i="11"/>
  <c r="J23" i="11"/>
  <c r="F23" i="11"/>
  <c r="J22" i="11"/>
  <c r="F22" i="11"/>
  <c r="J21" i="11"/>
  <c r="F21" i="11"/>
  <c r="J20" i="11"/>
  <c r="F20" i="11"/>
  <c r="J19" i="11"/>
  <c r="F19" i="11"/>
  <c r="J18" i="11"/>
  <c r="F18" i="11"/>
  <c r="J17" i="11"/>
  <c r="F17" i="11"/>
  <c r="J16" i="11"/>
  <c r="F16" i="11"/>
  <c r="J15" i="11"/>
  <c r="F15" i="11"/>
  <c r="J14" i="11"/>
  <c r="F14" i="11"/>
  <c r="J13" i="11"/>
  <c r="F13" i="11"/>
  <c r="J12" i="11"/>
  <c r="F12" i="11"/>
  <c r="J11" i="11"/>
  <c r="F11" i="11"/>
  <c r="J10" i="11"/>
  <c r="F10" i="11"/>
  <c r="J9" i="11"/>
  <c r="F9" i="11"/>
  <c r="J8" i="11"/>
  <c r="F8" i="11"/>
  <c r="J7" i="11"/>
  <c r="F7" i="11"/>
  <c r="J6" i="11"/>
  <c r="F6" i="11"/>
  <c r="J5" i="11"/>
  <c r="F5" i="11"/>
  <c r="J53" i="9"/>
  <c r="J52" i="9"/>
  <c r="J51" i="9"/>
  <c r="J50" i="9"/>
  <c r="J45" i="9"/>
  <c r="J43" i="9"/>
  <c r="J42" i="9"/>
  <c r="J41" i="9"/>
  <c r="J39" i="9"/>
  <c r="J38" i="9"/>
  <c r="J37" i="9"/>
  <c r="J36" i="9"/>
  <c r="J35" i="9"/>
  <c r="J33" i="9"/>
  <c r="J32" i="9"/>
  <c r="J31" i="9"/>
  <c r="J29" i="9"/>
  <c r="J28" i="9"/>
  <c r="J27" i="9"/>
  <c r="J26" i="9"/>
  <c r="J25" i="9"/>
  <c r="J24" i="9"/>
  <c r="J23" i="9"/>
  <c r="J22" i="9"/>
  <c r="J21" i="9"/>
  <c r="J20" i="9"/>
  <c r="J19" i="9"/>
  <c r="J18" i="9"/>
  <c r="J17" i="9"/>
  <c r="J16" i="9"/>
  <c r="J15" i="9"/>
  <c r="J14" i="9"/>
  <c r="J13" i="9"/>
  <c r="J12" i="9"/>
  <c r="J11" i="9"/>
  <c r="J9" i="9"/>
  <c r="J8" i="9"/>
  <c r="J7" i="9"/>
  <c r="J6" i="9"/>
  <c r="J5" i="9"/>
  <c r="G154" i="7"/>
  <c r="G153" i="7"/>
  <c r="G152" i="7"/>
  <c r="G151" i="7"/>
  <c r="G150" i="7"/>
  <c r="G147" i="7"/>
  <c r="G146" i="7"/>
  <c r="G145" i="7"/>
  <c r="G144" i="7"/>
  <c r="G143" i="7"/>
  <c r="G138" i="7"/>
  <c r="G137" i="7"/>
  <c r="H136" i="7"/>
  <c r="G136" i="7"/>
  <c r="G135" i="7"/>
  <c r="G134" i="7"/>
  <c r="G133" i="7"/>
  <c r="G132" i="7"/>
  <c r="G131" i="7"/>
  <c r="G130" i="7"/>
  <c r="H129" i="7"/>
  <c r="G129" i="7"/>
  <c r="G128" i="7"/>
  <c r="G127" i="7"/>
  <c r="H126" i="7"/>
  <c r="G126" i="7"/>
  <c r="H125" i="7"/>
  <c r="G125" i="7"/>
  <c r="G124" i="7"/>
  <c r="G122" i="7"/>
  <c r="G121" i="7"/>
  <c r="G120" i="7"/>
  <c r="G119" i="7"/>
  <c r="G118" i="7"/>
  <c r="G117" i="7"/>
  <c r="G116" i="7"/>
  <c r="G115" i="7"/>
  <c r="H114" i="7"/>
  <c r="G114" i="7"/>
  <c r="G113" i="7"/>
  <c r="G111" i="7"/>
  <c r="H110" i="7"/>
  <c r="G110" i="7"/>
  <c r="G109" i="7"/>
  <c r="G108" i="7"/>
  <c r="G106" i="7"/>
  <c r="G105" i="7"/>
  <c r="G104" i="7"/>
  <c r="G103" i="7"/>
  <c r="G102" i="7"/>
  <c r="G101" i="7"/>
  <c r="G100" i="7"/>
  <c r="G99" i="7"/>
  <c r="G98" i="7"/>
  <c r="H97" i="7"/>
  <c r="G97" i="7"/>
  <c r="H96" i="7"/>
  <c r="G96" i="7"/>
  <c r="G95" i="7"/>
  <c r="H94" i="7"/>
  <c r="G94" i="7"/>
  <c r="G93" i="7"/>
  <c r="G92" i="7"/>
  <c r="G91" i="7"/>
  <c r="G90" i="7"/>
  <c r="H89" i="7"/>
  <c r="G89" i="7"/>
  <c r="H88" i="7"/>
  <c r="G88" i="7"/>
  <c r="G87" i="7"/>
  <c r="G86" i="7"/>
  <c r="G84" i="7"/>
  <c r="G83" i="7"/>
  <c r="H82" i="7"/>
  <c r="G82" i="7"/>
  <c r="G81" i="7"/>
  <c r="G80" i="7"/>
  <c r="G79" i="7"/>
  <c r="G78" i="7"/>
  <c r="G77" i="7"/>
  <c r="G76" i="7"/>
  <c r="G75" i="7"/>
  <c r="G74" i="7"/>
  <c r="G73" i="7"/>
  <c r="G72" i="7"/>
  <c r="G71" i="7"/>
  <c r="G70" i="7"/>
  <c r="H69" i="7"/>
  <c r="G69" i="7"/>
  <c r="G68" i="7"/>
  <c r="G67" i="7"/>
  <c r="G66" i="7"/>
  <c r="G65" i="7"/>
  <c r="G64" i="7"/>
  <c r="G63" i="7"/>
  <c r="G62" i="7"/>
  <c r="G61" i="7"/>
  <c r="G60" i="7"/>
  <c r="H59" i="7"/>
  <c r="G59" i="7"/>
  <c r="H58" i="7"/>
  <c r="G58" i="7"/>
  <c r="G57" i="7"/>
  <c r="H56" i="7"/>
  <c r="G56" i="7"/>
  <c r="H55" i="7"/>
  <c r="G55" i="7"/>
  <c r="G54" i="7"/>
  <c r="G53" i="7"/>
  <c r="G52" i="7"/>
  <c r="G51" i="7"/>
  <c r="G50" i="7"/>
  <c r="G49" i="7"/>
  <c r="G48" i="7"/>
  <c r="G47" i="7"/>
  <c r="G46" i="7"/>
  <c r="G45" i="7"/>
  <c r="G44" i="7"/>
  <c r="G43" i="7"/>
  <c r="G42" i="7"/>
  <c r="G41" i="7"/>
  <c r="G40" i="7"/>
  <c r="G39" i="7"/>
  <c r="G38" i="7"/>
  <c r="G37" i="7"/>
  <c r="G36" i="7"/>
  <c r="G35" i="7"/>
  <c r="G34" i="7"/>
  <c r="G33" i="7"/>
  <c r="G32" i="7"/>
  <c r="G31" i="7"/>
  <c r="G30" i="7"/>
  <c r="H29" i="7"/>
  <c r="G29" i="7"/>
  <c r="G28" i="7"/>
  <c r="G27" i="7"/>
  <c r="G26" i="7"/>
  <c r="G25" i="7"/>
  <c r="G24" i="7"/>
  <c r="G23" i="7"/>
  <c r="G22" i="7"/>
  <c r="H21" i="7"/>
  <c r="G21" i="7"/>
  <c r="H20" i="7"/>
  <c r="G20" i="7"/>
  <c r="G19" i="7"/>
  <c r="G18" i="7"/>
  <c r="H17" i="7"/>
  <c r="G17" i="7"/>
  <c r="G16" i="7"/>
  <c r="G15" i="7"/>
  <c r="G14" i="7"/>
  <c r="G13" i="7"/>
  <c r="H12" i="7"/>
  <c r="G12" i="7"/>
  <c r="G11" i="7"/>
  <c r="G10" i="7"/>
  <c r="H9" i="7"/>
  <c r="G9" i="7"/>
  <c r="G8" i="7"/>
  <c r="H7" i="7"/>
  <c r="G7" i="7"/>
  <c r="G6" i="7"/>
  <c r="G5" i="7"/>
  <c r="N78" i="6"/>
  <c r="N77" i="6"/>
  <c r="N76" i="6"/>
  <c r="N75" i="6"/>
  <c r="N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G41" i="6"/>
  <c r="M40" i="6"/>
  <c r="G40" i="6"/>
  <c r="M39" i="6"/>
  <c r="M38" i="6"/>
  <c r="G38" i="6"/>
  <c r="M37" i="6"/>
  <c r="G37" i="6"/>
  <c r="M36" i="6"/>
  <c r="M35" i="6"/>
  <c r="G35" i="6"/>
  <c r="M34" i="6"/>
  <c r="M33" i="6"/>
  <c r="M32" i="6"/>
  <c r="M31" i="6"/>
  <c r="M30" i="6"/>
  <c r="M29" i="6"/>
  <c r="M28" i="6"/>
  <c r="G28" i="6"/>
  <c r="M27" i="6"/>
  <c r="G27" i="6"/>
  <c r="M26" i="6"/>
  <c r="M25" i="6"/>
  <c r="M24" i="6"/>
  <c r="M23" i="6"/>
  <c r="M22" i="6"/>
  <c r="M21" i="6"/>
  <c r="G21" i="6"/>
  <c r="M20" i="6"/>
  <c r="G20" i="6"/>
  <c r="M19" i="6"/>
  <c r="G19" i="6"/>
  <c r="M18" i="6"/>
  <c r="G18" i="6"/>
  <c r="M17" i="6"/>
  <c r="G17" i="6"/>
  <c r="M16" i="6"/>
  <c r="G16" i="6"/>
  <c r="M15" i="6"/>
  <c r="G15" i="6"/>
  <c r="M14" i="6"/>
  <c r="G14" i="6"/>
  <c r="M13" i="6"/>
  <c r="G13" i="6"/>
  <c r="M12" i="6"/>
  <c r="G12" i="6"/>
  <c r="M11" i="6"/>
  <c r="G11" i="6"/>
  <c r="M10" i="6"/>
  <c r="G10" i="6"/>
  <c r="M9" i="6"/>
  <c r="G9" i="6"/>
  <c r="M8" i="6"/>
  <c r="G8" i="6"/>
  <c r="M7" i="6"/>
  <c r="G7" i="6"/>
  <c r="M6" i="6"/>
  <c r="G6" i="6"/>
  <c r="M5" i="6"/>
  <c r="G5" i="6"/>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K38" i="4"/>
  <c r="K37" i="4"/>
  <c r="K36" i="4"/>
  <c r="K35" i="4"/>
  <c r="K32" i="4"/>
  <c r="K31" i="4"/>
  <c r="K30" i="4"/>
  <c r="K26" i="4"/>
  <c r="K25" i="4"/>
  <c r="K24" i="4"/>
  <c r="K23" i="4"/>
  <c r="K22" i="4"/>
  <c r="K21" i="4"/>
  <c r="K20" i="4"/>
  <c r="K19" i="4"/>
  <c r="K18" i="4"/>
  <c r="K17" i="4"/>
  <c r="K16" i="4"/>
  <c r="K15" i="4"/>
  <c r="K14" i="4"/>
  <c r="K13" i="4"/>
  <c r="K12" i="4"/>
  <c r="K11" i="4"/>
  <c r="K10" i="4"/>
  <c r="K9" i="4"/>
  <c r="K8" i="4"/>
  <c r="K7" i="4"/>
  <c r="K6" i="4"/>
  <c r="K5" i="4"/>
  <c r="K4" i="4"/>
  <c r="C65" i="3"/>
  <c r="C64" i="3"/>
  <c r="C63" i="3"/>
  <c r="C62" i="3"/>
  <c r="C61" i="3"/>
  <c r="C60" i="3"/>
  <c r="C59" i="3"/>
  <c r="C58" i="3"/>
  <c r="C54" i="3"/>
  <c r="C53" i="3"/>
  <c r="C52" i="3"/>
  <c r="C51" i="3"/>
  <c r="C50" i="3"/>
  <c r="C49" i="3"/>
  <c r="C45" i="3"/>
  <c r="C44" i="3"/>
  <c r="C43" i="3"/>
  <c r="C42" i="3"/>
  <c r="C41" i="3"/>
  <c r="C40" i="3"/>
  <c r="C39" i="3"/>
  <c r="C38" i="3"/>
  <c r="C37" i="3"/>
  <c r="C36" i="3"/>
  <c r="C35" i="3"/>
  <c r="C34" i="3"/>
  <c r="C33" i="3"/>
  <c r="C32" i="3"/>
  <c r="C31" i="3"/>
  <c r="C30" i="3"/>
  <c r="C26" i="3"/>
  <c r="C25" i="3"/>
  <c r="C24" i="3"/>
  <c r="C23" i="3"/>
  <c r="C19" i="3"/>
  <c r="C18" i="3"/>
  <c r="C17" i="3"/>
  <c r="C16" i="3"/>
  <c r="C15" i="3"/>
  <c r="C14" i="3"/>
  <c r="C10" i="3"/>
  <c r="C9" i="3"/>
  <c r="C8" i="3"/>
  <c r="C7" i="3"/>
  <c r="C6" i="3"/>
  <c r="C76" i="2"/>
  <c r="C75" i="2"/>
  <c r="C74" i="2"/>
  <c r="C73" i="2"/>
  <c r="C72" i="2"/>
  <c r="C71" i="2"/>
  <c r="C70" i="2"/>
  <c r="D211" i="1"/>
  <c r="D210" i="1"/>
  <c r="D209" i="1"/>
  <c r="D208" i="1"/>
  <c r="D207" i="1"/>
  <c r="D204" i="1"/>
  <c r="D203" i="1"/>
  <c r="D202" i="1"/>
  <c r="D201" i="1"/>
  <c r="D200" i="1"/>
  <c r="D195" i="1"/>
  <c r="D194" i="1"/>
  <c r="D193" i="1"/>
  <c r="D192" i="1"/>
  <c r="D191" i="1"/>
  <c r="D190" i="1"/>
  <c r="D189" i="1"/>
  <c r="D188" i="1"/>
  <c r="D187" i="1"/>
  <c r="D186" i="1"/>
  <c r="D181" i="1"/>
  <c r="D180" i="1"/>
  <c r="D179" i="1"/>
  <c r="D178" i="1"/>
  <c r="D177" i="1"/>
  <c r="D176" i="1"/>
  <c r="D175" i="1"/>
  <c r="D174" i="1"/>
  <c r="D173" i="1"/>
  <c r="D172"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38" i="1"/>
  <c r="D137" i="1"/>
  <c r="D136" i="1"/>
  <c r="D135" i="1"/>
  <c r="D134" i="1"/>
  <c r="D133" i="1"/>
  <c r="D132" i="1"/>
  <c r="D131" i="1"/>
  <c r="D130" i="1"/>
  <c r="D129" i="1"/>
  <c r="D128" i="1"/>
  <c r="D127" i="1"/>
  <c r="D126" i="1"/>
  <c r="D125" i="1"/>
  <c r="D124" i="1"/>
  <c r="D123" i="1"/>
  <c r="D122" i="1"/>
  <c r="D121" i="1"/>
  <c r="D120" i="1"/>
  <c r="D119"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69" i="1"/>
  <c r="D68" i="1"/>
  <c r="D63" i="1"/>
  <c r="D62" i="1"/>
  <c r="D57" i="1"/>
  <c r="D56" i="1"/>
  <c r="D55" i="1"/>
  <c r="D54" i="1"/>
  <c r="D46" i="1"/>
  <c r="D45" i="1"/>
  <c r="D40" i="1"/>
  <c r="D39" i="1"/>
  <c r="D38" i="1"/>
  <c r="D37" i="1"/>
  <c r="D36" i="1"/>
  <c r="D31" i="1"/>
  <c r="D30" i="1"/>
  <c r="D29" i="1"/>
  <c r="D24" i="1"/>
  <c r="D23" i="1"/>
  <c r="D22" i="1"/>
  <c r="D17" i="1"/>
  <c r="D16" i="1"/>
  <c r="D15" i="1"/>
  <c r="D10" i="1"/>
  <c r="D9" i="1"/>
  <c r="D8" i="1"/>
  <c r="D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tc={150830A8-B032-4467-AE27-FE4FC0FBD477}</author>
    <author>tc={941789F1-2721-4C49-8C68-38EB68732F7C}</author>
    <author>tc={B5D5C5A6-C37F-4126-99A2-628617881B51}</author>
    <author>tc={E3E3D6B9-FDC1-45C5-957B-B45A4DAE4D45}</author>
    <author>tc={32DE71CE-8070-4CB3-84D5-03DDD6687C65}</author>
    <author>tc={33C4D3A7-D6D1-42ED-B766-59449E4EF509}</author>
    <author>tc={ABAD0CF4-848B-4DA7-A570-F74D513D3407}</author>
    <author>tc={DCD7D69C-5B7F-4AFE-9625-3A7388993635}</author>
    <author>tc={14B6B279-F480-4DF0-8E46-30CBF999C202}</author>
    <author>tc={53316CB6-5EA6-4655-BE1D-638241B1234C}</author>
    <author>tc={3DD74437-652B-4414-B9EE-EE1A70071B82}</author>
    <author>tc={428F1C9A-A1E4-4FFF-87CC-3747ADF8239D}</author>
    <author>tc={43CF1E7E-1337-40AD-8345-86EAF4A751D0}</author>
    <author>tc={619FDF95-8E87-44A8-A07B-34B7B71E29E7}</author>
    <author>tc={728F8F9A-4CF7-4EFF-8074-D4AEE75B93AA}</author>
    <author>tc={3B0BEC32-ED44-49F9-A04B-1F5A578A93AC}</author>
    <author>tc={23562B78-4546-424D-BFA6-E7E2EB21D711}</author>
    <author>tc={824D4ADB-1DD3-4645-A4DC-87A2EDE848A9}</author>
    <author>tc={6CA66670-ECBC-4898-A294-F5EDC80AD836}</author>
    <author>tc={5470DBE9-1CC3-4AEF-9CD9-FE7B9F0756F4}</author>
    <author>tc={8C9BA0CF-17E6-40E3-ABCC-65C4DF9B03E7}</author>
    <author>tc={DEA963DA-5CB7-4A8F-962B-8645A2F36DF0}</author>
    <author>tc={F4218524-5AD8-4193-9D67-2D2E67C5BE57}</author>
    <author>tc={AE22941C-53C8-4958-975B-C0EAB1E2651D}</author>
    <author>tc={5A4EBA01-4258-43A9-8C89-BB55A0E30421}</author>
    <author>tc={F99C1A68-2BC7-4171-B523-F74E18AFB58C}</author>
    <author>tc={1AEC806B-4CF8-42F0-A55A-5DA819E37B48}</author>
    <author>tc={CA21C15F-CC06-4514-98D5-74E4A88F0AA0}</author>
    <author>tc={5E2ED604-ACBF-4A23-9543-E438CA0D20C5}</author>
    <author>tc={F161F3F7-72B5-4DDA-9007-C36AE3F08FBB}</author>
    <author>tc={36C8A8DB-F49F-4B3D-BAF8-0698160E8D61}</author>
    <author>tc={B4E68A2F-F751-4B83-B0EB-6574011547B5}</author>
    <author>tc={35C39D3F-3EEC-4A1A-A1FF-23727607DD9D}</author>
    <author>tc={0644A520-E561-42C8-B7EB-DAB2E8A13A0B}</author>
    <author>tc={6379E697-AEB1-46FC-B956-0DE9D1D30B89}</author>
    <author>tc={3CFA98F5-D121-4384-919A-4A69B9F10B80}</author>
    <author>tc={935BCDCA-1BAE-419D-AB97-E3D6C6C01D48}</author>
    <author>tc={AD6DDDE0-8FB9-435C-8986-D4B91960BEBA}</author>
    <author>tc={B365D2F1-6C79-4E00-854A-C0562B4E8F36}</author>
    <author>tc={5C74A996-3C1C-4DAE-A85E-274C72C05799}</author>
    <author>tc={5A3FA212-BD6A-492C-9726-FA27DD2A51CE}</author>
    <author>tc={36832D63-1DD3-4D16-AB02-9DEDD184F540}</author>
    <author>tc={F5DC96C1-5D7D-4BA0-8F52-14997851B74F}</author>
    <author>tc={E3BD4FD5-3611-45E2-8C71-9FE38C47FD8F}</author>
    <author>tc={7037AF66-6F2B-4C33-8170-DBD47E3106B7}</author>
    <author>tc={69546F61-8271-494F-A362-6563290FA437}</author>
  </authors>
  <commentList>
    <comment ref="F4" authorId="0" shapeId="0" xr:uid="{150830A8-B032-4467-AE27-FE4FC0FBD47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turismo.douroetamega.pt / OpenStreetMap</t>
      </text>
    </comment>
    <comment ref="G4" authorId="1" shapeId="0" xr:uid="{941789F1-2721-4C49-8C68-38EB68732F7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turismo.douroetamega.pt / OpenStreetMap</t>
      </text>
    </comment>
    <comment ref="F5" authorId="2" shapeId="0" xr:uid="{B5D5C5A6-C37F-4126-99A2-628617881B5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Bemposta Dam</t>
      </text>
    </comment>
    <comment ref="G5" authorId="3" shapeId="0" xr:uid="{E3E3D6B9-FDC1-45C5-957B-B45A4DAE4D4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Bemposta Dam</t>
      </text>
    </comment>
    <comment ref="F6" authorId="4" shapeId="0" xr:uid="{32DE71CE-8070-4CB3-84D5-03DDD6687C6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Miranda Dam</t>
      </text>
    </comment>
    <comment ref="G6" authorId="5" shapeId="0" xr:uid="{33C4D3A7-D6D1-42ED-B766-59449E4EF50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Miranda Dam</t>
      </text>
    </comment>
    <comment ref="F7" authorId="6" shapeId="0" xr:uid="{ABAD0CF4-848B-4DA7-A570-F74D513D340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Crestuma-Lever Dam</t>
      </text>
    </comment>
    <comment ref="G7" authorId="7" shapeId="0" xr:uid="{DCD7D69C-5B7F-4AFE-9625-3A738899363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Crestuma-Lever Dam</t>
      </text>
    </comment>
    <comment ref="F8" authorId="8" shapeId="0" xr:uid="{14B6B279-F480-4DF0-8E46-30CBF999C20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Valeira Dam</t>
      </text>
    </comment>
    <comment ref="G8" authorId="9" shapeId="0" xr:uid="{53316CB6-5EA6-4655-BE1D-638241B1234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Valeira Dam</t>
      </text>
    </comment>
    <comment ref="F9" authorId="10" shapeId="0" xr:uid="{3DD74437-652B-4414-B9EE-EE1A70071B8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Pocinho Dam</t>
      </text>
    </comment>
    <comment ref="G9" authorId="11" shapeId="0" xr:uid="{428F1C9A-A1E4-4FFF-87CC-3747ADF8239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Pocinho Dam</t>
      </text>
    </comment>
    <comment ref="F10" authorId="12" shapeId="0" xr:uid="{43CF1E7E-1337-40AD-8345-86EAF4A751D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Baixo Sabor</t>
      </text>
    </comment>
    <comment ref="G10" authorId="13" shapeId="0" xr:uid="{619FDF95-8E87-44A8-A07B-34B7B71E29E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Baixo Sabor</t>
      </text>
    </comment>
    <comment ref="F11" authorId="14" shapeId="0" xr:uid="{728F8F9A-4CF7-4EFF-8074-D4AEE75B93A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Foz Tua Dam</t>
      </text>
    </comment>
    <comment ref="G11" authorId="15" shapeId="0" xr:uid="{3B0BEC32-ED44-49F9-A04B-1F5A578A93A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Foz Tua Dam</t>
      </text>
    </comment>
    <comment ref="F12" authorId="16" shapeId="0" xr:uid="{23562B78-4546-424D-BFA6-E7E2EB21D71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Lindoso Dam</t>
      </text>
    </comment>
    <comment ref="G12" authorId="17" shapeId="0" xr:uid="{824D4ADB-1DD3-4645-A4DC-87A2EDE848A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Lindoso Dam</t>
      </text>
    </comment>
    <comment ref="F13" authorId="18" shapeId="0" xr:uid="{6CA66670-ECBC-4898-A294-F5EDC80AD83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Venda Nova Dam</t>
      </text>
    </comment>
    <comment ref="G13" authorId="19" shapeId="0" xr:uid="{5470DBE9-1CC3-4AEF-9CD9-FE7B9F0756F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Venda Nova Dam</t>
      </text>
    </comment>
    <comment ref="F14" authorId="20" shapeId="0" xr:uid="{8C9BA0CF-17E6-40E3-ABCC-65C4DF9B03E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Caniçada Dam</t>
      </text>
    </comment>
    <comment ref="G14" authorId="21" shapeId="0" xr:uid="{DEA963DA-5CB7-4A8F-962B-8645A2F36DF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Caniçada Dam</t>
      </text>
    </comment>
    <comment ref="F15" authorId="22" shapeId="0" xr:uid="{F4218524-5AD8-4193-9D67-2D2E67C5BE5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Rabagão Dam</t>
      </text>
    </comment>
    <comment ref="G15" authorId="23" shapeId="0" xr:uid="{AE22941C-53C8-4958-975B-C0EAB1E2651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Rabagão Dam</t>
      </text>
    </comment>
    <comment ref="F16" authorId="24" shapeId="0" xr:uid="{5A4EBA01-4258-43A9-8C89-BB55A0E3042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Paradela Dam</t>
      </text>
    </comment>
    <comment ref="G16" authorId="25" shapeId="0" xr:uid="{F99C1A68-2BC7-4171-B523-F74E18AFB58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Paradela Dam</t>
      </text>
    </comment>
    <comment ref="F17" authorId="26" shapeId="0" xr:uid="{1AEC806B-4CF8-42F0-A55A-5DA819E37B4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Castelo de Bode Dam</t>
      </text>
    </comment>
    <comment ref="G17" authorId="27" shapeId="0" xr:uid="{CA21C15F-CC06-4514-98D5-74E4A88F0AA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Castelo de Bode Dam</t>
      </text>
    </comment>
    <comment ref="F18" authorId="28" shapeId="0" xr:uid="{5E2ED604-ACBF-4A23-9543-E438CA0D20C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Cabril Dam</t>
      </text>
    </comment>
    <comment ref="G18" authorId="29" shapeId="0" xr:uid="{F161F3F7-72B5-4DDA-9007-C36AE3F08FB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Cabril Dam</t>
      </text>
    </comment>
    <comment ref="F19" authorId="30" shapeId="0" xr:uid="{36C8A8DB-F49F-4B3D-BAF8-0698160E8D6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Bouçã Dam</t>
      </text>
    </comment>
    <comment ref="G19" authorId="31" shapeId="0" xr:uid="{B4E68A2F-F751-4B83-B0EB-6574011547B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Bouçã Dam</t>
      </text>
    </comment>
    <comment ref="F20" authorId="32" shapeId="0" xr:uid="{35C39D3F-3EEC-4A1A-A1FF-23727607DD9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Pracana Dam</t>
      </text>
    </comment>
    <comment ref="G20" authorId="33" shapeId="0" xr:uid="{0644A520-E561-42C8-B7EB-DAB2E8A13A0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Pracana Dam</t>
      </text>
    </comment>
    <comment ref="F21" authorId="34" shapeId="0" xr:uid="{6379E697-AEB1-46FC-B956-0DE9D1D30B8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Belver Dam</t>
      </text>
    </comment>
    <comment ref="G21" authorId="35" shapeId="0" xr:uid="{3CFA98F5-D121-4384-919A-4A69B9F10B8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Belver Dam</t>
      </text>
    </comment>
    <comment ref="F22" authorId="36" shapeId="0" xr:uid="{935BCDCA-1BAE-419D-AB97-E3D6C6C01D4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Alqueva Dam</t>
      </text>
    </comment>
    <comment ref="G22" authorId="37" shapeId="0" xr:uid="{AD6DDDE0-8FB9-435C-8986-D4B91960BEB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Alqueva Dam</t>
      </text>
    </comment>
    <comment ref="F23" authorId="38" shapeId="0" xr:uid="{B365D2F1-6C79-4E00-854A-C0562B4E8F3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Maranhão</t>
      </text>
    </comment>
    <comment ref="G23" authorId="39" shapeId="0" xr:uid="{5C74A996-3C1C-4DAE-A85E-274C72C0579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Maranhão</t>
      </text>
    </comment>
    <comment ref="F24" authorId="40" shapeId="0" xr:uid="{5A3FA212-BD6A-492C-9726-FA27DD2A51C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Odivelas Dam</t>
      </text>
    </comment>
    <comment ref="G24" authorId="41" shapeId="0" xr:uid="{36832D63-1DD3-4D16-AB02-9DEDD184F54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Odivelas Dam</t>
      </text>
    </comment>
    <comment ref="F25" authorId="42" shapeId="0" xr:uid="{F5DC96C1-5D7D-4BA0-8F52-14997851B74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Santa Clara Dam</t>
      </text>
    </comment>
    <comment ref="G25" authorId="43" shapeId="0" xr:uid="{E3BD4FD5-3611-45E2-8C71-9FE38C47FD8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Santa Clara Dam</t>
      </text>
    </comment>
    <comment ref="F26" authorId="44" shapeId="0" xr:uid="{7037AF66-6F2B-4C33-8170-DBD47E3106B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Montargil</t>
      </text>
    </comment>
    <comment ref="G26" authorId="45" shapeId="0" xr:uid="{69546F61-8271-494F-A362-6563290FA43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Montargil</t>
      </text>
    </comment>
  </commentList>
</comments>
</file>

<file path=xl/sharedStrings.xml><?xml version="1.0" encoding="utf-8"?>
<sst xmlns="http://schemas.openxmlformats.org/spreadsheetml/2006/main" count="48750" uniqueCount="24496">
  <si>
    <t>🎨 Prompt Visual IA (2 imagens)</t>
  </si>
  <si>
    <t>Navega pela base de dados enquanto ouves a alma de Portugal  —  clica em qualquer botão para abrir a playlist no YouTube</t>
  </si>
  <si>
    <t>🎨 PROMPT A:
Navega pela base de dados enquanto ouves a alma de Portugal  —  clica em qualquer botão para abrir a playlist no YouTube em Portugal, arquitectura histórica portuguesa, luz quente da tarde, textura autêntica, realista natural, luz dourada portuguesa, desaturado cinematográfico, texturas autênticas, território como protagonista, 9:16 vertical
🎨 PROMPT B:
Detalhe de pedra e cal de Navega pela base de dados enquanto ouves a alma de Portugal  —  clica em qualquer botão para abrir a playlist no YouTube em Portugal, luz rasante, musgo, silêncio, realista natural, luz dourada portuguesa, desaturado cinematográfico, texturas autênticas, território como protagonista, 9:16 vertical</t>
  </si>
  <si>
    <t>🎤  FADO</t>
  </si>
  <si>
    <t>🎨 PROMPT A (plano geral / território):
🎤  FADO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FADO — granito cinzento-rosado, superfície autêntica portuguesa, luz rasante, luz quente da tarde, desaturado cinematográfico, realista natural, texturas autênticas, território como protagonista, 9:16 vertical</t>
  </si>
  <si>
    <t xml:space="preserve">   A alma de Portugal — UNESCO Património Imaterial da Humanidade</t>
  </si>
  <si>
    <t>🎨 PROMPT A (plano geral / território):
A alma de Portugal — UNESCO Património Imaterial da Humanidade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 alma de Portugal — UNESCO Património Imaterial da Humanidade — granito cinzento-rosado, superfície autêntica portuguesa, luz rasante, luz quente da tarde, desaturado cinematográfico, realista natural, texturas autênticas, território como protagonista, 9:16 vertical</t>
  </si>
  <si>
    <t>Playlist / Evento</t>
  </si>
  <si>
    <t>Descrição</t>
  </si>
  <si>
    <t>Géneros</t>
  </si>
  <si>
    <t>🎨 PROMPT A (plano geral / território):
Playlist / Evento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Playlist / Evento — granito cinzento-rosado, superfície autêntica portuguesa, luz rasante, luz quente da tarde, desaturado cinematográfico, realista natural, texturas autênticas, território como protagonista, 9:16 vertical</t>
  </si>
  <si>
    <t>Fado: Os Melhores Fados</t>
  </si>
  <si>
    <t>Seleção abrangente com os nomes mais icónicos — Amália, Mariza, Ana Moura, Carminho</t>
  </si>
  <si>
    <t>🎨 PROMPT A (plano geral / território):
Fado: Os Melhores Fados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Fado: Os Melhores Fados — granito cinzento-rosado, superfície autêntica portuguesa, luz rasante, luz quente da tarde, desaturado cinematográfico, realista natural, texturas autênticas, território como protagonista, 9:16 vertical</t>
  </si>
  <si>
    <t>Clássicos do Fado</t>
  </si>
  <si>
    <t>Vozes tradicionais que definiram a alma portuguesa — Amália Rodrigues, Carlos do Carmo</t>
  </si>
  <si>
    <t>🎨 PROMPT A (plano geral / território):
Clássicos do Fado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Clássicos do Fado — granito cinzento-rosado, superfície autêntica portuguesa, luz rasante, luz quente da tarde, desaturado cinematográfico, realista natural, texturas autênticas, território como protagonista, 9:16 vertical</t>
  </si>
  <si>
    <t>Fado de Coimbra</t>
  </si>
  <si>
    <t>O fado académico da cidade do Mondego — mais austero e poético</t>
  </si>
  <si>
    <t>🎨 PROMPT A (plano geral / território):
Fado de Coimbra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Fado de Coimbra — granito cinzento-rosado, superfície autêntica portuguesa, luz rasante, luz quente da tarde, desaturado cinematográfico, realista natural, texturas autênticas, território como protagonista, 9:16 vertical</t>
  </si>
  <si>
    <t>Novo Fado / Fado Contemporâneo</t>
  </si>
  <si>
    <t>Novas vozes que renovam o género — Mariza, Ana Moura, Carminho, Gisela João</t>
  </si>
  <si>
    <t>🎨 PROMPT A (plano geral / território):
Novo Fado / Fado Contemporâneo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Novo Fado / Fado Contemporâneo — granito cinzento-rosado, superfície autêntica portuguesa, luz rasante, luz quente da tarde, desaturado cinematográfico, realista natural, texturas autênticas, território como protagonista, 9:16 vertical</t>
  </si>
  <si>
    <t>🌾  CANTE ALENTEJANO</t>
  </si>
  <si>
    <t>🎨 PROMPT A (plano geral / território):
🌾  CANTE ALENTEJANO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CANTE ALENTEJANO — granito cinzento-rosado, superfície autêntica portuguesa, luz rasante, luz quente da tarde, desaturado cinematográfico, realista natural, texturas autênticas, território como protagonista, 9:16 vertical</t>
  </si>
  <si>
    <t xml:space="preserve">   Polifonia a duas vozes — Património Mundial UNESCO desde 2014</t>
  </si>
  <si>
    <t>🎨 PROMPT A (plano geral / território):
Polifonia a duas vozes — Património Mundial UNESCO desde 2014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Polifonia a duas vozes — Património Mundial UNESCO desde 2014 — granito cinzento-rosado, superfície autêntica portuguesa, luz rasante, luz quente da tarde, desaturado cinematográfico, realista natural, texturas autênticas, território como protagonista, 9:16 vertical</t>
  </si>
  <si>
    <t>Cante Alentejano — Vários Grupos</t>
  </si>
  <si>
    <t>Viagem pelas vozes polifónicas do Alentejo — Grupos Corais de Évora, Beja e Serpa</t>
  </si>
  <si>
    <t>🎨 PROMPT A (plano geral / território):
Cante Alentejano — Vários Grupos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Cante Alentejano — Vários Grupos — granito cinzento-rosado, superfície autêntica portuguesa, luz rasante, luz quente da tarde, desaturado cinematográfico, realista natural, texturas autênticas, território como protagonista, 9:16 vertical</t>
  </si>
  <si>
    <t>Música Alentejana e do Sul</t>
  </si>
  <si>
    <t>Modas tradicionais e grupos corais históricos do Alentejo profundo</t>
  </si>
  <si>
    <t>🎨 PROMPT A (plano geral / território):
Música Alentejana e do Sul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Música Alentejana e do Sul — granito cinzento-rosado, superfície autêntica portuguesa, luz rasante, luz quente da tarde, desaturado cinematográfico, realista natural, texturas autênticas, território como protagonista, 9:16 vertical</t>
  </si>
  <si>
    <t>Coral Alentejano ao Vivo</t>
  </si>
  <si>
    <t>Concertos e performances ao vivo dos grandes grupos corais alentejanos</t>
  </si>
  <si>
    <t>🎨 PROMPT A (plano geral / território):
Coral Alentejano ao Vivo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Coral Alentejano ao Vivo — granito cinzento-rosado, superfície autêntica portuguesa, luz rasante, luz quente da tarde, desaturado cinematográfico, realista natural, texturas autênticas, território como protagonista, 9:16 vertical</t>
  </si>
  <si>
    <t>🎻  FOLCLORE E MINHO</t>
  </si>
  <si>
    <t>🎨 PROMPT A (plano geral / território):
🎻  FOLCLORE E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FOLCLORE E MINHO — granito cinzento-rosado, superfície autêntica portuguesa, luz rasante, luz quente da tarde, desaturado cinematográfico, realista natural, texturas autênticas, território como protagonista, 9:16 vertical</t>
  </si>
  <si>
    <t xml:space="preserve">   Viras, Malhões e Chulas — o Norte em festa</t>
  </si>
  <si>
    <t>🎨 PROMPT A (plano geral / território):
Viras, Malhões e Chulas — o Norte em festa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Viras, Malhões e Chulas — o Norte em festa — granito cinzento-rosado, superfície autêntica portuguesa, luz rasante, luz quente da tarde, desaturado cinematográfico, realista natural, texturas autênticas, território como protagonista, 9:16 vertical</t>
  </si>
  <si>
    <t>Folclore do Minho</t>
  </si>
  <si>
    <t>Danças e cantares mais alegres do Norte de Portugal — Viras, Malhões, Chulas</t>
  </si>
  <si>
    <t>🎨 PROMPT A (plano geral / território):
Folclore do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Folclore do Minho — granito cinzento-rosado, superfície autêntica portuguesa, luz rasante, luz quente da tarde, desaturado cinematográfico, realista natural, texturas autênticas, território como protagonista, 9:16 vertical</t>
  </si>
  <si>
    <t>Rancho Folclórico Português</t>
  </si>
  <si>
    <t>Os melhores ranchos folclóricos nacionais em competição e exibição</t>
  </si>
  <si>
    <t>🎨 PROMPT A (plano geral / território):
Rancho Folclórico Português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Rancho Folclórico Português — granito cinzento-rosado, superfície autêntica portuguesa, luz rasante, luz quente da tarde, desaturado cinematográfico, realista natural, texturas autênticas, território como protagonista, 9:16 vertical</t>
  </si>
  <si>
    <t>Folclore do Norte — Trás-os-Montes</t>
  </si>
  <si>
    <t>Pauliteiros de Miranda, Gaita de Foles e ritmos transmontanos</t>
  </si>
  <si>
    <t>🎨 PROMPT A (plano geral / território):
Folclore do Norte — Trás-os-Montes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Folclore do Norte — Trás-os-Montes — granito cinzento-rosado, superfície autêntica portuguesa, luz rasante, luz quente da tarde, desaturado cinematográfico, realista natural, texturas autênticas, território como protagonista, 9:16 vertical</t>
  </si>
  <si>
    <t>🕺  MÚSICA POPULAR E PIMBA</t>
  </si>
  <si>
    <t>🎨 PROMPT A (plano geral / território):
🕺  MÚSICA POPULAR E PIMBA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MÚSICA POPULAR E PIMBA — granito cinzento-rosado, superfície autêntica portuguesa, luz rasante, luz quente da tarde, desaturado cinematográfico, realista natural, texturas autênticas, território como protagonista, 9:16 vertical</t>
  </si>
  <si>
    <t xml:space="preserve">   Arraial, Baile e Festa — o coração da aldeia</t>
  </si>
  <si>
    <t>🎨 PROMPT A (plano geral / território):
Arraial, Baile e Festa — o coração da aldeia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Arraial, Baile e Festa — o coração da aldeia — granito cinzento-rosado, superfície autêntica portuguesa, luz rasante, luz quente da tarde, desaturado cinematográfico, realista natural, texturas autênticas, território como protagonista, 9:16 vertical</t>
  </si>
  <si>
    <t>Música de Baile / Arraial / Pimba</t>
  </si>
  <si>
    <t>Ritmos mais animados do país — ideal para festas e romarias de verão</t>
  </si>
  <si>
    <t>🎨 PROMPT A (plano geral / território):
Música de Baile / Arraial / Pimba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Música de Baile / Arraial / Pimba — granito cinzento-rosado, superfície autêntica portuguesa, luz rasante, luz quente da tarde, desaturado cinematográfico, realista natural, texturas autênticas, território como protagonista, 9:16 vertical</t>
  </si>
  <si>
    <t>Festa e Dança: Músicas Inesquecíveis</t>
  </si>
  <si>
    <t>Coletânea de sucessos de arraial — Quim Barreiros, Virgul, A Tuna</t>
  </si>
  <si>
    <t>🎨 PROMPT A (plano geral / território):
Festa e Dança: Músicas Inesquecíveis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Festa e Dança: Músicas Inesquecíveis — granito cinzento-rosado, superfície autêntica portuguesa, luz rasante, luz quente da tarde, desaturado cinematográfico, realista natural, texturas autênticas, território como protagonista, 9:16 vertical</t>
  </si>
  <si>
    <t>Marchas de Lisboa</t>
  </si>
  <si>
    <t>As marchas populares dos bairros históricos de Lisboa — Junho em festa</t>
  </si>
  <si>
    <t>🎨 PROMPT A (plano geral / território):
Marchas de Lisboa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Marchas de Lisboa — granito cinzento-rosado, superfície autêntica portuguesa, luz rasante, luz quente da tarde, desaturado cinematográfico, realista natural, texturas autênticas, território como protagonista, 9:16 vertical</t>
  </si>
  <si>
    <t>🎭  FESTIVAIS DE MÚSICA TRADICIONAL</t>
  </si>
  <si>
    <t>🎨 PROMPT A (plano geral / território):
🎭  FESTIVAIS DE MÚSICA TRADICIONAL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FESTIVAIS DE MÚSICA TRADICIONAL — granito cinzento-rosado, superfície autêntica portuguesa, luz rasante, luz quente da tarde, desaturado cinematográfico, realista natural, texturas autênticas, território como protagonista, 9:16 vertical</t>
  </si>
  <si>
    <t xml:space="preserve">   Os palcos que celebram a cultura viva de Portugal</t>
  </si>
  <si>
    <t>🎨 PROMPT A (plano geral / território):
Os palcos que celebram a cultura viva de Portugal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Os palcos que celebram a cultura viva de Portugal — granito cinzento-rosado, superfície autêntica portuguesa, luz rasante, luz quente da tarde, desaturado cinematográfico, realista natural, texturas autênticas, território como protagonista, 9:16 vertical</t>
  </si>
  <si>
    <t>BONS SONS — Cem Soldos (Tomar)</t>
  </si>
  <si>
    <t>O festival que 'vive a aldeia' — música portuguesa contemporânea e de raiz</t>
  </si>
  <si>
    <t>🎨 PROMPT A (plano geral / território):
BONS SONS — Cem Soldos (Tomar)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BONS SONS — Cem Soldos (Tomar) — granito cinzento-rosado, superfície autêntica portuguesa, luz rasante, luz quente da tarde, desaturado cinematográfico, realista natural, texturas autênticas, território como protagonista, 9:16 vertical</t>
  </si>
  <si>
    <t>Andanças — Alentejo</t>
  </si>
  <si>
    <t>Danças tradicionais do mundo com bailes e concertos folk inesquecíveis</t>
  </si>
  <si>
    <t>🎨 PROMPT A (plano geral / território):
Andanças — Alentejo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Andanças — Alentejo — granito cinzento-rosado, superfície autêntica portuguesa, luz rasante, luz quente da tarde, desaturado cinematográfico, realista natural, texturas autênticas, território como protagonista, 9:16 vertical</t>
  </si>
  <si>
    <t>Festival MED — Loulé (Algarve)</t>
  </si>
  <si>
    <t>Um dos maiores festivais de World Music — tradição portuguesa e Mediterrâneo</t>
  </si>
  <si>
    <t>🎨 PROMPT A (plano geral / território):
Festival MED — Loulé (Algarve)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Festival MED — Loulé (Algarve) — granito cinzento-rosado, superfície autêntica portuguesa, luz rasante, luz quente da tarde, desaturado cinematográfico, realista natural, texturas autênticas, território como protagonista, 9:16 vertical</t>
  </si>
  <si>
    <t>Ethno Portugal — Arraiolos</t>
  </si>
  <si>
    <t>Jovens músicos de todo o mundo partilham tradições musicais</t>
  </si>
  <si>
    <t>🎨 PROMPT A (plano geral / território):
Ethno Portugal — Arraiolos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Ethno Portugal — Arraiolos — granito cinzento-rosado, superfície autêntica portuguesa, luz rasante, luz quente da tarde, desaturado cinematográfico, realista natural, texturas autênticas, território como protagonista, 9:16 vertical</t>
  </si>
  <si>
    <t>Alentejo World Heritage Festival — Évora</t>
  </si>
  <si>
    <t>Cante Alentejano e Fado num cenário histórico UNESCO</t>
  </si>
  <si>
    <t>🎨 PROMPT A (plano geral / território):
Alentejo World Heritage Festival — Évora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Alentejo World Heritage Festival — Évora — granito cinzento-rosado, superfície autêntica portuguesa, luz rasante, luz quente da tarde, desaturado cinematográfico, realista natural, texturas autênticas, território como protagonista, 9:16 vertical</t>
  </si>
  <si>
    <t>🎙  RÁDIOS E STREAMS AO VIVO</t>
  </si>
  <si>
    <t>🎨 PROMPT A (plano geral / território):
🎙  RÁDIOS E STREAMS AO VIVO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RÁDIOS E STREAMS AO VIVO — granito cinzento-rosado, superfície autêntica portuguesa, luz rasante, luz quente da tarde, desaturado cinematográfico, realista natural, texturas autênticas, território como protagonista, 9:16 vertical</t>
  </si>
  <si>
    <t xml:space="preserve">   Música tradicional em contínuo — liga e navega!</t>
  </si>
  <si>
    <t>🎨 PROMPT A (plano geral / território):
Música tradicional em contínuo — liga e navega!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Música tradicional em contínuo — liga e navega! — granito cinzento-rosado, superfície autêntica portuguesa, luz rasante, luz quente da tarde, desaturado cinematográfico, realista natural, texturas autênticas, território como protagonista, 9:16 vertical</t>
  </si>
  <si>
    <t>Rádio Renascença — Tradicional PT</t>
  </si>
  <si>
    <t>Stream ao vivo com fado, folclore e música popular portuguesa</t>
  </si>
  <si>
    <t>🎨 PROMPT A (plano geral / território):
Rádio Renascença — Tradicional PT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Rádio Renascença — Tradicional PT — granito cinzento-rosado, superfície autêntica portuguesa, luz rasante, luz quente da tarde, desaturado cinematográfico, realista natural, texturas autênticas, território como protagonista, 9:16 vertical</t>
  </si>
  <si>
    <t>Playlist Ambient — Música Portuguesa</t>
  </si>
  <si>
    <t>Fado, cante e folclore em modo ambiente para navegar sem interrupções</t>
  </si>
  <si>
    <t>🎨 PROMPT A (plano geral / território):
Playlist Ambient — Música Portuguesa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Playlist Ambient — Música Portuguesa — granito cinzento-rosado, superfície autêntica portuguesa, luz rasante, luz quente da tarde, desaturado cinematográfico, realista natural, texturas autênticas, território como protagonista, 9:16 vertical</t>
  </si>
  <si>
    <t>💡  Dica: clica em qualquer botão ▶ para abrir o YouTube numa nova janela  —  navega nas outras folhas enquanto ouves música</t>
  </si>
  <si>
    <t>🎨 PROMPT A (plano geral / território):
💡  Dica: clica em qualquer botão ▶ para abrir o YouTube numa nova janela  —  navega nas outras folhas enquanto ouves música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Dica: clica em qualquer botão ▶ para abrir o YouTube numa nova janela  —  navega nas outras folhas enquanto ouves música — granito cinzento-rosado, superfície autêntica portuguesa, luz rasante, luz quente da tarde, desaturado cinematográfico, realista natural, texturas autênticas, território como protagonista, 9:16 vertical</t>
  </si>
  <si>
    <t>🎵  Portugal Vivo  ·  Base de Dados de Turismo Cultural  ·  2026  ·  Fado · Cante Alentejano · Folclore · Pimba</t>
  </si>
  <si>
    <t>🎨 PROMPT A (plano geral / território):
🎵  Portugal Vivo  ·  Base de Dados de Turismo Cultural  ·  2026  ·  Fado · Cante Alentejano · Folclore · Pimba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Portugal Vivo  ·  Base de Dados de Turismo Cultural  ·  2026  ·  Fado · Cante Alentejano · Folclore · Pimba — granito cinzento-rosado, superfície autêntica portuguesa, luz rasante, luz quente da tarde, desaturado cinematográfico, realista natural, texturas autênticas, território como protagonista, 9:16 vertical</t>
  </si>
  <si>
    <t>📺  FESTIVAIS FOLK E TRADICIONAIS</t>
  </si>
  <si>
    <t>🎨 PROMPT A (plano geral / território):
📺  FESTIVAIS FOLK E TRADICIONAIS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FESTIVAIS FOLK E TRADICIONAIS — granito cinzento-rosado, superfície autêntica portuguesa, luz rasante, luz quente da tarde, desaturado cinematográfico, realista natural, texturas autênticas, território como protagonista, 9:16 vertical</t>
  </si>
  <si>
    <t xml:space="preserve">   Playlists oficiais dos maiores festivais de música tradicional</t>
  </si>
  <si>
    <t>🎨 PROMPT A (plano geral / território):
Playlists oficiais dos maiores festivais de música tradicional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Playlists oficiais dos maiores festivais de música tradicional — granito cinzento-rosado, superfície autêntica portuguesa, luz rasante, luz quente da tarde, desaturado cinematográfico, realista natural, texturas autênticas, território como protagonista, 9:16 vertical</t>
  </si>
  <si>
    <t>Andanças — Playlist Oficial</t>
  </si>
  <si>
    <t>43 vídeos que capturam a essência deste festival de danças e músicas populares de várias culturas</t>
  </si>
  <si>
    <t>🎨 PROMPT A (plano geral / território):
Andanças — Playlist Oficial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Andanças — Playlist Oficial — granito cinzento-rosado, superfície autêntica portuguesa, luz rasante, luz quente da tarde, desaturado cinematográfico, realista natural, texturas autênticas, território como protagonista, 9:16 vertical</t>
  </si>
  <si>
    <t>BONS SONS — Canal Oficial</t>
  </si>
  <si>
    <t>Resumos de cada edição e concertos completos de artistas que fundem tradição com modernidade em Cem Soldos</t>
  </si>
  <si>
    <t>🎨 PROMPT A (plano geral / território):
BONS SONS — Canal Oficial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BONS SONS — Canal Oficial — granito cinzento-rosado, superfície autêntica portuguesa, luz rasante, luz quente da tarde, desaturado cinematográfico, realista natural, texturas autênticas, território como protagonista, 9:16 vertical</t>
  </si>
  <si>
    <t>Festa na Aldeia — Músicas Típicas</t>
  </si>
  <si>
    <t>O espírito das festas populares, bailes e arraiais de aldeia — concertinas e acordeões</t>
  </si>
  <si>
    <t>🎨 PROMPT A (plano geral / território):
Festa na Aldeia — Músicas Típicas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Festa na Aldeia — Músicas Típicas — granito cinzento-rosado, superfície autêntica portuguesa, luz rasante, luz quente da tarde, desaturado cinematográfico, realista natural, texturas autênticas, território como protagonista, 9:16 vertical</t>
  </si>
  <si>
    <t>Mix de Música Tradicional Portuguesa</t>
  </si>
  <si>
    <t>Playlist abrangente com sons folk e tradicionais de várias regiões do país</t>
  </si>
  <si>
    <t>🎨 PROMPT A (plano geral / território):
Mix de Música Tradicional Portuguesa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Mix de Música Tradicional Portuguesa — granito cinzento-rosado, superfície autêntica portuguesa, luz rasante, luz quente da tarde, desaturado cinematográfico, realista natural, texturas autênticas, território como protagonista, 9:16 vertical</t>
  </si>
  <si>
    <t>🌍  FESTIVAL DE MÚSICAS DO MUNDO — SINES</t>
  </si>
  <si>
    <t>🎨 PROMPT A (plano geral / território):
🌍  FESTIVAL DE MÚSICAS DO MUNDO — SINES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FESTIVAL DE MÚSICAS DO MUNDO — SINES — granito cinzento-rosado, superfície autêntica portuguesa, luz rasante, luz quente da tarde, desaturado cinematográfico, realista natural, texturas autênticas, território como protagonista, 9:16 vertical</t>
  </si>
  <si>
    <t xml:space="preserve">   O maior festival de World Music de Portugal — Sines, Alentejo Litoral</t>
  </si>
  <si>
    <t>🎨 PROMPT A (plano geral / território):
O maior festival de World Music de Portugal — Sines, Alentejo Litoral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 maior festival de World Music de Portugal — Sines, Alentejo Litoral — granito cinzento-rosado, superfície autêntica portuguesa, luz rasante, luz quente da tarde, desaturado cinematográfico, realista natural, texturas autênticas, território como protagonista, 9:16 vertical</t>
  </si>
  <si>
    <t>Festival de Músicas do Mundo — Sines</t>
  </si>
  <si>
    <t>Um dos mais importantes festivais europeus de world music, realizado em Sines junto ao Castelo de Vasco da Gama</t>
  </si>
  <si>
    <t>🎨 PROMPT A (plano geral / território):
Festival de Músicas do Mundo — Sines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Festival de Músicas do Mundo — Sines — granito cinzento-rosado, superfície autêntica portuguesa, luz rasante, luz quente da tarde, desaturado cinematográfico, realista natural, texturas autênticas, território como protagonista, 9:16 vertical</t>
  </si>
  <si>
    <t>FMM Sines — Arquivo e Concertos</t>
  </si>
  <si>
    <t>Concertos completos e registos das edições anteriores do festival — Sines, julho/agosto</t>
  </si>
  <si>
    <t>🎨 PROMPT A (plano geral / território):
FMM Sines — Arquivo e Concertos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FMM Sines — Arquivo e Concertos — granito cinzento-rosado, superfície autêntica portuguesa, luz rasante, luz quente da tarde, desaturado cinematográfico, realista natural, texturas autênticas, território como protagonista, 9:16 vertical</t>
  </si>
  <si>
    <t>🌟  DESTAQUES DE EVENTOS ESPECÍFICOS</t>
  </si>
  <si>
    <t>🎨 PROMPT A (plano geral / território):
🌟  DESTAQUES DE EVENTOS ESPECÍFICOS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DESTAQUES DE EVENTOS ESPECÍFICOS — granito cinzento-rosado, superfície autêntica portuguesa, luz rasante, luz quente da tarde, desaturado cinematográfico, realista natural, texturas autênticas, território como protagonista, 9:16 vertical</t>
  </si>
  <si>
    <t xml:space="preserve">   Vídeos e registos únicos dos grandes momentos da tradição portuguesa</t>
  </si>
  <si>
    <t>🎨 PROMPT A (plano geral / território):
Vídeos e registos únicos dos grandes momentos da tradição portuguesa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Vídeos e registos únicos dos grandes momentos da tradição portuguesa — granito cinzento-rosado, superfície autêntica portuguesa, luz rasante, luz quente da tarde, desaturado cinematográfico, realista natural, texturas autênticas, território como protagonista, 9:16 vertical</t>
  </si>
  <si>
    <t>Romaria da Agonia 2025 — Viana do Castelo</t>
  </si>
  <si>
    <t>Música típica que acompanha um dos maiores desfiles etnográficos de Portugal — agosto em Viana</t>
  </si>
  <si>
    <t>🎨 PROMPT A (plano geral / território):
Romaria da Agonia 2025 — Viana do Castelo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Romaria da Agonia 2025 — Viana do Castelo — granito cinzento-rosado, superfície autêntica portuguesa, luz rasante, luz quente da tarde, desaturado cinematográfico, realista natural, texturas autênticas, território como protagonista, 9:16 vertical</t>
  </si>
  <si>
    <t>O Melhor da Música Típica</t>
  </si>
  <si>
    <t>Compilação de ritmos de folclore e canções presença obrigatória em qualquer celebração tradicional</t>
  </si>
  <si>
    <t>🎨 PROMPT A (plano geral / território):
O Melhor da Música Típica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 Melhor da Música Típica — granito cinzento-rosado, superfície autêntica portuguesa, luz rasante, luz quente da tarde, desaturado cinematográfico, realista natural, texturas autênticas, território como protagonista, 9:16 vertical</t>
  </si>
  <si>
    <t>🎵  Portugal Vivo  ·  Base de Dados de Turismo Cultural  ·  2026  ·  Fado · Cante Alentejano · Folclore · Folk · World Music</t>
  </si>
  <si>
    <t>🎨 PROMPT A (plano geral / território):
🎵  Portugal Vivo  ·  Base de Dados de Turismo Cultural  ·  2026  ·  Fado · Cante Alentejano · Folclore · Folk · World Music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Portugal Vivo  ·  Base de Dados de Turismo Cultural  ·  2026  ·  Fado · Cante Alentejano · Folclore · Folk · World Music — granito cinzento-rosado, superfície autêntica portuguesa, luz rasante, luz quente da tarde, desaturado cinematográfico, realista natural, texturas autênticas, território como protagonista, 9:16 vertical</t>
  </si>
  <si>
    <t>🎤  ARTISTAS DE MÚSICA PORTUGUESA — 100 Nomes Essenciais</t>
  </si>
  <si>
    <t>🎨 PROMPT A (plano geral / território):
🎤  ARTISTAS DE MÚSICA PORTUGUESA — 100 Nomes Essenciais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ARTISTAS DE MÚSICA PORTUGUESA — 100 Nomes Essenciais — granito cinzento-rosado, superfície autêntica portuguesa, luz rasante, luz quente da tarde, desaturado cinematográfico, realista natural, texturas autênticas, território como protagonista, 9:16 vertical</t>
  </si>
  <si>
    <t>Fado · Intervenção · Folk · Cante · Popular — clica no nome para pesquisar no YouTube</t>
  </si>
  <si>
    <t>🎨 PROMPT A (plano geral / território):
Fado · Intervenção · Folk · Cante · Popular — clica no nome para pesquisar no YouTube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Fado · Intervenção · Folk · Cante · Popular — clica no nome para pesquisar no YouTube — granito cinzento-rosado, superfície autêntica portuguesa, luz rasante, luz quente da tarde, desaturado cinematográfico, realista natural, texturas autênticas, território como protagonista, 9:16 vertical</t>
  </si>
  <si>
    <t>🎤  FADO — Clássicos e Contemporâneos</t>
  </si>
  <si>
    <t>🎨 PROMPT A (plano geral / território):
🎤  FADO — Clássicos e Contemporâneos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FADO — Clássicos e Contemporâneos — granito cinzento-rosado, superfície autêntica portuguesa, luz rasante, luz quente da tarde, desaturado cinematográfico, realista natural, texturas autênticas, território como protagonista, 9:16 vertical</t>
  </si>
  <si>
    <t xml:space="preserve">   A alma de Portugal · UNESCO Património Imaterial · 35 vozes</t>
  </si>
  <si>
    <t>🎨 PROMPT A (plano geral / território):
A alma de Portugal · UNESCO Património Imaterial · 35 vozes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 alma de Portugal · UNESCO Património Imaterial · 35 vozes — granito cinzento-rosado, superfície autêntica portuguesa, luz rasante, luz quente da tarde, desaturado cinematográfico, realista natural, texturas autênticas, território como protagonista, 9:16 vertical</t>
  </si>
  <si>
    <t>#</t>
  </si>
  <si>
    <t>Artista</t>
  </si>
  <si>
    <t>▶ Ouvir</t>
  </si>
  <si>
    <t>Notas sobre o artista</t>
  </si>
  <si>
    <t>🎨 PROMPT A (plano geral / território):
#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 granito cinzento-rosado, superfície autêntica portuguesa, luz rasante, luz quente da tarde, desaturado cinematográfico, realista natural, texturas autênticas, território como protagonista, 9:16 vertical</t>
  </si>
  <si>
    <t>Amália Rodrigues</t>
  </si>
  <si>
    <t>A voz do fado. A maior fadista de todos os tempos — transformou o Fado em linguagem universal. Voz única, teatro e saudade concentrados numa só intérprete.</t>
  </si>
  <si>
    <t>🎨 PROMPT A (plano geral / território):
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 — granito cinzento-rosado, superfície autêntica portuguesa, luz rasante, luz quente da tarde, desaturado cinematográfico, realista natural, texturas autênticas, território como protagonista, 9:16 vertical</t>
  </si>
  <si>
    <t>Carlos do Carmo</t>
  </si>
  <si>
    <t>Príncipe do Fado. Voz grave e poética que uniu o fado à letra literária. Cantor de Lisboa e da humanidade. Prémio Grammy Latino honorário (2012).</t>
  </si>
  <si>
    <t>🎨 PROMPT A (plano geral / território):
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 — granito cinzento-rosado, superfície autêntica portuguesa, luz rasante, luz quente da tarde, desaturado cinematográfico, realista natural, texturas autênticas, território como protagonista, 9:16 vertical</t>
  </si>
  <si>
    <t>Mariza</t>
  </si>
  <si>
    <t>A face moderna do Fado. Voz de soprano dramático com presença de palco avassaladora. Sucessora de Amália no plano internacional. Grammy Latino.</t>
  </si>
  <si>
    <t>🎨 PROMPT A (plano geral / território):
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 — granito cinzento-rosado, superfície autêntica portuguesa, luz rasante, luz quente da tarde, desaturado cinematográfico, realista natural, texturas autênticas, território como protagonista, 9:16 vertical</t>
  </si>
  <si>
    <t>Ana Moura</t>
  </si>
  <si>
    <t>Voz de contralto suave e profunda, cruzou o Fado com o mundo — colaborações com Rolling Stones e Mick Jagger. Fado de Lisboa contemporâneo.</t>
  </si>
  <si>
    <t>🎨 PROMPT A (plano geral / território):
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4 — granito cinzento-rosado, superfície autêntica portuguesa, luz rasante, luz quente da tarde, desaturado cinematográfico, realista natural, texturas autênticas, território como protagonista, 9:16 vertical</t>
  </si>
  <si>
    <t>Camané</t>
  </si>
  <si>
    <t>O fadista dos fadistas. Voz de veludo com técnica vocal inigualável. Herdeiro da escola de Alfredo Marceneiro. Fado de Lisboa clássico e refinado.</t>
  </si>
  <si>
    <t>🎨 PROMPT A (plano geral / território):
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5 — granito cinzento-rosado, superfície autêntica portuguesa, luz rasante, luz quente da tarde, desaturado cinematográfico, realista natural, texturas autênticas, território como protagonista, 9:16 vertical</t>
  </si>
  <si>
    <t>Carminho</t>
  </si>
  <si>
    <t>Nova voz do Fado com raízes familiares profundas. Mistura Fado de Lisboa com emoção crua e autenticidade. Premiada internacionalmente.</t>
  </si>
  <si>
    <t>🎨 PROMPT A (plano geral / território):
6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6 — granito cinzento-rosado, superfície autêntica portuguesa, luz rasante, luz quente da tarde, desaturado cinematográfico, realista natural, texturas autênticas, território como protagonista, 9:16 vertical</t>
  </si>
  <si>
    <t>Alfredo Marceneiro</t>
  </si>
  <si>
    <t>Mestre do Fado Vadio. Voz áspera e autêntica dos becos de Lisboa. Influenciou gerações de fadistas. Ícone do Fado popular lisboeta.</t>
  </si>
  <si>
    <t>🎨 PROMPT A (plano geral / território):
7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7 — granito cinzento-rosado, superfície autêntica portuguesa, luz rasante, luz quente da tarde, desaturado cinematográfico, realista natural, texturas autênticas, território como protagonista, 9:16 vertical</t>
  </si>
  <si>
    <t>Maria Alice</t>
  </si>
  <si>
    <t>Voz poderosa da tradição. Fadista da Mouraria com carreira de décadas. Guardiã do estilo clássico do Fado de Lisboa.</t>
  </si>
  <si>
    <t>🎨 PROMPT A (plano geral / território):
8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8 — granito cinzento-rosado, superfície autêntica portuguesa, luz rasante, luz quente da tarde, desaturado cinematográfico, realista natural, texturas autênticas, território como protagonista, 9:16 vertical</t>
  </si>
  <si>
    <t>Maria da Fé</t>
  </si>
  <si>
    <t>Fadista de carreira longa e consistente. Dona de voz expressiva e repertório que percorre os grandes clássicos do género.</t>
  </si>
  <si>
    <t>🎨 PROMPT A (plano geral / território):
9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9 — granito cinzento-rosado, superfície autêntica portuguesa, luz rasante, luz quente da tarde, desaturado cinematográfico, realista natural, texturas autênticas, território como protagonista, 9:16 vertical</t>
  </si>
  <si>
    <t>Hermínia Silva</t>
  </si>
  <si>
    <t>A outra grande voz do Fado clássico. Contemporânea de Amália, com humor e irreverência no seu estilo único.</t>
  </si>
  <si>
    <t>🎨 PROMPT A (plano geral / território):
10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10 — granito cinzento-rosado, superfície autêntica portuguesa, luz rasante, luz quente da tarde, desaturado cinematográfico, realista natural, texturas autênticas, território como protagonista, 9:16 vertical</t>
  </si>
  <si>
    <t>Lucília do Carmo</t>
  </si>
  <si>
    <t>Mãe de Carlos do Carmo e uma das grandes vozes do Fado de Lisboa. Voz de ouro da tradição que passou a paixão ao filho.</t>
  </si>
  <si>
    <t>🎨 PROMPT A (plano geral / território):
11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11 — granito cinzento-rosado, superfície autêntica portuguesa, luz rasante, luz quente da tarde, desaturado cinematográfico, realista natural, texturas autênticas, território como protagonista, 9:16 vertical</t>
  </si>
  <si>
    <t>Vicente da Câmara</t>
  </si>
  <si>
    <t>Voz grave do Fado de Lisboa. Compositor e intérprete que contribuiu para o alargamento do repertório clássico fadista.</t>
  </si>
  <si>
    <t>🎨 PROMPT A (plano geral / território):
12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12 — granito cinzento-rosado, superfície autêntica portuguesa, luz rasante, luz quente da tarde, desaturado cinematográfico, realista natural, texturas autênticas, território como protagonista, 9:16 vertical</t>
  </si>
  <si>
    <t>Rodrigo</t>
  </si>
  <si>
    <t>Fadista de voz inconfundível e estilo popular. Mestre do Fado Vadio e das cantigas de rua de Lisboa.</t>
  </si>
  <si>
    <t>🎨 PROMPT A (plano geral / território):
13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13 — granito cinzento-rosado, superfície autêntica portuguesa, luz rasante, luz quente da tarde, desaturado cinematográfico, realista natural, texturas autênticas, território como protagonista, 9:16 vertical</t>
  </si>
  <si>
    <t>João Braga</t>
  </si>
  <si>
    <t>Fadista e guitarrista de reconhecido talento. Une a guitarra portuguesa ao canto com mestria técnica e musicalidade.</t>
  </si>
  <si>
    <t>🎨 PROMPT A (plano geral / território):
14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14 — granito cinzento-rosado, superfície autêntica portuguesa, luz rasante, luz quente da tarde, desaturado cinematográfico, realista natural, texturas autênticas, território como protagonista, 9:16 vertical</t>
  </si>
  <si>
    <t>Argentina Santos</t>
  </si>
  <si>
    <t>Uma das grandes vozes do Fado clássico. Carreira longa de fidelidade ao estilo de Lisboa.</t>
  </si>
  <si>
    <t>🎨 PROMPT A (plano geral / território):
15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15 — granito cinzento-rosado, superfície autêntica portuguesa, luz rasante, luz quente da tarde, desaturado cinematográfico, realista natural, texturas autênticas, território como protagonista, 9:16 vertical</t>
  </si>
  <si>
    <t>Ricardo Ribeiro</t>
  </si>
  <si>
    <t>Voz lírica do Fado contemporâneo. Formação clássica que dá ao Fado uma dimensão nova sem perder a autenticidade.</t>
  </si>
  <si>
    <t>🎨 PROMPT A (plano geral / território):
16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16 — granito cinzento-rosado, superfície autêntica portuguesa, luz rasante, luz quente da tarde, desaturado cinematográfico, realista natural, texturas autênticas, território como protagonista, 9:16 vertical</t>
  </si>
  <si>
    <t>Gisela João</t>
  </si>
  <si>
    <t>A mais ousada voz do Fado actual. Radicalismo e experimentação com respeito pela tradição. Candidata aos Grammy.</t>
  </si>
  <si>
    <t>🎨 PROMPT A (plano geral / território):
17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17 — granito cinzento-rosado, superfície autêntica portuguesa, luz rasante, luz quente da tarde, desaturado cinematográfico, realista natural, texturas autênticas, território como protagonista, 9:16 vertical</t>
  </si>
  <si>
    <t>António Zambujo</t>
  </si>
  <si>
    <t>Fado e MPB numa só voz. Influência alentejana no Fado — mistura rara de cante e guitarra portuguesa. Virtuoso múltiplo.</t>
  </si>
  <si>
    <t>🎨 PROMPT A (plano geral / território):
18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18 — granito cinzento-rosado, superfície autêntica portuguesa, luz rasante, luz quente da tarde, desaturado cinematográfico, realista natural, texturas autênticas, território como protagonista, 9:16 vertical</t>
  </si>
  <si>
    <t>Raquel Tavares</t>
  </si>
  <si>
    <t>Herdeira da tradição familiar de Fado. Voz intensa com capacidade de emoção e interpretação do repertório clássico.</t>
  </si>
  <si>
    <t>🎨 PROMPT A (plano geral / território):
19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19 — granito cinzento-rosado, superfície autêntica portuguesa, luz rasante, luz quente da tarde, desaturado cinematográfico, realista natural, texturas autênticas, território como protagonista, 9:16 vertical</t>
  </si>
  <si>
    <t>Marco Rodrigues</t>
  </si>
  <si>
    <t>Fadista de grande presença de palco. Voz poderosa e interpretação dramática dos grandes temas do Fado.</t>
  </si>
  <si>
    <t>🎨 PROMPT A (plano geral / território):
20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20 — granito cinzento-rosado, superfície autêntica portuguesa, luz rasante, luz quente da tarde, desaturado cinematográfico, realista natural, texturas autênticas, território como protagonista, 9:16 vertical</t>
  </si>
  <si>
    <t>Katia Guerreiro</t>
  </si>
  <si>
    <t>Voz inconfundível de contralto profundo. Uma das mais respeitadas intérpretes do Fado contemporâneo internacional.</t>
  </si>
  <si>
    <t>🎨 PROMPT A (plano geral / território):
21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21 — granito cinzento-rosado, superfície autêntica portuguesa, luz rasante, luz quente da tarde, desaturado cinematográfico, realista natural, texturas autênticas, território como protagonista, 9:16 vertical</t>
  </si>
  <si>
    <t>Helder Moutinho</t>
  </si>
  <si>
    <t>Voz masculina de grande maturidade e estilo. Fado de Lisboa com influências do Fado de Coimbra. Premiado múltiplas vezes.</t>
  </si>
  <si>
    <t>🎨 PROMPT A (plano geral / território):
22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22 — granito cinzento-rosado, superfície autêntica portuguesa, luz rasante, luz quente da tarde, desaturado cinematográfico, realista natural, texturas autênticas, território como protagonista, 9:16 vertical</t>
  </si>
  <si>
    <t>Pedro Moutinho</t>
  </si>
  <si>
    <t>Voz jovem com talento reconhecido. Fado de raiz com modernidade discreta. Herdeiro das boas tradições da escola de Lisboa.</t>
  </si>
  <si>
    <t>🎨 PROMPT A (plano geral / território):
23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23 — granito cinzento-rosado, superfície autêntica portuguesa, luz rasante, luz quente da tarde, desaturado cinematográfico, realista natural, texturas autênticas, território como protagonista, 9:16 vertical</t>
  </si>
  <si>
    <t>Aldina Duarte</t>
  </si>
  <si>
    <t>Poeta e fadista. Letras literárias com voz grave de grande expressividade. Fado de autor que une a palavra à melodia.</t>
  </si>
  <si>
    <t>🎨 PROMPT A (plano geral / território):
24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24 — granito cinzento-rosado, superfície autêntica portuguesa, luz rasante, luz quente da tarde, desaturado cinematográfico, realista natural, texturas autênticas, território como protagonista, 9:16 vertical</t>
  </si>
  <si>
    <t>Cristina Branco</t>
  </si>
  <si>
    <t>Voz de porcelana do Fado internacional. Baseada nos Países Baixos, levou o Fado a públicos de jazz e world music.</t>
  </si>
  <si>
    <t>🎨 PROMPT A (plano geral / território):
25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25 — granito cinzento-rosado, superfície autêntica portuguesa, luz rasante, luz quente da tarde, desaturado cinematográfico, realista natural, texturas autênticas, território como protagonista, 9:16 vertical</t>
  </si>
  <si>
    <t>Mísia</t>
  </si>
  <si>
    <t>A fadista de Barcelona. Voz teatral e repertório de ruptura. Introduziu o Fado nas programações de ópera europeias.</t>
  </si>
  <si>
    <t>🎨 PROMPT A (plano geral / território):
26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26 — granito cinzento-rosado, superfície autêntica portuguesa, luz rasante, luz quente da tarde, desaturado cinematográfico, realista natural, texturas autênticas, território como protagonista, 9:16 vertical</t>
  </si>
  <si>
    <t>Dulce Pontes</t>
  </si>
  <si>
    <t>Voz de soprano dramático que cruzou o Fado com a música do mundo. "Lágrima" — um dos álbuns mais vendidos do Fado.</t>
  </si>
  <si>
    <t>🎨 PROMPT A (plano geral / território):
27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27 — granito cinzento-rosado, superfície autêntica portuguesa, luz rasante, luz quente da tarde, desaturado cinematográfico, realista natural, texturas autênticas, território como protagonista, 9:16 vertical</t>
  </si>
  <si>
    <t>Mafalda Arnauth</t>
  </si>
  <si>
    <t>Voz lírica de grande sensibilidade. Fado de Lisboa com letras poéticas e arranjos modernos discretamente inovadores.</t>
  </si>
  <si>
    <t>🎨 PROMPT A (plano geral / território):
28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28 — granito cinzento-rosado, superfície autêntica portuguesa, luz rasante, luz quente da tarde, desaturado cinematográfico, realista natural, texturas autênticas, território como protagonista, 9:16 vertical</t>
  </si>
  <si>
    <t>Cuca Roseta</t>
  </si>
  <si>
    <t>Voz clara e intensa. Fado contemporâneo com raízes na escola de Lisboa. Premiada internacionalmente com múltiplos álbuns.</t>
  </si>
  <si>
    <t>🎨 PROMPT A (plano geral / território):
29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29 — granito cinzento-rosado, superfície autêntica portuguesa, luz rasante, luz quente da tarde, desaturado cinematográfico, realista natural, texturas autênticas, território como protagonista, 9:16 vertical</t>
  </si>
  <si>
    <t>Teresinha Landeiro</t>
  </si>
  <si>
    <t>Jovem voz do Fado de Coimbra. União entre a tradição académica e a modernidade. Premiada no Fado em flor.</t>
  </si>
  <si>
    <t>🎨 PROMPT A (plano geral / território):
30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30 — granito cinzento-rosado, superfície autêntica portuguesa, luz rasante, luz quente da tarde, desaturado cinematográfico, realista natural, texturas autênticas, território como protagonista, 9:16 vertical</t>
  </si>
  <si>
    <t>Sara Correia</t>
  </si>
  <si>
    <t>Uma das vozes mais promissoras do Fado actual. Raízes no Fado Vadio com naturalidade e autenticidade únicas.</t>
  </si>
  <si>
    <t>🎨 PROMPT A (plano geral / território):
31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31 — granito cinzento-rosado, superfície autêntica portuguesa, luz rasante, luz quente da tarde, desaturado cinematográfico, realista natural, texturas autênticas, território como protagonista, 9:16 vertical</t>
  </si>
  <si>
    <t>Fábia Rebordão</t>
  </si>
  <si>
    <t>Voz expressiva do Fado jovem. Repertório que mistura clássicos com novas composições. Activismo pela preservação do género.</t>
  </si>
  <si>
    <t>🎨 PROMPT A (plano geral / território):
32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32 — granito cinzento-rosado, superfície autêntica portuguesa, luz rasante, luz quente da tarde, desaturado cinematográfico, realista natural, texturas autênticas, território como protagonista, 9:16 vertical</t>
  </si>
  <si>
    <t>Duarte</t>
  </si>
  <si>
    <t>Fadista e compositor de nova geração. Letras introspectivas e voz masculina com identidade própria no panorama actual.</t>
  </si>
  <si>
    <t>🎨 PROMPT A (plano geral / território):
33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33 — granito cinzento-rosado, superfície autêntica portuguesa, luz rasante, luz quente da tarde, desaturado cinematográfico, realista natural, texturas autênticas, território como protagonista, 9:16 vertical</t>
  </si>
  <si>
    <t>Gonçalo Salgueiro</t>
  </si>
  <si>
    <t>Voz masculina jovem com formação académica musical. Fado de Lisboa com arranjos cuidados e repertório original.</t>
  </si>
  <si>
    <t>🎨 PROMPT A (plano geral / território):
34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34 — granito cinzento-rosado, superfície autêntica portuguesa, luz rasante, luz quente da tarde, desaturado cinematográfico, realista natural, texturas autênticas, território como protagonista, 9:16 vertical</t>
  </si>
  <si>
    <t>Rodrigo Costa Félix</t>
  </si>
  <si>
    <t>Fadista de nova geração com ligação forte à guitarra portuguesa. Compositor e intérprete de estilo clássico contemporâneo.</t>
  </si>
  <si>
    <t>🎨 PROMPT A (plano geral / território):
35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35 — granito cinzento-rosado, superfície autêntica portuguesa, luz rasante, luz quente da tarde, desaturado cinematográfico, realista natural, texturas autênticas, território como protagonista, 9:16 vertical</t>
  </si>
  <si>
    <t>✊  INTERVENÇÃO E CANTAUTORES</t>
  </si>
  <si>
    <t>🎨 PROMPT A (plano geral / território):
✊  INTERVENÇÃO E CANTAUTORES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INTERVENÇÃO E CANTAUTORES — granito cinzento-rosado, superfície autêntica portuguesa, luz rasante, luz quente da tarde, desaturado cinematográfico, realista natural, texturas autênticas, território como protagonista, 9:16 vertical</t>
  </si>
  <si>
    <t xml:space="preserve">   A voz da revolução e do povo · Abril de 1974 · 20 nomes</t>
  </si>
  <si>
    <t>🎨 PROMPT A (plano geral / território):
A voz da revolução e do povo · Abril de 1974 · 20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 voz da revolução e do povo · Abril de 1974 · 20 nomes — granito cinzento-rosado, superfície autêntica portuguesa, luz rasante, luz quente da tarde, desaturado cinematográfico, realista natural, texturas autênticas, território como protagonista, 9:16 vertical</t>
  </si>
  <si>
    <t>Zeca Afonso</t>
  </si>
  <si>
    <t>O pai da música de intervenção portuguesa. Voz da Revolução do 25 de Abril — "Grândola, Vila Morena" deu o sinal à revolta. Ícone eterno.</t>
  </si>
  <si>
    <t>José Mário Branco</t>
  </si>
  <si>
    <t>Compositor e cantautor de referência do Abril. Música política de grande elaboração poética e musical. Colaborador de Zeca.</t>
  </si>
  <si>
    <t>Sérgio Godinho</t>
  </si>
  <si>
    <t>Cantautor que une a intervenção à poesia quotidiana. Voz inconfundível, letras sábias sobre a vida e o amor. Décadas de obra.</t>
  </si>
  <si>
    <t>Fausto Bordalo Dias</t>
  </si>
  <si>
    <t>Guitarrista e compositor de obra épica. "Por Este Rio Acima" — viagem musical pela história marítima portuguesa. Virtuoso.</t>
  </si>
  <si>
    <t>Vitorino Salomé</t>
  </si>
  <si>
    <t>Cantautor alentejano que une o cante à intervenção. Voz enraizada no sul de Portugal com sabedoria popular transmitida musicalmente.</t>
  </si>
  <si>
    <t>Janita Salomé</t>
  </si>
  <si>
    <t>Cantautora e poeta da revolução. Voz feminina da intervenção com sensibilidade poética e comprometimento social.</t>
  </si>
  <si>
    <t>Francisco Fanhais</t>
  </si>
  <si>
    <t>Padre e cantautor da resistência. Voz da Igreja progressista durante o Estado Novo. Canções de libertação e solidariedade.</t>
  </si>
  <si>
    <t>Manuel Freire</t>
  </si>
  <si>
    <t>Cantautor do povo. Voz simples e directa com letras que falam da vida real portuguesa. Humor e crítica social.</t>
  </si>
  <si>
    <t>Adriano Correia de Oliveira</t>
  </si>
  <si>
    <t>Adriano Correia de Oliveira — cantautor de intervenção portuguesa. Voz comprometida com a liberdade e o povo.</t>
  </si>
  <si>
    <t>Luís Cília</t>
  </si>
  <si>
    <t>Cantautor da diáspora portuguesa em França. Voz da emigração e da saudade com intervenção política.</t>
  </si>
  <si>
    <t>Trovante</t>
  </si>
  <si>
    <t>Grupo pioneiro do folk rock português. Sons de guitarra acústica com letras sobre o país e as suas contradições.</t>
  </si>
  <si>
    <t>Jorge Palma</t>
  </si>
  <si>
    <t>O rockeiro poeta. Voz de rock blues com letras de grande densidade literária. Um dos mais originais criadores da canção portuguesa.</t>
  </si>
  <si>
    <t>Pedro Abrunhosa</t>
  </si>
  <si>
    <t>Pop rock com alma portuguesa. Letras poéticas e arranjos cinematográficos. Um dos mais populares cantautores actuais.</t>
  </si>
  <si>
    <t>Paulo Gonzo</t>
  </si>
  <si>
    <t>Voz de rock melódico com letras sentidas. Décadas de carreira com público fiel e obra consistente.</t>
  </si>
  <si>
    <t>Rui Veloso</t>
  </si>
  <si>
    <t>O pai do rock português em português. "Chico Fininho" abriu o caminho. Blues e rock com letras literárias.</t>
  </si>
  <si>
    <t>Carlos Tê</t>
  </si>
  <si>
    <t>Parolista de referência. Letrista de Rui Veloso e outros grandes artistas. Obra poética de grande sofisticação.</t>
  </si>
  <si>
    <t>João Afonso</t>
  </si>
  <si>
    <t>Filho de Zeca Afonso. Canção de autor com herança do pai e caminho próprio.</t>
  </si>
  <si>
    <t>B Fachada</t>
  </si>
  <si>
    <t>Voz indie da nova canção portuguesa. Minimalismo e profundidade poética numa carreira de crescimento constante.</t>
  </si>
  <si>
    <t>Samuel Úria</t>
  </si>
  <si>
    <t>Canção de autor de influência folk americana e portuguesa. Voz grave e honesta com letras de viagem interior.</t>
  </si>
  <si>
    <t>Márcia</t>
  </si>
  <si>
    <t>Voz pop R&amp;B com raízes africanas e portuguesas. Lusofonia e identidade numa das vozes mais originais da cena contemporânea.</t>
  </si>
  <si>
    <t>🎻  FOLK, REVITALIZAÇÃO E INSTRUMENTAÇÃO</t>
  </si>
  <si>
    <t>🎨 PROMPT A (plano geral / território):
🎻  FOLK, REVITALIZAÇÃO E INSTRUMENTAÇÃO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FOLK, REVITALIZAÇÃO E INSTRUMENTAÇÃO — granito cinzento-rosado, superfície autêntica portuguesa, luz rasante, luz quente da tarde, desaturado cinematográfico, realista natural, texturas autênticas, território como protagonista, 9:16 vertical</t>
  </si>
  <si>
    <t xml:space="preserve">   Raízes tradicionais reinventadas · Gaita · Bandolim · 25 nomes</t>
  </si>
  <si>
    <t>🎨 PROMPT A (plano geral / território):
Raízes tradicionais reinventadas · Gaita · Bandolim · 25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Raízes tradicionais reinventadas · Gaita · Bandolim · 25 nomes — granito cinzento-rosado, superfície autêntica portuguesa, luz rasante, luz quente da tarde, desaturado cinematográfico, realista natural, texturas autênticas, território como protagonista, 9:16 vertical</t>
  </si>
  <si>
    <t>Rão Kyao</t>
  </si>
  <si>
    <t>O mestre da gaita de foles portuguesa. Fusão de folk celta com música mediterrânea. Um dos instrumentistas mais originais de Portugal.</t>
  </si>
  <si>
    <t>Júlio Pereira</t>
  </si>
  <si>
    <t>Mestre do cavaquinho, bandolim e guitarras tradicionais. Investigador e intérprete da música tradicional portuguesa.</t>
  </si>
  <si>
    <t>Carlos Paredes</t>
  </si>
  <si>
    <t>O maior guitarrista de guitarra portuguesa da história. "Variações" — álbum que definiu a identidade instrumental portuguesa.</t>
  </si>
  <si>
    <t>Custódio Castelo</t>
  </si>
  <si>
    <t>Sucedeu a Carlos Paredes como referência da guitarra portuguesa. Técnica sublime e criatividade renovadora.</t>
  </si>
  <si>
    <t>Marta Pereira da Costa</t>
  </si>
  <si>
    <t>Primeira mulher guitarrista de guitarra portuguesa a actuar no Carnegie Hall. Virtuosa técnica e inovadora.</t>
  </si>
  <si>
    <t>Brigada Victor Jara</t>
  </si>
  <si>
    <t>Grupo de folk intervenção de Coimbra. Música tradicional reinventada com compromisso político e social.</t>
  </si>
  <si>
    <t>Gaiteiros de Lisboa</t>
  </si>
  <si>
    <t>Grupo de folk urbano que recuperou a gaita de foles portuguesa. Fusão de tradição com rock e world music.</t>
  </si>
  <si>
    <t>Ronda dos Quatro Caminhos</t>
  </si>
  <si>
    <t>Ronda dos Quatro Caminhos — músico de folk e tradição portuguesa. Instrumentação e canto que preservam raízes culturais.</t>
  </si>
  <si>
    <t>Galandum Galundaina</t>
  </si>
  <si>
    <t>Grupo de Trás-os-Montes que preserva a música tradicional do Nordeste — gaita de foles, zanfona e pauliteiros.</t>
  </si>
  <si>
    <t>Realejo</t>
  </si>
  <si>
    <t>Grupo de folk que recupera instrumentos tradicionais portugueses. Investigação e performance de música tradicional.</t>
  </si>
  <si>
    <t>Dazkarieh</t>
  </si>
  <si>
    <t>Fusão de folk português com world music e jazz. Instrumentação acústica rica e viagens sonoras únicas.</t>
  </si>
  <si>
    <t>Diabo na Cruz</t>
  </si>
  <si>
    <t>Folk rock português de raízes populares. Energia de palco e arranjos modernos de músicas tradicionais.</t>
  </si>
  <si>
    <t>Deolinda</t>
  </si>
  <si>
    <t>Folk pop portuguesa com letras de grande inteligência sobre a vida contemporânea. Um dos grupos mais amados do país.</t>
  </si>
  <si>
    <t>OqueStrada</t>
  </si>
  <si>
    <t>Grupo de fusão que une folk, jazz e world music. Letras poéticas e instrumentação rica e variada.</t>
  </si>
  <si>
    <t>Danças Ocultas</t>
  </si>
  <si>
    <t>Percussão e tradição — grupo que explora a riqueza rítmica da música tradicional portuguesa.</t>
  </si>
  <si>
    <t>Rodrigo Leão</t>
  </si>
  <si>
    <t>Compositor de bandas sonoras e canção de câmara. Musica instrumental de grande beleza cinematográfica.</t>
  </si>
  <si>
    <t>Madredeus</t>
  </si>
  <si>
    <t>Teresa Salgueiro e guitarra portuguesa. "Ainda" — música de Lisboa para o mundo. Fado contemporâneo internacionalizado.</t>
  </si>
  <si>
    <t>Teresa Salgueiro</t>
  </si>
  <si>
    <t>Voz única e etérea de Madredeus. Após o grupo, carreira a solo de grande sensibilidade e profundidade espiritual.</t>
  </si>
  <si>
    <t>Sétima Legião</t>
  </si>
  <si>
    <t>Grupo de rock sinfónico português dos anos 80. Sons de guitarra portuguesa com rock. Influência duradoura.</t>
  </si>
  <si>
    <t>Amélia Muge</t>
  </si>
  <si>
    <t>Cantautora folk de raízes profundas. Voz andrógina e letras sobre a natureza e o tempo. Originalidade intemporal.</t>
  </si>
  <si>
    <t>Uxu Kalhus</t>
  </si>
  <si>
    <t>Folk fusão de influências africanas, portuguesas e atlânticas. Percussão e vozes que celebram a diversidade lusófona.</t>
  </si>
  <si>
    <t>Kumpania Algazarra</t>
  </si>
  <si>
    <t>Brass band portuguesa de alta energia — fusion de Balcãs, folk e jazz. Concertos eléctricos de rua e palco.</t>
  </si>
  <si>
    <t>Sebastião Antunes &amp; Quadrilha</t>
  </si>
  <si>
    <t>Sebastião Antunes &amp; Quadrilha — músico de folk e tradição portuguesa. Instrumentação e canto que preservam raízes culturais.</t>
  </si>
  <si>
    <t>Ana Alcaide</t>
  </si>
  <si>
    <t>Cantautora que une o medieval ibérico à world music. Zanfona e voz numa viagem às raízes da canção peninsular.</t>
  </si>
  <si>
    <t>Adufeiras de Monsanto</t>
  </si>
  <si>
    <t>Adufeiras de Monsanto — músico de folk e tradição portuguesa. Instrumentação e canto que preservam raízes culturais.</t>
  </si>
  <si>
    <t>🌾  CANTE, REGIONAL E FUSÃO URBANA</t>
  </si>
  <si>
    <t>🎨 PROMPT A (plano geral / território):
🌾  CANTE, REGIONAL E FUSÃO URBANA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CANTE, REGIONAL E FUSÃO URBANA — granito cinzento-rosado, superfície autêntica portuguesa, luz rasante, luz quente da tarde, desaturado cinematográfico, realista natural, texturas autênticas, território como protagonista, 9:16 vertical</t>
  </si>
  <si>
    <t xml:space="preserve">   Polifonia do Alentejo · Fusões contemporâneas · 10 nomes</t>
  </si>
  <si>
    <t>🎨 PROMPT A (plano geral / território):
Polifonia do Alentejo · Fusões contemporâneas · 10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Polifonia do Alentejo · Fusões contemporâneas · 10 nomes — granito cinzento-rosado, superfície autêntica portuguesa, luz rasante, luz quente da tarde, desaturado cinematográfico, realista natural, texturas autênticas, território como protagonista, 9:16 vertical</t>
  </si>
  <si>
    <t>Os Ganhões de Castro Verde</t>
  </si>
  <si>
    <t>Os Ganhões de Castro Verde — intérprete de Cante Alentejano. Polifonia a duas vozes do sul de Portugal. UNESCO.</t>
  </si>
  <si>
    <t>Cantadores de Pias</t>
  </si>
  <si>
    <t>Grupo coral de Pias, Serpa. Guardiões do Cante Alentejano com décadas de tradição. UNESCO Património Imaterial.</t>
  </si>
  <si>
    <t>Grupo Coral de Serpa</t>
  </si>
  <si>
    <t>Grupo Coral de Serpa — intérprete de Cante Alentejano. Polifonia a duas vozes do sul de Portugal. UNESCO.</t>
  </si>
  <si>
    <t>Rancho da Aldeia Nova</t>
  </si>
  <si>
    <t>Rancho da Aldeia Nova — intérprete de Cante Alentejano. Polifonia a duas vozes do sul de Portugal. UNESCO.</t>
  </si>
  <si>
    <t>Celina da Piedade</t>
  </si>
  <si>
    <t>Voz feminina do Cante Alentejano. Cantadeira de referência que quebrou barreiras de género numa tradição masculina.</t>
  </si>
  <si>
    <t>Omiri</t>
  </si>
  <si>
    <t>Fusão de Cante Alentejano com música do mundo. Vozes alentejanas num contexto de exploração intercultural.</t>
  </si>
  <si>
    <t>Stereossauro</t>
  </si>
  <si>
    <t>Artista de neo soul e R&amp;B lusófono com raízes africanas. Voz de seda sobre produções contemporâneas.</t>
  </si>
  <si>
    <t>Branko</t>
  </si>
  <si>
    <t>DJ e produtor do baile funk português. Criador do sound de Lisboa global — afro house, kuduro e pop.</t>
  </si>
  <si>
    <t>Mayra Andrade</t>
  </si>
  <si>
    <t>Cantora cabo-verdiana baseada em Lisboa. Morna e soul numa das vozes mais refinadas da lusofonia.</t>
  </si>
  <si>
    <t>Sara Tavares</t>
  </si>
  <si>
    <t>Voz de soul, samba e música africana. Lusofonia na sua forma mais rica — Portugal, Cabo Verde e Brasil numa só artista.</t>
  </si>
  <si>
    <t>🎉  MÚSICA LIGEIRA, POPULAR E FESTIVA</t>
  </si>
  <si>
    <t>🎨 PROMPT A (plano geral / território):
🎉  MÚSICA LIGEIRA, POPULAR E FESTIVA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MÚSICA LIGEIRA, POPULAR E FESTIVA — granito cinzento-rosado, superfície autêntica portuguesa, luz rasante, luz quente da tarde, desaturado cinematográfico, realista natural, texturas autênticas, território como protagonista, 9:16 vertical</t>
  </si>
  <si>
    <t xml:space="preserve">   Arraial · Pimba · Baile · O coração da festa portuguesa · 10 nomes</t>
  </si>
  <si>
    <t>🎨 PROMPT A (plano geral / território):
Arraial · Pimba · Baile · O coração da festa portuguesa · 10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Arraial · Pimba · Baile · O coração da festa portuguesa · 10 nomes — granito cinzento-rosado, superfície autêntica portuguesa, luz rasante, luz quente da tarde, desaturado cinematográfico, realista natural, texturas autênticas, território como protagonista, 9:16 vertical</t>
  </si>
  <si>
    <t>Quim Barreiros</t>
  </si>
  <si>
    <t>O rei do pimba. "A Garagem da Vizinha" — sucesso irresistível dos arraiais de verão. Humor, dança e festa portuguesa.</t>
  </si>
  <si>
    <t>Marco Paulo</t>
  </si>
  <si>
    <t>Canção popular portuguesa desde os anos 70. Voz suave e melodias fáceis com público fiel de décadas.</t>
  </si>
  <si>
    <t>Tony Carreira</t>
  </si>
  <si>
    <t>O dono dos arraiais. Voz inconfundível de baladas românticas e músicas de festa. Maior artista da canção popular actual.</t>
  </si>
  <si>
    <t>Ágata</t>
  </si>
  <si>
    <t>A rainha do pimba feminino. Energia de palco, trajes coloridos e músicas de festa irresistíveis.</t>
  </si>
  <si>
    <t>Emanuel</t>
  </si>
  <si>
    <t>Voz pop romântica de grande sucesso. Baladas e canções de arraial com milhões de fãs.</t>
  </si>
  <si>
    <t>Roberto Leal</t>
  </si>
  <si>
    <t>Cantor pop de origens açorianas. "Agora é que são elas" — clássico da festa portuguesa. Décadas de popularidade.</t>
  </si>
  <si>
    <t>Dino Meira</t>
  </si>
  <si>
    <t>Voz popular do Minho e do Norte. Canções de arraial e baladas românticas de estilo regional.</t>
  </si>
  <si>
    <t>José Malhoa</t>
  </si>
  <si>
    <t>Cantor popular de cantigas de arraial e dance music portuguesa. Grande popularidade nas festas de verão.</t>
  </si>
  <si>
    <t>Toy</t>
  </si>
  <si>
    <t>Pop dance português de grande sucesso nas festas. Canções optimistas com batidas festivas.</t>
  </si>
  <si>
    <t>Augusto Canário</t>
  </si>
  <si>
    <t>A voz dos pombos. "Pombos Correios" — canção que atravessou gerações. Humor e melodia simples e directa.</t>
  </si>
  <si>
    <t>💡  Clica em ▶ Ouvir para pesquisar no YouTube · Portugal Vivo · Base de Dados de Turismo Cultural</t>
  </si>
  <si>
    <t>🎨 PROMPT A (plano geral / território):
💡  Clica em ▶ Ouvir para pesquisar no YouTube · Portugal Vivo · Base de Dados de Turismo Cultural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Clica em ▶ Ouvir para pesquisar no YouTube · Portugal Vivo · Base de Dados de Turismo Cultural — granito cinzento-rosado, superfície autêntica portuguesa, luz rasante, luz quente da tarde, desaturado cinematográfico, realista natural, texturas autênticas, território como protagonista, 9:16 vertical</t>
  </si>
  <si>
    <t>🟫  MÚSICA TRADICIONAL DA MADEIRA  —  Bailinho, Folclore e Viola de Arame</t>
  </si>
  <si>
    <t>Grupo de Folclore de Câmara de Lobos</t>
  </si>
  <si>
    <t>Grupo de Folclore de Câmara de Lobos — intérprete de Cante Alentejano. Polifonia a duas vozes do sul de Portugal. UNESCO.</t>
  </si>
  <si>
    <t>Grupo de Folclore da Camacha</t>
  </si>
  <si>
    <t>Grupo de Folclore da Camacha — intérprete de Cante Alentejano. Polifonia a duas vozes do sul de Portugal. UNESCO.</t>
  </si>
  <si>
    <t>Paulo Fontes — Viola de Arame</t>
  </si>
  <si>
    <t>Paulo Fontes — Viola de Arame — intérprete de Cante Alentejano. Polifonia a duas vozes do sul de Portugal. UNESCO.</t>
  </si>
  <si>
    <t>Bailinho da Madeira</t>
  </si>
  <si>
    <t>A dança mais emblemática da Madeira. Música animada com braguinha e rajão. Identidade cultural madeirense por excelência.</t>
  </si>
  <si>
    <t>Rancho Folclórico do Funchal</t>
  </si>
  <si>
    <t>Rancho Folclórico do Funchal — intérprete de Cante Alentejano. Polifonia a duas vozes do sul de Portugal. UNESCO.</t>
  </si>
  <si>
    <t>🟪  MÚSICA TRADICIONAL DOS AÇORES  —  Viola da Terra, Chamarrita e Cantos do Espírito Santo</t>
  </si>
  <si>
    <t>Grupo Folclórico de Ponta Delgada</t>
  </si>
  <si>
    <t>Grupo Folclórico de Ponta Delgada — intérprete de Cante Alentejano. Polifonia a duas vozes do sul de Portugal. UNESCO.</t>
  </si>
  <si>
    <t>Viola da Terra Açoreana</t>
  </si>
  <si>
    <t>Viola da Terra Açoreana — intérprete de Cante Alentejano. Polifonia a duas vozes do sul de Portugal. UNESCO.</t>
  </si>
  <si>
    <t>Chamarrita — Dança Tradicional</t>
  </si>
  <si>
    <t>Chamarrita — Dança Tradicional — intérprete de Cante Alentejano. Polifonia a duas vozes do sul de Portugal. UNESCO.</t>
  </si>
  <si>
    <t>Hinos do Espírito Santo</t>
  </si>
  <si>
    <t>Hinos do Espírito Santo — intérprete de Cante Alentejano. Polifonia a duas vozes do sul de Portugal. UNESCO.</t>
  </si>
  <si>
    <t>Ranchos Folclóricos da Terceira</t>
  </si>
  <si>
    <t>Ranchos Folclóricos da Terceira — intérprete de Cante Alentejano. Polifonia a duas vozes do sul de Portugal. UNESCO.</t>
  </si>
  <si>
    <t>🇵🇹  BEM-VINDO A PORTUGAL  —  GUIA DO VIAJANTE 2026</t>
  </si>
  <si>
    <t>Checklist completa para uma viagem sem percalços · Atualizado para 2026</t>
  </si>
  <si>
    <t>📋  ANTES DE EMBARCAR: DOCUMENTAÇÃO E ESSENCIAIS</t>
  </si>
  <si>
    <t>Passaporte Válido</t>
  </si>
  <si>
    <t>Validade mínima de 3 meses após a saída do Espaço Schengen. Cidadãos da UE podem usar o Cartão de Cidadão / Bilhete de Identidade.</t>
  </si>
  <si>
    <t>Autorização ETIAS</t>
  </si>
  <si>
    <t>ATENÇÃO 2026: O ETIAS (European Travel Information and Authorisation System) pode estar ativo no final de 2026. Obrigatório para cidadãos isentos de visto (brasileiros, americanos, canadianos, australianos, etc.). Custo: ~7€ · Validade: 3 anos. Verifica em etias.eu antes de viajar.</t>
  </si>
  <si>
    <t>Seguro de Viagem</t>
  </si>
  <si>
    <t>OBRIGATÓRIO para entrada no Espaço Schengen. Cobertura mínima: 30.000€ — inclui assistência médica, hospitalização e repatriamento. Guarda o documento impresso e digital.</t>
  </si>
  <si>
    <t>Comprovativos Financeiros</t>
  </si>
  <si>
    <t>Regra oficial: 75€ por entrada + 40€ por dia de permanência. Aceite: extrato bancário, cartão de crédito com limite disponível, traveller's cheques.</t>
  </si>
  <si>
    <t>Alojamento e Regresso</t>
  </si>
  <si>
    <t>Tem em mãos: reserva de hotel confirmada (ou carta-convite de residente português), bilhete de regresso ou onward ticket.</t>
  </si>
  <si>
    <t>Vacinas e Saúde</t>
  </si>
  <si>
    <t>Portugal não exige vacinas para entrada. Recomendado: vacina da gripe (Outono/Inverno), Tétano atualizado. Europeus: Cartão Europeu de Seguro de Doença (CESD) cobre despesas no SNS.</t>
  </si>
  <si>
    <t>Adaptador Elétrico</t>
  </si>
  <si>
    <t>Portugal usa tomadas do Tipo F (Schuko) e tensão 230V/50Hz. Americanos e brasileiros (127V) precisam de transformador para equipamentos sensíveis.</t>
  </si>
  <si>
    <t>💡  DICAS E SUGESTÕES PRÁTICAS</t>
  </si>
  <si>
    <t>Calçado Confortável</t>
  </si>
  <si>
    <t>Lisboa e Porto têm calçadas de pedra (paralelepípedos) e subidas íngremes. Usa ténis ou sapatos de sola antiderrapante. Os saltos altos são um risco real nas calçadas molhadas!</t>
  </si>
  <si>
    <t>Comboios (CP)</t>
  </si>
  <si>
    <t>Alfa Pendular Lisboa-Porto: ~2h15. Compra com antecedência no site cp.pt para descontos até 50%. Os bilhetes de 1ª classe no Alfa custam apenas ~10€ a mais e valem a pena.</t>
  </si>
  <si>
    <t>Transportes Urbanos</t>
  </si>
  <si>
    <t>Lisboa: Passe Navegante (navegante.pt) — cobre Metro, Carris, Comboios e Fertagus. Porto: Cartão Andante — Metro, STCP e comboios suburbanos. Ambos usam tecnologia contactless.</t>
  </si>
  <si>
    <t>Gorjetas</t>
  </si>
  <si>
    <t>Não são obrigatórias nem culturalmente esperadas (ao contrário dos EUA). Se o serviço foi excelente: 5% a 10% ou arredondar a conta é o costume. Em tascas e cafés, 50 cêntimos a 1€ é simpático.</t>
  </si>
  <si>
    <t>O "Couvert" NÃO é grátis</t>
  </si>
  <si>
    <t>Os pãezinhos, azeitonas, queijo e patê colocados automaticamente na mesa SERÃO COBRADOS se os consumires (geralmente 1€–4€ por pessoa). Se não quiseres, pede educadamente para retirarem — tens esse direito.</t>
  </si>
  <si>
    <t>Horários de Refeições</t>
  </si>
  <si>
    <t>Almoço: 12h30–14h30 · Jantar: 19h30–22h30. Muitos restaurantes fecham entre refeições. Ao domingo, muitas tascas estão encerradas ao jantar.</t>
  </si>
  <si>
    <t>Propinas / Comissões</t>
  </si>
  <si>
    <t>Desconfias de restaurantes junto a monumentos com menus em 5 línguas. Os melhores locais são frequentados por portugueses ao almoço — esse é o sinal de qualidade.</t>
  </si>
  <si>
    <t>Pagar / Cartão</t>
  </si>
  <si>
    <t>O MB Way e o contactless (cartão bancário) são universalmente aceites. Levas algum dinheiro vivo para mercados de aldeia, tascas muito tradicionais e jardins com WC pago.</t>
  </si>
  <si>
    <t>Farmácias</t>
  </si>
  <si>
    <t>Facilmente identificadas pela Cruz Verde. Muitas têm inglês. Para situações não urgentes, a farmácia é muitas vezes mais rápida e barata que a urgência hospitalar.</t>
  </si>
  <si>
    <t>SIM Card</t>
  </si>
  <si>
    <t>NOS, MEO e Vodafone têm lojas nos aeroportos. Para viagens curtas: cartões turísticos com dados ilimitados (~15€/semana). Cidadãos da UE usam dados do seu plano europeu sem custos adicionais.</t>
  </si>
  <si>
    <t>⚖️  DIREITOS, DEVERES E NORMAS</t>
  </si>
  <si>
    <t xml:space="preserve">  Os Teus Direitos</t>
  </si>
  <si>
    <t>Direito à Informação</t>
  </si>
  <si>
    <t>Todos os estabelecimentos são obrigados a ter preços visíveis e menus legíveis. Se não estiver exposto, podes recusar pagar um preço não anunciado.</t>
  </si>
  <si>
    <t>Livro de Reclamações</t>
  </si>
  <si>
    <t>Obrigatório em todos os estabelecimentos comerciais (físico e digital em livroreclamacoes.pt). Se te sentires lesado, pede o livro — isso raramente acontece, mas é um direito legal.</t>
  </si>
  <si>
    <t>Saúde / Emergências</t>
  </si>
  <si>
    <t>Emergências: 112 (gratuito). SNS 24: 808 24 24 24. Turistas têm direito a atendimento de urgência. Com CESD (europeus) ou seguro Schengen, os custos são cobertos ou reembolsáveis.</t>
  </si>
  <si>
    <t>Linha do Turista</t>
  </si>
  <si>
    <t>SOS Turista / Tourism Support: +351 213 463 314. ASAE (Autoridade de Segurança Alimentar): 800 208 208 (gratuito). PSP Turismo Lisboa: +351 213 421 634.</t>
  </si>
  <si>
    <t xml:space="preserve">  Os Teus Deveres e Normas Sociais</t>
  </si>
  <si>
    <t>Horário de Silêncio</t>
  </si>
  <si>
    <t>Em zonas residenciais e alojamentos: 23h00–07h00. Desrespeitar pode resultar em queixa às autoridades. Os vizinhos portugueses costumam ser tolerantes, mas têm o direito de reclamar.</t>
  </si>
  <si>
    <t>Tabaco</t>
  </si>
  <si>
    <t>Proibido fumar em todos os espaços fechados: restaurantes, bares, transportes, espaços de trabalho. Nas esplanadas em zonas sem cobertura é geralmente permitido. Cigarros eletrónicos seguem as mesmas regras.</t>
  </si>
  <si>
    <t>Consumo de Álcool</t>
  </si>
  <si>
    <t>Proibido em espaços públicos sem autorização específica (exceto esplanadas licenciadas). Durante festivais, a câmara municipal pode emitir licenças especiais. Idade legal: 18 anos.</t>
  </si>
  <si>
    <t>Separação de Resíduos</t>
  </si>
  <si>
    <t>Ecopontos obrigatórios: 🔵 Azul = Papel/Cartão · 🟡 Amarelo = Plástico e Metal · 🟢 Verde = Vidro. Muitos alojamentos turísticos têm ecopontos próprios. Multa por deposição incorreta.</t>
  </si>
  <si>
    <t>Cortesia e Saudações</t>
  </si>
  <si>
    <t>"Bom dia" (até ~12h) / "Boa tarde" (12h–19h) / "Boa noite" (19h+). "Por favor" e "Obrigado/a" abrem portas. Os portugueses são reservados no início mas muito acolhedores quando à-vontade.</t>
  </si>
  <si>
    <t>Fotografia</t>
  </si>
  <si>
    <t>Não fotografes pessoas sem permissão. Em igrejas e museus, verifica se é permitido. Monumentos militares e instalações portuárias podem ter restrições. Aeroportos: proibido fotografar áreas de segurança.</t>
  </si>
  <si>
    <t>Praias</t>
  </si>
  <si>
    <t>Portugal tem um sistema de bandeiras: 🟢 Verde = segura · 🟡 Amarela = cautela · 🔴 Vermelha = proibido banho · 🟣 Roxa = presença de medusas. Respeita sempre as indicações dos nadadores-salvadores.</t>
  </si>
  <si>
    <t>🚗  NORMAS DE TRÂNSITO (SE FORES CONDUZIR)</t>
  </si>
  <si>
    <t>Portagens Eletrónicas</t>
  </si>
  <si>
    <t>A22 (Algarve) e A28 (Norte) são exclusivamente eletrónicas — não tens cabine de pagamento manual. Aluga sempre carro com dispositivo Via Verde incluso ou contrata serviço EASYtoll no aeroporto.</t>
  </si>
  <si>
    <t>Limite de Álcool</t>
  </si>
  <si>
    <t>0,5 g/l de álcool no sangue (tolerância zero na prática). Para condutores novatos (&lt;3 anos de carta): 0,2 g/l. As multas começam nos 500€ e a carta pode ser imediatamente apreendida.</t>
  </si>
  <si>
    <t>Velocidades Máximas</t>
  </si>
  <si>
    <t>Autoestrada: 120 km/h · Via Rápida: 100 km/h · Fora de localidades: 90 km/h · Dentro de localidades: 50 km/h. Radares fixos e móveis são comuns. Excesso &gt;50 km/h = perda imediata da carta.</t>
  </si>
  <si>
    <t>Estacionamento</t>
  </si>
  <si>
    <t>Lisboa e Porto: quase sempre pago (parquímetros azuis). Zonas com faixas azuis na estrada = parquímetro obrigatório. App EasyPark funciona em todo o país e é a forma mais cómoda de pagar.</t>
  </si>
  <si>
    <t>Telemóvel ao Volante</t>
  </si>
  <si>
    <t>Proibido por lei, mesmo parado em semáforo. Multa: 120€ a 600€ + desconto de pontos na carta. Usa suporte de telemóvel e sistema mãos-livres.</t>
  </si>
  <si>
    <t>Equipamento Obrigatório</t>
  </si>
  <si>
    <t>Colete refletor (deve estar dentro do habitáculo, não na bagageira), triângulo de sinalização e extintor (recomendado). Crianças &lt;12 anos ou &lt;135 cm: cadeirinha obrigatória.</t>
  </si>
  <si>
    <t>Combustível</t>
  </si>
  <si>
    <t>Portugal usa "gasolina 95" (verde) e "gasóleo" (diesel). GPL e elétrico disponível nas principais cidades. App Gasolinasnet.pt mostra os preços mais baratos em tempo real por zona.</t>
  </si>
  <si>
    <t>💶  CÂMBIO E DINHEIRO</t>
  </si>
  <si>
    <t>Moeda</t>
  </si>
  <si>
    <t>Euro (€). Notas: 5, 10, 20, 50, 100, 200€. Moedas: 1 e 2 cêntimos praticamente não usadas (arredondamento ao 5 cêntimos nas compras a dinheiro).</t>
  </si>
  <si>
    <t>Multibanco (ATM)</t>
  </si>
  <si>
    <t>Rede Multibanco é uma das mais desenvolvidas do mundo. Comissão para cartões estrangeiros: depende do teu banco. Evita ATMs em zonas turísticas com comissão adicional visível.</t>
  </si>
  <si>
    <t>Câmbio</t>
  </si>
  <si>
    <t>Aeroportos têm câmbio mas as taxas são desfavoráveis. O melhor câmbio é na rede bancária ou utilizando Revolut/Wise para gastos no país. Evita casas de câmbio turísticas.</t>
  </si>
  <si>
    <t>📡  COMUNICAÇÕES E CONECTIVIDADE</t>
  </si>
  <si>
    <t>WiFi</t>
  </si>
  <si>
    <t>Portugal tem das melhores infraestruturas de internet da Europa. WiFi gratuito em museus, bibliotecas, câmaras municipais e muitos espaços públicos. Rede "PT-WiFi" e "NOS WiFi" em Lisboa e Porto.</t>
  </si>
  <si>
    <t>Chamadas de Emergência</t>
  </si>
  <si>
    <t>112 — Emergência geral (gratuito, sem SIM) · 117 — Polícia (PSP) · 808 24 24 24 — SNS 24 (Saúde) · 117 — SOS Floresta (incêndios)</t>
  </si>
  <si>
    <t>Prefixo Internacional</t>
  </si>
  <si>
    <t>Portugal: +351. Para ligar de Portugal para o exterior: 00 + código do país + número.</t>
  </si>
  <si>
    <t>☀️  CLIMA E MELHOR ÉPOCA PARA VISITAR</t>
  </si>
  <si>
    <t>Primavera (Mar–Mai)</t>
  </si>
  <si>
    <t>🌸 MELHOR ÉPOCA. Temperaturas amenas (15°C–22°C), paisagens verdes, menos turistas, preços mais baixos. Ideal para touring, caminhadas e festival season.</t>
  </si>
  <si>
    <t>Verão (Jun–Set)</t>
  </si>
  <si>
    <t>🌞 Alta época. Algarve e Lisboa: 28°C–35°C. Lotação máxima nas praias. Reserva com muita antecedência. Interior do Alentejo pode atingir 45°C.</t>
  </si>
  <si>
    <t>Outono (Out–Nov)</t>
  </si>
  <si>
    <t>🍂 Excelente. Temperatura ideal (18°C–25°C), vindimas, trufa, castanha. Menos turistas, melhores preços. Época ideal para o Douro e Alentejo.</t>
  </si>
  <si>
    <t>Inverno (Dez–Fev)</t>
  </si>
  <si>
    <t>❄️ Ameno no Sul (Algarve: 16°C–18°C). Lisboa raramente abaixo de 8°C. Norte e Serra da Estrela pode nevar. Época mais barata para visitar Lisboa e Porto.</t>
  </si>
  <si>
    <t>Açores</t>
  </si>
  <si>
    <t>Clima atlântico temperado durante todo o ano (16°C–25°C). Pode chover a qualquer momento — mas raramente mais de 30 minutos seguidos. Verão mais seco (Jun–Set).</t>
  </si>
  <si>
    <t>Madeira</t>
  </si>
  <si>
    <t>"Ilha da Eterna Primavera" — 17°C–24°C durante todo o ano. Precipitação no norte da ilha (mais verde). Sul mais seco e ensolarado.</t>
  </si>
  <si>
    <t>💡  DICA 2026 — Slow Travel: Não tentes ver Portugal todo em 3 dias. Uma tarde numa esplanada alentejana a ouvir o silêncio vale mais do que 10 monumentos vistos a correr. Portugal recompensa quem fica.</t>
  </si>
  <si>
    <t xml:space="preserve">  Links Úteis Oficiais</t>
  </si>
  <si>
    <t>Turismo de Portugal</t>
  </si>
  <si>
    <t>SEF / AIMA (Imigracao)</t>
  </si>
  <si>
    <t>ETIAS (Autorizacao)</t>
  </si>
  <si>
    <t>CP Comboios de Portugal</t>
  </si>
  <si>
    <t>ANA Aeroportos</t>
  </si>
  <si>
    <t>SNS 24 (Saude)</t>
  </si>
  <si>
    <t>Livro de Reclamacoes</t>
  </si>
  <si>
    <t>🚌  GUIA DE TRANSPORTES DE PORTUGAL  —  2026</t>
  </si>
  <si>
    <t>Operadores nacionais, metropolitanos, regionais e aéreos · Atualizado 2026</t>
  </si>
  <si>
    <t>1.  OPERADORES NACIONAIS E LONGO CURSO</t>
  </si>
  <si>
    <t>Empresa</t>
  </si>
  <si>
    <t>Website</t>
  </si>
  <si>
    <t>Tipo de Transporte</t>
  </si>
  <si>
    <t>Zona Geográfica Detalhada</t>
  </si>
  <si>
    <t>Como Comprar</t>
  </si>
  <si>
    <t>Dica / Nota Extra</t>
  </si>
  <si>
    <t>CP (Comboios de Portugal)</t>
  </si>
  <si>
    <t>Comboio (Alfa Pendular, IC, Regional)</t>
  </si>
  <si>
    <t>Nacional: Lisboa↔Porto (2h15 AP), Lisboa↔Algarve, Linha do Douro, Beira Alta/Baixa, Alentejo, Oeste</t>
  </si>
  <si>
    <t>App CP, site cp.pt, bilheteiras, máquinas nas estações</t>
  </si>
  <si>
    <t>Alfa Pendular Lisboa–Porto: compra com 30 dias de antecedência = -50%. 1ª classe custa apenas ~10€ a mais.</t>
  </si>
  <si>
    <t>Rede Expressos</t>
  </si>
  <si>
    <t>Autocarro (Expresso)</t>
  </si>
  <si>
    <t>Nacional: Quase todas as cidades e vilas de Portugal Continental. 100+ destinos.</t>
  </si>
  <si>
    <t>Site rede-expressos.pt, App myRNE, terminais e quiosques</t>
  </si>
  <si>
    <t>Ligações mais baratas que o comboio para destinos secundários. Bilhetes desde 5€ com antecedência.</t>
  </si>
  <si>
    <t>FlixBus</t>
  </si>
  <si>
    <t>Nacional/Internacional: Eixos litorais Lisboa–Porto–Faro, ligações a Espanha, França, Alemanha</t>
  </si>
  <si>
    <t>Site e App FlixBus (digital) ou agências de viagem parceiras</t>
  </si>
  <si>
    <t>Melhor para ligações internacionais. Preços muito competitivos. Bagagem grande tem custo extra.</t>
  </si>
  <si>
    <t>Renfe Avant (ES↔PT)</t>
  </si>
  <si>
    <t>Comboio Internacional</t>
  </si>
  <si>
    <t>Madrid↔Lisboa (Trenhotel nocturno), Vigo↔Porto (Celta), Irún↔Lisboa</t>
  </si>
  <si>
    <t>Site renfe.com ou cp.pt (bilhetes conjuntos)</t>
  </si>
  <si>
    <t>O Trenhotel Madrid-Lisboa opera de madrugada. Reserva couchette para viagem confortável.</t>
  </si>
  <si>
    <t>ALSA International</t>
  </si>
  <si>
    <t>Autocarro Internacional</t>
  </si>
  <si>
    <t>Portugal Continental ↔ Espanha, França, Suíça, Alemanha e outros países europeus</t>
  </si>
  <si>
    <t>Site alsa.com, terminais Rede Expressos em Portugal</t>
  </si>
  <si>
    <t>Frequente entre Porto/Lisboa e Galiza (Espanha). Econômico para estudantes e jovens.</t>
  </si>
  <si>
    <t>2.  ÁREA METROPOLITANA DE LISBOA (AML)</t>
  </si>
  <si>
    <t>Carris Metropolitana</t>
  </si>
  <si>
    <t>Autocarro (Urbano / Interurbano)</t>
  </si>
  <si>
    <t>AML 18 municípios: Amadora, Cascais, Loures, Mafra, Sintra, Almada, Barreiro, Montijo, Palmela, Seixal, Sesimbra, Setúbal + outros</t>
  </si>
  <si>
    <t>Passe Navegante (mensal), Zapping (carregável), bilhete bordo</t>
  </si>
  <si>
    <t>Navegante Metropolitano (~40€/mês) cobre toda a AML sem limite de viagens. Vale a pena para estadia &gt;4 dias.</t>
  </si>
  <si>
    <t>Carris (Lisboa Concelho)</t>
  </si>
  <si>
    <t>Autocarro, Elétrico (histórico), Elevadores</t>
  </si>
  <si>
    <t>Lisboa Concelho: Centro histórico, bairros históricos, Algés, Sacavém. Elétrico 28 (Martim Moniz → Prazeres) é icónico.</t>
  </si>
  <si>
    <t>Navegante, cartão contactless bancário (Visa/MC), bilhete bordo (mais caro)</t>
  </si>
  <si>
    <t>Elétrico 28 tem fila enorme de turistas. Alternativa: autocarro 737 faz trajeto similar sem espera.</t>
  </si>
  <si>
    <t>Metro de Lisboa</t>
  </si>
  <si>
    <t>Metro (Subterrâneo)</t>
  </si>
  <si>
    <t>Lisboa + Odivelas (Linha Amarela) + Amadora/Reboleira (Linha Azul). 55 estações, 4 linhas: Azul, Amarela, Verde, Vermelha.</t>
  </si>
  <si>
    <t>Máquinas nas estações, Navegante, cartão contactless (bancário)</t>
  </si>
  <si>
    <t>Funciona 06h30–01h00 (Sex/Sáb até 02h00). Cuidado com carteiristas nas estações do centro.</t>
  </si>
  <si>
    <t>Fertagus</t>
  </si>
  <si>
    <t>Comboio (Suburbano)</t>
  </si>
  <si>
    <t>Eixo Sul: Lisboa Roma-Areeiro / Entrecampos → Ponte 25 de Abril → Setúbal, Coina, Fogueteiro</t>
  </si>
  <si>
    <t>Bilheteiras, máquinas Fertagus, Navegante Metropolitano</t>
  </si>
  <si>
    <t>A forma mais rápida de atravessar o Tejo para o Barreiro/Setúbal. Frequência de 20 em 20 min.</t>
  </si>
  <si>
    <t>Transtejo / Soflusa</t>
  </si>
  <si>
    <t>Barco (Ferry / Catamarã)</t>
  </si>
  <si>
    <t>Rio Tejo: Cais do Sodré → Cacilhas (15 min), Belém → Trafaria/Porto Brandão, Terreiro do Paço → Seixal/Barreiro/Montijo</t>
  </si>
  <si>
    <t>Bilheteiras nos terminais fluviais, MB Way, Navegante</t>
  </si>
  <si>
    <t>O ferry Cais do Sodré–Cacilhas (€1.45) é um dos melhores "passeios" de Lisboa. Vista incrível do rio ao pôr do sol.</t>
  </si>
  <si>
    <t>MTS (Metro Sul do Tejo)</t>
  </si>
  <si>
    <t>Metro Ligeiro (Superfície)</t>
  </si>
  <si>
    <t>Margem Sul: Corroios, Pragal, Almada, Cacilhas. Liga a gare fluvial de Cacilhas ao interior da Margem Sul.</t>
  </si>
  <si>
    <t>Máquinas nas paragens, Navegante Metropolitano</t>
  </si>
  <si>
    <t>Liga diretamente do ferry (Cacilhas) para Corroios sem necessidade de autocarro.</t>
  </si>
  <si>
    <t>3.  ÁREA METROPOLITANA DO PORTO (AMP)</t>
  </si>
  <si>
    <t>UNIR (ex-STCP interurbano)</t>
  </si>
  <si>
    <t>AMP 17 municípios: Porto, Gaia, Matosinhos, Maia, Gondomar, Santo Tirso, Espinho, Paredes, Penafiel, Valongo, etc.</t>
  </si>
  <si>
    <t>Cartão Andante, bilhete a bordo</t>
  </si>
  <si>
    <t>Cartão Andante recarregável é indispensável para uso frequente. Disponível nas estações de Metro.</t>
  </si>
  <si>
    <t>Metro do Porto</t>
  </si>
  <si>
    <t>Metro Ligeiro (Superfície e Subterrâneo)</t>
  </si>
  <si>
    <t>Grande Porto: Porto, Gaia, Matosinhos, Maia, Vila do Conde, Póvoa de Varzim, Gondomar. 6 linhas, 82 estações.</t>
  </si>
  <si>
    <t>Máquinas nas estações, App (Linhas A–F), contactless (Linhas E)</t>
  </si>
  <si>
    <t>Linha E (Aeroporto) → Centro: 30 min, ~2€. A linha mais útil para turistas. Bilhete intermodal inclui transbordo.</t>
  </si>
  <si>
    <t>STCP</t>
  </si>
  <si>
    <t>Autocarro e Elétrico histórico</t>
  </si>
  <si>
    <t>Eixo central: Porto, Gaia, Maia, Matosinhos, Gondomar, Valongo. Frota de autocarros + 1 linha de elétrico (18)</t>
  </si>
  <si>
    <t>Andante, contactless ou bilhete a bordo</t>
  </si>
  <si>
    <t>O elétrico histórico da linha 18 (Jardim do Trindade–Boavista) é uma atração em si mesmo. Toma o 200 para o aeroporto.</t>
  </si>
  <si>
    <t>CP Suburbano Porto</t>
  </si>
  <si>
    <t>Linhas: Porto-Braga, Porto-Guimarães, Porto-Aveiro, Porto-Marco de Canaveses, Porto-Caíde</t>
  </si>
  <si>
    <t>Bilheteiras CP, máquinas, App CP, Andante (zona 2+)</t>
  </si>
  <si>
    <t>Braga em comboio desde Porto = 50 min por ~2.50€. Muito mais rápido e barato que autocarro.</t>
  </si>
  <si>
    <t>4.  OPERADORES REGIONAIS DE REFERÊNCIA</t>
  </si>
  <si>
    <t>Região</t>
  </si>
  <si>
    <t>Tipo</t>
  </si>
  <si>
    <t>Zona Geográfica</t>
  </si>
  <si>
    <t>Dica</t>
  </si>
  <si>
    <t>Norte — Minho</t>
  </si>
  <si>
    <t>TUB</t>
  </si>
  <si>
    <t>Autocarro</t>
  </si>
  <si>
    <t>Concelho de Braga: centro urbano, Gualtar, Celeirós, Bom Jesus, Tadim, Braga rural</t>
  </si>
  <si>
    <t>App TUB, bilheteiras ou a bordo</t>
  </si>
  <si>
    <t>Passe mensal TUB ~35€. Linha 2 vai ao Bom Jesus.</t>
  </si>
  <si>
    <t>Guimabus</t>
  </si>
  <si>
    <t>Todo o concelho de Guimarães: centro histórico, áreas periféricas e suburbanas</t>
  </si>
  <si>
    <t>Lojas Guimabus e a bordo</t>
  </si>
  <si>
    <t>Circulação no centro histórico de Guimarães com cobertura total.</t>
  </si>
  <si>
    <t>Norte — Douro</t>
  </si>
  <si>
    <t>CP Regional</t>
  </si>
  <si>
    <t>Comboio Regional</t>
  </si>
  <si>
    <t>Linha do Douro: Porto–Régua–Pocinho (5h). Paisagem UNESCO. Opção turística.</t>
  </si>
  <si>
    <t>Bilheteiras CP, App CP</t>
  </si>
  <si>
    <t>O percurso Porto–Tua (3h) é dos mais belos da Europa. Combina com barco no Douro.</t>
  </si>
  <si>
    <t>Norte — T-o-Montes</t>
  </si>
  <si>
    <t>RODONORTE</t>
  </si>
  <si>
    <t>Norte Interior: Chaves, Bragança, Mirandela, Vila Real e concelhos de Trás-os-Montes</t>
  </si>
  <si>
    <t>Bilheteiras locais, terminais</t>
  </si>
  <si>
    <t>Principal ligação para os concelhos mais remotos do nordeste.</t>
  </si>
  <si>
    <t>Centro — Coimbra</t>
  </si>
  <si>
    <t>SMTUC</t>
  </si>
  <si>
    <t>Autocarro e Tróleibus</t>
  </si>
  <si>
    <t>Concelho de Coimbra: rede urbana completa incluindo tróleibus histórico (desde 1947)</t>
  </si>
  <si>
    <t>Lojas SMTUC ou quiosques</t>
  </si>
  <si>
    <t>Os tróleibus de Coimbra são património histórico. Linha 27 sobe à Universidade.</t>
  </si>
  <si>
    <t>Centro — Aveiro</t>
  </si>
  <si>
    <t>AveiroBus / Transdev</t>
  </si>
  <si>
    <t>Autocarro e Ferry</t>
  </si>
  <si>
    <t>Concelho de Aveiro + travessia fluvial para São Jacinto (lancha Cacia–São Jacinto)</t>
  </si>
  <si>
    <t>Pontos Transdev ou a bordo</t>
  </si>
  <si>
    <t>Barco para S. Jacinto = passeio imperdível pela Ria de Aveiro (40 min, ~3€).</t>
  </si>
  <si>
    <t>Centro — Leiria</t>
  </si>
  <si>
    <t>Mobilis</t>
  </si>
  <si>
    <t>Rede urbana da cidade de Leiria e ligações aos concelhos limítrofes</t>
  </si>
  <si>
    <t>Posto de Mobilidade e a bordo</t>
  </si>
  <si>
    <t>Cobre o acesso ao Castelo de Leiria e às praias de Vieira e S. Pedro de Moel.</t>
  </si>
  <si>
    <t>Centro — Oeste/Tejo</t>
  </si>
  <si>
    <t>Rodoviária do Tejo</t>
  </si>
  <si>
    <t>Santarém, Abrantes, Torres Novas, Entroncamento, Caldas da Rainha, Peniche, Rio Maior</t>
  </si>
  <si>
    <t>Bilheteiras locais e a bordo</t>
  </si>
  <si>
    <t>Ligação essencial para Peniche, Óbidos e Tomar a partir de Lisboa sem carro.</t>
  </si>
  <si>
    <t>Alentejo — Évora</t>
  </si>
  <si>
    <t>Trevo</t>
  </si>
  <si>
    <t>Rede urbana do concelho de Évora + concelhos limítrofes (Montemor, Arraiolos)</t>
  </si>
  <si>
    <t>Quiosques locais e a bordo</t>
  </si>
  <si>
    <t>Limitado. Para explorar o Alentejo profundo, o carro alugado é quase obrigatório.</t>
  </si>
  <si>
    <t>Alentejo — Portalegre</t>
  </si>
  <si>
    <t>Transporiente</t>
  </si>
  <si>
    <t>Alto Alentejo: Portalegre, Elvas, Campo Maior, Castelo de Vide, Marvão</t>
  </si>
  <si>
    <t>Bilheteiras locais</t>
  </si>
  <si>
    <t>Única ligação pública a Marvão e Castelo de Vide. Frequência reduzida.</t>
  </si>
  <si>
    <t>Algarve — Regional</t>
  </si>
  <si>
    <t>VAMUS</t>
  </si>
  <si>
    <t>Regional: 16 concelhos do Algarve incluindo Aeroporto de Faro, praias, serras</t>
  </si>
  <si>
    <t>App Vamus, terminais em Faro e Lagos</t>
  </si>
  <si>
    <t>Pass Vamus (7 dias ~20€) cobre todos os autocarros do Algarve. Excelente custo-benefício.</t>
  </si>
  <si>
    <t>Algarve — Silves/Lagos</t>
  </si>
  <si>
    <t>Eva Transportes</t>
  </si>
  <si>
    <t>Interior do Algarve: Silves, Monchique, Aljezur, ligações interurbanas</t>
  </si>
  <si>
    <t>Bilheteiras locais Eva</t>
  </si>
  <si>
    <t>Eva complementa a VAMUS nas zonas mais rurais do Algarve interior.</t>
  </si>
  <si>
    <t>Horários do Funchal</t>
  </si>
  <si>
    <t>Funchal e zonas urbanas/suburbanas adjacentes: Monte, Câmara de Lobos, Caniço</t>
  </si>
  <si>
    <t>Lojas HF e quiosques</t>
  </si>
  <si>
    <t>Bilhete diário HF (3.30€) cobre todos os percursos urbanos do Funchal.</t>
  </si>
  <si>
    <t>Madeira — Regional</t>
  </si>
  <si>
    <t>SAM</t>
  </si>
  <si>
    <t>Madeira regional: Funchal→Santana→Porto Moniz→Calheta e restantes concelhos da ilha</t>
  </si>
  <si>
    <t>Bilheteiras SAM ou a bordo</t>
  </si>
  <si>
    <t>A viagem Funchal–Porto Moniz (2h) pelas estradas da cornija madeirense é espetacular.</t>
  </si>
  <si>
    <t>Açores — São Miguel</t>
  </si>
  <si>
    <t>Bus Açores</t>
  </si>
  <si>
    <t>Ilha de São Miguel: Ponta Delgada, Ribeira Grande, Nordeste, Lagoa, Furnas, Sete Cidades</t>
  </si>
  <si>
    <t>Sem carro, o Bus Açores cobre os principais pontos turísticos de S. Miguel. Frequência limitada ao fim-de-semana.</t>
  </si>
  <si>
    <t>Açores — Terceira</t>
  </si>
  <si>
    <t>SATA Ground</t>
  </si>
  <si>
    <t>Terceira: Angra do Heroísmo, Praia da Vitória e concelhos da ilha</t>
  </si>
  <si>
    <t>Para a Terceira e outras ilhas, o aluguer de carro é a melhor opção dada a baixa frequência.</t>
  </si>
  <si>
    <t>5.  TRANSPORTE AÉREO  —  NACIONAL E REGIONAL</t>
  </si>
  <si>
    <t>TAP Air Portugal</t>
  </si>
  <si>
    <t>Avião (Longa e Média Distância)</t>
  </si>
  <si>
    <t>Hub Lisboa (LIS). Ligações internas: LIS–OPO, LIS–FAO, LIS–FNC (Madeira), LIS–PDL (Açores), OPO–PDL, PDL–TER</t>
  </si>
  <si>
    <t>Site flytap.com, App TAP, agências de viagem, aeroportos</t>
  </si>
  <si>
    <t>Miles&amp;Go (programa TAP): acumula milhas em todas as tarifas. Bagagem de mão: 1 saco + 1 maletim (Promo não inclui).</t>
  </si>
  <si>
    <t>SATA / Azores Airlines</t>
  </si>
  <si>
    <t>Avião (Inter-Ilhas e Nacional)</t>
  </si>
  <si>
    <t>Inter-Ilhas Açores: liga as 9 ilhas (São Miguel, Terceira, Faial, Pico, São Jorge, Graciosa, Flores, Corvo, Santa Maria). Lisboa, Porto e Madeira</t>
  </si>
  <si>
    <t>Site azoresairlines.pt, App SATA, balcões aeroportos Açores</t>
  </si>
  <si>
    <t>Açores Pass (7 ou 15 dias): voos ilimitados inter-ilhas com desconto. Ideal para island-hopping.</t>
  </si>
  <si>
    <t>Ryanair</t>
  </si>
  <si>
    <t>Avião (Low-cost)</t>
  </si>
  <si>
    <t>Porto, Lisboa, Faro: ligações europeias e nacionais. FAO–LIS frequência alta (8×/dia)</t>
  </si>
  <si>
    <t>Site ryanair.com, App Ryanair</t>
  </si>
  <si>
    <t>Cuidado com taxas extra de bagagem. Verifica sempre peso da bagagem de mão (máx 40×20×25 cm gratuita).</t>
  </si>
  <si>
    <t>easyJet</t>
  </si>
  <si>
    <t>Lisboa, Porto, Faro: Europa Ocidental, Norte de África (Marrocos), Ilhas Canárias</t>
  </si>
  <si>
    <t>Site easyjet.com, App easyJet, aeroportos</t>
  </si>
  <si>
    <t>FLEXI fare inclui bagagem de cabine gratuita. Voos LIS–London muito frequentes.</t>
  </si>
  <si>
    <t>Sevenair</t>
  </si>
  <si>
    <t>Avião (Regional / Charter)</t>
  </si>
  <si>
    <t>Rede regional: Bragança, Vila Real, Viseu, Cascais, Portimão. Táxi aéreo e charters turísticos</t>
  </si>
  <si>
    <t>Site sevenair.com, balcões nos aeródromos regionais</t>
  </si>
  <si>
    <t>Única ligação aérea a Bragança. Aeronaves pequenas (9-12 pax). Reserva antecipada obrigatória.</t>
  </si>
  <si>
    <t>ANA — Aeroportos de Portugal</t>
  </si>
  <si>
    <t>Gestão Aeroportuária</t>
  </si>
  <si>
    <t>Gere: Lisboa (LIS), Porto (OPO), Faro (FAO), Beja (BYJ), Funchal (FNC), Porto Santo (PXO), Ponta Delgada (PDL), Horta (HOR), Santa Cruz (SMA) e Flores (FLW)</t>
  </si>
  <si>
    <t>Site ana.pt — info de chegadas/partidas, serviços, acessos</t>
  </si>
  <si>
    <t>App ANA: estado de voos em tempo real, mapa do aeroporto, parkings e transportes de/para cada aeroporto.</t>
  </si>
  <si>
    <t>6.  CARTÕES DE TRANSPORTE — RESUMO RÁPIDO</t>
  </si>
  <si>
    <t>Cartão</t>
  </si>
  <si>
    <t>Cidade/Zona</t>
  </si>
  <si>
    <t>Preço Base</t>
  </si>
  <si>
    <t>Onde Carregar</t>
  </si>
  <si>
    <t>Validade Saldo</t>
  </si>
  <si>
    <t>Navegante Metropolitano</t>
  </si>
  <si>
    <t>Lisboa + AML (18 munic.)</t>
  </si>
  <si>
    <t>~40€/mês ilimitado</t>
  </si>
  <si>
    <t>Máquinas Carris/Metro, Tabacarias, Correios</t>
  </si>
  <si>
    <t>2 anos sem uso</t>
  </si>
  <si>
    <t>Inclui Metro, Carris, CP Suburbano, Fertagus, TTSL e autocarros AML. Melhor para estadia &gt;4 dias.</t>
  </si>
  <si>
    <t>Passe Navegante Lisboa</t>
  </si>
  <si>
    <t>Só Lisboa Concelho</t>
  </si>
  <si>
    <t>~30€/mês ilimitado</t>
  </si>
  <si>
    <t>Máquinas Metro, lojas Carris</t>
  </si>
  <si>
    <t>Cobre Metro, Carris e CP dentro de Lisboa. Mais barato que Metropolitano se não saires muito da cidade.</t>
  </si>
  <si>
    <t>Navegante Zapping</t>
  </si>
  <si>
    <t>Lisboa + AML</t>
  </si>
  <si>
    <t>Mín. 3€ de carregamento</t>
  </si>
  <si>
    <t>Máquinas, Tabacarias, Multibanco</t>
  </si>
  <si>
    <t>Pay-as-you-go. Desconto de ~20% vs bilhete a bordo. Ideal para visitas curtas.</t>
  </si>
  <si>
    <t>Cartão Andante</t>
  </si>
  <si>
    <t>Porto + AMP</t>
  </si>
  <si>
    <t>1.60€ (cartão) + cargas</t>
  </si>
  <si>
    <t>Estações Metro, lojas UNIR/STCP</t>
  </si>
  <si>
    <t>1 ano sem uso</t>
  </si>
  <si>
    <t>Zonas Z2 a Z6 — zoneamento circular a partir do centro do Porto. Verifica qual zona precisas.</t>
  </si>
  <si>
    <t>Andante Tour (1/3 dias)</t>
  </si>
  <si>
    <t>7€ (1 dia) / 15€ (3 dias)</t>
  </si>
  <si>
    <t>Estações Metro do Porto</t>
  </si>
  <si>
    <t>Duração indicada</t>
  </si>
  <si>
    <t>Turístico: uso ilimitado por 1 ou 3 dias nas zonas Z3. Ótimo para turistas.</t>
  </si>
  <si>
    <t>Vamus Pass (7 dias)</t>
  </si>
  <si>
    <t>Algarve</t>
  </si>
  <si>
    <t>~20€ (7 dias)</t>
  </si>
  <si>
    <t>App Vamus, postos no Algarve</t>
  </si>
  <si>
    <t>7 dias desde ativação</t>
  </si>
  <si>
    <t>Cobre todos os autocarros VAMUS no Algarve incluindo aeroporto FAO. Excelente para road-trip costeira.</t>
  </si>
  <si>
    <t>Açores Pass</t>
  </si>
  <si>
    <t>Açores (inter-ilhas)</t>
  </si>
  <si>
    <t>desde 200€</t>
  </si>
  <si>
    <t>Online, balcões aeroportos</t>
  </si>
  <si>
    <t>7 ou 15 dias</t>
  </si>
  <si>
    <t>Voos inter-ilhas ilimitados. Inclui 1 bagagem de porão. Reservar com mínimo 48h de antecedência.</t>
  </si>
  <si>
    <t>HF Diário</t>
  </si>
  <si>
    <t>Funchal, Madeira</t>
  </si>
  <si>
    <t>3.30€ (1 dia)</t>
  </si>
  <si>
    <t>Lojas HF, quiosques</t>
  </si>
  <si>
    <t>24h desde validação</t>
  </si>
  <si>
    <t>Cobre toda a rede urbana de Funchal durante 24h. Para a ilha toda, usa SAM.</t>
  </si>
  <si>
    <t>💡  DICA GERAL: Para a maioria dos turistas, a combinação Metro de Lisboa + Comboio CP para viagens longas + carro alugado para 2-3 dias no Alentejo ou Algarve é a estratégia mais eficiente e económica.</t>
  </si>
  <si>
    <t>Nome</t>
  </si>
  <si>
    <t>Altura (m)</t>
  </si>
  <si>
    <t>Lazer &amp; Actividades</t>
  </si>
  <si>
    <t>Preço</t>
  </si>
  <si>
    <t>GPS (Maps)</t>
  </si>
  <si>
    <t>Barragem de Carrapatelo</t>
  </si>
  <si>
    <t>Douro</t>
  </si>
  <si>
    <t>Norte</t>
  </si>
  <si>
    <t>Eclusa com maior desnível da Europa (35m); navegabilidade do Douro. Actividades: Cruzeiros fluviais, observação da eclusa.</t>
  </si>
  <si>
    <t>Cruzeiros fluviais, observação da eclusa</t>
  </si>
  <si>
    <t>Gratuito (exterior)</t>
  </si>
  <si>
    <t>Barragem de Bemposta</t>
  </si>
  <si>
    <t>Situada em pleno Douro Internacional em Mogadouro; fronteira natural com Espanha. Actividades: Pesca, birdwatching, Douro Internacional.</t>
  </si>
  <si>
    <t>Pesca, birdwatching, Douro Internacional</t>
  </si>
  <si>
    <t>🎨 Prompt Visual IA</t>
  </si>
  <si>
    <t>Barragem de Miranda</t>
  </si>
  <si>
    <t>Central subterrânea; proximidade à cidade de Miranda do Douro e ao Planalto Mirandês. Actividades: Visita central (autorização EDP), miradouro.</t>
  </si>
  <si>
    <t>Visita central (autorização EDP), miradouro</t>
  </si>
  <si>
    <t>Barragem de Crestuma-Lever</t>
  </si>
  <si>
    <t>Ponto final da navegabilidade do Douro junto ao Porto; porta de entrada dos cruzeiros. Actividades: Cruzeiros Porto, pesca, ciclovias ribeirinhas.</t>
  </si>
  <si>
    <t>Cruzeiros Porto, pesca, ciclovias ribeirinhas</t>
  </si>
  <si>
    <t>Barragem de Valeira</t>
  </si>
  <si>
    <t>Substituiu o lendário Cachão da Valeira; Alto Douro Vinhateiro UNESCO. Actividades: Mirадоuro Cachão, quintas vinhateiras próximas.</t>
  </si>
  <si>
    <t>Mirадоuro Cachão, quintas vinhateiras próximas</t>
  </si>
  <si>
    <t>Barragem do Pocinho</t>
  </si>
  <si>
    <t>Crucial para gestão hídrica do Alto Douro; porta de entrada para Trás-os-Montes. Actividades: Cruzeiros vinhateiros, pesca, Vila Nova de Foz Côa próx.</t>
  </si>
  <si>
    <t>Cruzeiros vinhateiros, pesca, Vila Nova de Foz Côa próx</t>
  </si>
  <si>
    <t>Barragem do Baixo Sabor</t>
  </si>
  <si>
    <t>Uma das mais recentes e altas de Portugal; Torre de Moncorvo; arte rupestre próxima. Actividades: Miradouro, Parque Natural do Douro Internacional.</t>
  </si>
  <si>
    <t>Miradouro, Parque Natural do Douro Internacional</t>
  </si>
  <si>
    <t>Barragem de Foz Tua</t>
  </si>
  <si>
    <t>Define a foz do Rio Tua; controversa construção; Museu do Douro nas proximidades. Actividades: Cruzeiros Rio Tua, miradouro, Pinhão a 15km.</t>
  </si>
  <si>
    <t>Cruzeiros Rio Tua, miradouro, Pinhão a 15km</t>
  </si>
  <si>
    <t>Barragem do Alto Lindoso</t>
  </si>
  <si>
    <t>Cávado/Lima</t>
  </si>
  <si>
    <t>A mais alta de Portugal; controla cheias do Lima; no coração do Parque Peneda-Gerês. Actividades: Parque Peneda-Gerês, caminhadas, miradouro.</t>
  </si>
  <si>
    <t>Parque Peneda-Gerês, caminhadas, miradouro</t>
  </si>
  <si>
    <t>Barragem de Venda Nova</t>
  </si>
  <si>
    <t>Elevada capacidade de bombagem; central subterrânea; Montalegre e Parque Peneda-Gerês. Actividades: Visita técnica (EDP), paisagem montanha.</t>
  </si>
  <si>
    <t>Visita técnica (EDP), paisagem montanha</t>
  </si>
  <si>
    <t>Barragem da Caniçada</t>
  </si>
  <si>
    <t>Coração turístico do Gerês; desportos náuticos; aldeia de Caniçada submersa sob a albufeira. Actividades: Desportos náuticos, praias fluviais, campismo, kayak.</t>
  </si>
  <si>
    <t>Desportos náuticos, praias fluviais, campismo, kayak</t>
  </si>
  <si>
    <t>Barragem do Alto Rabagão</t>
  </si>
  <si>
    <t>Uma das maiores bacias de armazenamento de Portugal; planalto da Mourela a 1000m. Actividades: Pesca, birdwatching, paisagem de alta montanha.</t>
  </si>
  <si>
    <t>Pesca, birdwatching, paisagem de alta montanha</t>
  </si>
  <si>
    <t>Barragem de Paradela</t>
  </si>
  <si>
    <t>Integrada em paisagens de alta montanha do Parque Peneda-Gerês; granito e carvalhos. Actividades: Trilhos pedestres, observação fauna, paisagismo.</t>
  </si>
  <si>
    <t>Trilhos pedestres, observação fauna, paisagismo</t>
  </si>
  <si>
    <t>Barragem de Castelo de Bode</t>
  </si>
  <si>
    <t>Zêzere</t>
  </si>
  <si>
    <t>Centro</t>
  </si>
  <si>
    <t>Segunda maior de Portugal; hub nacional de wakeboard e lazer fluvial; abastece Lisboa. Actividades: Wakeboard, vela, kayak, cruzeiros, praias fluviais.</t>
  </si>
  <si>
    <t>Wakeboard, vela, kayak, cruzeiros, praias fluviais</t>
  </si>
  <si>
    <t>Barragem do Cabril</t>
  </si>
  <si>
    <t>Maior estrutura em arco de Portugal; vistas vertiginosas; piscinas fluviais nas fragas. Actividades: Mergulho, piscinas naturais, miradouro da barragem.</t>
  </si>
  <si>
    <t>Mergulho, piscinas naturais, miradouro da barragem</t>
  </si>
  <si>
    <t>Barragem da Bouçã</t>
  </si>
  <si>
    <t>No Rio Zêzere entre Cabril e Castelo de Bode; paisagem de xisto e pinheiros. Actividades: Pesca, passeios de barco, aldeias do xisto próximas.</t>
  </si>
  <si>
    <t>Pesca, passeios de barco, aldeias do xisto próximas</t>
  </si>
  <si>
    <t>Barragem de Pracana</t>
  </si>
  <si>
    <t>Estrutura de contrafortes no Rio Ocreza; perto de Proença-a-Nova e Castelo Branco. Actividades: Pesca, campismo, Aldeias Históricas de Beira Baixa.</t>
  </si>
  <si>
    <t>Pesca, campismo, Aldeias Históricas de Beira Baixa</t>
  </si>
  <si>
    <t>Barragem de Belver</t>
  </si>
  <si>
    <t>Próxima ao medieval Castelo de Belver; zona balnear de excelência no Tejo. Actividades: Praia fluvial, Castelo de Belver, kayak no Tejo.</t>
  </si>
  <si>
    <t>Praia fluvial, Castelo de Belver, kayak no Tejo</t>
  </si>
  <si>
    <t>Barragem do Alqueva</t>
  </si>
  <si>
    <t>Guadiana</t>
  </si>
  <si>
    <t>Alentejo</t>
  </si>
  <si>
    <t>Maior albufeira da Europa Ocidental (250km²); Reserva Dark Sky; Aldeias do Alqueva. Actividades: Observação astronómica, cruzeiros, kayak, Dark Sky.</t>
  </si>
  <si>
    <t>Observação astronómica, cruzeiros, kayak, Dark Sky</t>
  </si>
  <si>
    <t>Gratuito; CI EDIA pago</t>
  </si>
  <si>
    <t>Barragem do Maranhão</t>
  </si>
  <si>
    <t>Centro de estágio náutico internacional de Avis; remo e vela de competição. Actividades: Remo, vela, triatlo, campismo, kayak.</t>
  </si>
  <si>
    <t>Remo, vela, triatlo, campismo, kayak</t>
  </si>
  <si>
    <t>Barragem de Odivelas</t>
  </si>
  <si>
    <t>Grande biodiversidade; zona de observação de aves migratórias; perto de Ferreira do Alentejo. Actividades: Birdwatching, pesca, observação natureza.</t>
  </si>
  <si>
    <t>Birdwatching, pesca, observação natureza</t>
  </si>
  <si>
    <t>Barragem de Santa Clara</t>
  </si>
  <si>
    <t>Em Odemira; águas calmas e límpidas; porta de entrada para o Alentejo Litoral. Actividades: Desportos náuticos, campismo, praias fluviais, pesca.</t>
  </si>
  <si>
    <t>Desportos náuticos, campismo, praias fluviais, pesca</t>
  </si>
  <si>
    <t>Barragem de Montargil</t>
  </si>
  <si>
    <t>Destino de excelência para motas de água; campismo na margem; Ponte de Sor a 10km. Actividades: Jet-ski, wakeboard, campismo, pesca, praia fluvial.</t>
  </si>
  <si>
    <t>Jet-ski, wakeboard, campismo, pesca, praia fluvial</t>
  </si>
  <si>
    <t>Total: 23 barragens | 4 bacias hidrográficas | Acesso exterior gratuito em todas | Visitas técnicas: autorização EDP/Movhera | Alqueva: Centro de Interpretação EDIA (entrada paga)</t>
  </si>
  <si>
    <t>Barragem no rio  em . Albufeira de referência com potencial para lazer e natureza. Engenharia hídrica de referência da rede nacional.</t>
  </si>
  <si>
    <t xml:space="preserve">  🟫  MADEIRA  ·  3 entradas</t>
  </si>
  <si>
    <t>Serra de Água — Central Hidroeléctrica</t>
  </si>
  <si>
    <t>Rio da Serra</t>
  </si>
  <si>
    <t>Primeira central hidroeléctrica da Madeira (1953). Barragem de arco em granito. A levada do séc. XVIII coexiste com a central. Actividades: Visita central (autorização EEM), caminhada na levada.</t>
  </si>
  <si>
    <t>Visita central (autorização EEM), caminhada na levada</t>
  </si>
  <si>
    <t>Gratuito</t>
  </si>
  <si>
    <t>Covão do Facho — Reserva Natural</t>
  </si>
  <si>
    <t>Rio Seco</t>
  </si>
  <si>
    <t>Albufeira de altitude (800m) no Parque Natural da Madeira. Rodeada de Floresta Laurissilva UNESCO. Fornece água ao Funchal há 70 anos. Actividades: Caminhada levada, birdwatching (pombo-trocaz).</t>
  </si>
  <si>
    <t>Caminhada levada, birdwatching (pombo-trocaz)</t>
  </si>
  <si>
    <t>Sistema de Levadas — Calheta</t>
  </si>
  <si>
    <t>Rio Calheta</t>
  </si>
  <si>
    <t>Sistema de túneis e levadas da central de Calheta (1945). Percurso de 12 km por galeria escavada na rocha. Ainda em funcionamento. Actividades: Visita técnica (marcação), levada das 25 Fontes.</t>
  </si>
  <si>
    <t>Visita técnica (marcação), levada das 25 Fontes</t>
  </si>
  <si>
    <t xml:space="preserve">  🟪  AÇORES  ·  4 entradas</t>
  </si>
  <si>
    <t>Lagoa das Sete Cidades</t>
  </si>
  <si>
    <t>Caldeira Vulcânica</t>
  </si>
  <si>
    <t>A maior lagoa dos Açores (4,4 km²) numa caldeira vulcânica. Lagoa Azul + Lagoa Verde por diferenças de flora algal. Uma das 7 Maravilhas de Portugal. Actividades: Canoagem, caminhada na caldeira, birdwatching.</t>
  </si>
  <si>
    <t>Canoagem, caminhada na caldeira, birdwatching</t>
  </si>
  <si>
    <t>🎨 PROMPT A (plano geral / território):
Lagoa das Sete Cidades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Lagoa das Sete Cidades — granito cinzento-rosado, superfície autêntica portuguesa, luz rasante, luz quente da tarde, desaturado cinematográfico, realista natural, texturas autênticas, território como protagonista, 9:16 vertical</t>
  </si>
  <si>
    <t>Lagoa do Fogo — Cratera Vulcânica</t>
  </si>
  <si>
    <t>Caldeira Água de Pau</t>
  </si>
  <si>
    <t>Lagoa na cratera do estratovulcão de Água de Pau (590m). Área protegida. Névoa permanente cria paisagem única. Nidificação da gaivota de bico rubro. Actividades: Caminhada PR7, birdwatching.</t>
  </si>
  <si>
    <t>Caminhada PR7, birdwatching</t>
  </si>
  <si>
    <t>Caldeira do Faial</t>
  </si>
  <si>
    <t>A maior caldeira activa dos Açores (2 km diâmetro, 400m profundidade). Última erupção 1957-58 (Capelinhos). Fumarolas activas. Caminhada de 7 km no rim. Actividades: Caminhada rim da caldeira (7 km).</t>
  </si>
  <si>
    <t>Caminhada rim da caldeira (7 km)</t>
  </si>
  <si>
    <t>Lagoa das Furnas — Geotérmica</t>
  </si>
  <si>
    <t>Zona Geotérmica</t>
  </si>
  <si>
    <t>Lagoa de cratera com fumarolas, nascentes quentes e caldeiras de lama. O cozido das Furnas é cozinhado a 1m no solo vulcânico a 100°C — única lagoa culinária do mundo.</t>
  </si>
  <si>
    <t>Banhos termais, gastronomia geotérmica</t>
  </si>
  <si>
    <t>Gratuito / Pago</t>
  </si>
  <si>
    <t>🎪  FESTIVAIS DE MÚSICA E EVENTOS CULTURAIS DE PORTUGAL  🎪</t>
  </si>
  <si>
    <t>60 festivais e eventos | Lisboa · Norte · Centro · Alentejo · Algarve · Açores · Madeira</t>
  </si>
  <si>
    <t>Época</t>
  </si>
  <si>
    <t>Morada</t>
  </si>
  <si>
    <t>Géneros / Tipo</t>
  </si>
  <si>
    <t>Serviços</t>
  </si>
  <si>
    <t>Horário</t>
  </si>
  <si>
    <t>Preço Médio</t>
  </si>
  <si>
    <t>Lotação/Dia</t>
  </si>
  <si>
    <t>NOS Alive</t>
  </si>
  <si>
    <t>Lisboa</t>
  </si>
  <si>
    <t>Julho</t>
  </si>
  <si>
    <t>Passeio Maritimo de Alges</t>
  </si>
  <si>
    <t>Indie, Rock, Pop</t>
  </si>
  <si>
    <t>Zona VIP, Carregamento</t>
  </si>
  <si>
    <t>Festival de Indie em Passeio Maritimo de Alges, cada Julho. Um dos maiores eventos culturais de Portugal, com alinhamentos de artistas nacionais e internacionais que definem a cena musical contemporânea. Até 55.000 por dia. Bilhetes a partir de 79€.</t>
  </si>
  <si>
    <t>15h00-04h00</t>
  </si>
  <si>
    <t>79€</t>
  </si>
  <si>
    <t>55.000</t>
  </si>
  <si>
    <t>Primavera Sound Porto</t>
  </si>
  <si>
    <t>Junho</t>
  </si>
  <si>
    <t>Parque da Cidade, Porto</t>
  </si>
  <si>
    <t>Alternativo, Indie</t>
  </si>
  <si>
    <t>Market, Food Court</t>
  </si>
  <si>
    <t>Festival de Alternativo em Parque da Cidade, cada Junho. Um dos maiores eventos culturais de Portugal, com alinhamentos de artistas nacionais e internacionais que definem a cena musical contemporânea. Até 35.000 por dia. Bilhetes a partir de 75€.</t>
  </si>
  <si>
    <t>16h00-06h00</t>
  </si>
  <si>
    <t>75€</t>
  </si>
  <si>
    <t>35.000</t>
  </si>
  <si>
    <t>Boom Festival</t>
  </si>
  <si>
    <t>Julho/Agosto</t>
  </si>
  <si>
    <t>Idanha-a-Nova</t>
  </si>
  <si>
    <t>Psicodélico</t>
  </si>
  <si>
    <t>Campismo, Workshops</t>
  </si>
  <si>
    <t>Festival de Psicodélico em Idanha-a-Nova, cada Julho/Agosto. Um dos maiores eventos culturais de Portugal, com alinhamentos de artistas nacionais e internacionais que definem a cena musical contemporânea. Até 12.000 por dia. Bilhetes a partir de 250€ (Passe).</t>
  </si>
  <si>
    <t>24h</t>
  </si>
  <si>
    <t>250€ (Passe)</t>
  </si>
  <si>
    <t>12.000</t>
  </si>
  <si>
    <t>FMM Sines</t>
  </si>
  <si>
    <t>Castelo de Sines</t>
  </si>
  <si>
    <t>World Music</t>
  </si>
  <si>
    <t>Feira do Livro, Oficinas</t>
  </si>
  <si>
    <t>Festival de World Music em Castelo de Sines, cada Julho. Um dos maiores eventos culturais de Portugal, com alinhamentos de artistas nacionais e internacionais que definem a cena musical contemporânea. Até 10.000 por dia. Bilhetes a partir de 15€-30€.</t>
  </si>
  <si>
    <t>18h00-04h00</t>
  </si>
  <si>
    <t>15€-30€</t>
  </si>
  <si>
    <t>10.000</t>
  </si>
  <si>
    <t>Feira de São Mateus</t>
  </si>
  <si>
    <t>Agosto/Set</t>
  </si>
  <si>
    <t>Viseu</t>
  </si>
  <si>
    <t>Tradição, Concertos</t>
  </si>
  <si>
    <t>Restaurantes, Diversões</t>
  </si>
  <si>
    <t>Festival de Tradição em Viseu, cada Agosto/Set. Um dos maiores eventos culturais de Portugal, com alinhamentos de artistas nacionais e internacionais que definem a cena musical contemporânea. Até 20.000 por dia. Bilhetes a partir de 5€-15€.</t>
  </si>
  <si>
    <t>11h00-02h00</t>
  </si>
  <si>
    <t>5€-15€</t>
  </si>
  <si>
    <t>20.000</t>
  </si>
  <si>
    <t>MEO Sudoeste</t>
  </si>
  <si>
    <t>Agosto</t>
  </si>
  <si>
    <t>Zambujeira do Mar</t>
  </si>
  <si>
    <t>EDM, Hip-hop</t>
  </si>
  <si>
    <t>Canal de Água, Wi-Fi</t>
  </si>
  <si>
    <t>Festival de EDM em Zambujeira do Mar, cada Agosto. Um dos maiores eventos culturais de Portugal, com alinhamentos de artistas nacionais e internacionais que definem a cena musical contemporânea. Até 30.000 por dia. Bilhetes a partir de 50€.</t>
  </si>
  <si>
    <t>19h00-06h00</t>
  </si>
  <si>
    <t>50€</t>
  </si>
  <si>
    <t>30.000</t>
  </si>
  <si>
    <t>Vodafone Paredes de Coura</t>
  </si>
  <si>
    <t>Praia Fluvial do Taboão</t>
  </si>
  <si>
    <t>Indie, Rio</t>
  </si>
  <si>
    <t>Campismo, Shuttles</t>
  </si>
  <si>
    <t>Festival de Indie em Praia Fluvial do Taboão, cada Agosto. Um dos maiores eventos culturais de Portugal, com alinhamentos de artistas nacionais e internacionais que definem a cena musical contemporânea. Até 25.000 por dia. Bilhetes a partir de 60€.</t>
  </si>
  <si>
    <t>17h00-05h00</t>
  </si>
  <si>
    <t>60€</t>
  </si>
  <si>
    <t>25.000</t>
  </si>
  <si>
    <t>Festival Chocolate</t>
  </si>
  <si>
    <t>Março</t>
  </si>
  <si>
    <t>Castelo de Óbidos</t>
  </si>
  <si>
    <t>Gastronomia</t>
  </si>
  <si>
    <t>Showcookings</t>
  </si>
  <si>
    <t>Festival de Gastronomia em Castelo de Óbidos, cada Março. Um dos maiores eventos culturais de Portugal, com alinhamentos de artistas nacionais e internacionais que definem a cena musical contemporânea. Até 8.000 por dia. Bilhetes a partir de 10€.</t>
  </si>
  <si>
    <t>11h00-20h00</t>
  </si>
  <si>
    <t>10€</t>
  </si>
  <si>
    <t>8.000</t>
  </si>
  <si>
    <t>MEO Kalorama</t>
  </si>
  <si>
    <t>Parque Bela Vista</t>
  </si>
  <si>
    <t>Arte, Música</t>
  </si>
  <si>
    <t>Zona Kids, Metro</t>
  </si>
  <si>
    <t>Festival de Arte em Parque Bela Vista, cada Agosto/Set. Um dos maiores eventos culturais de Portugal, com alinhamentos de artistas nacionais e internacionais que definem a cena musical contemporânea. Até 40.000 por dia. Bilhetes a partir de 65€.</t>
  </si>
  <si>
    <t>15h00-02h00</t>
  </si>
  <si>
    <t>65€</t>
  </si>
  <si>
    <t>40.000</t>
  </si>
  <si>
    <t>Festival F</t>
  </si>
  <si>
    <t>Setembro</t>
  </si>
  <si>
    <t>Vila Adentro, Faro</t>
  </si>
  <si>
    <t>Música Lusófona</t>
  </si>
  <si>
    <t>Rooftops, Artesanato</t>
  </si>
  <si>
    <t>Festival de Música Lusófona em Vila Adentro, cada Setembro. Um dos maiores eventos culturais de Portugal, com alinhamentos de artistas nacionais e internacionais que definem a cena musical contemporânea. Até 20.000 por dia. Bilhetes a partir de 22€.</t>
  </si>
  <si>
    <t>18h00-05h00</t>
  </si>
  <si>
    <t>22€</t>
  </si>
  <si>
    <t>Neopop</t>
  </si>
  <si>
    <t>Forte Santiago da Barra</t>
  </si>
  <si>
    <t>Techno, Eletrónica</t>
  </si>
  <si>
    <t>Cashless, Cacifos</t>
  </si>
  <si>
    <t>Festival de Techno em Forte Santiago da Barra, cada Agosto. Um dos maiores eventos culturais de Portugal, com alinhamentos de artistas nacionais e internacionais que definem a cena musical contemporânea. Até 10.000 por dia. Bilhetes a partir de 55€.</t>
  </si>
  <si>
    <t>21h00-09h00</t>
  </si>
  <si>
    <t>55€</t>
  </si>
  <si>
    <t>Viagem Medieval</t>
  </si>
  <si>
    <t>Sta Maria da Feira</t>
  </si>
  <si>
    <t>Recriação</t>
  </si>
  <si>
    <t>Aluguer Fatos, Tabernas</t>
  </si>
  <si>
    <t>Festival de Recriação em Sta Maria da Feira, cada Agosto. Um dos maiores eventos culturais de Portugal, com alinhamentos de artistas nacionais e internacionais que definem a cena musical contemporânea. Até 50.000 por dia. Bilhetes a partir de 5€.</t>
  </si>
  <si>
    <t>12h00-01h00</t>
  </si>
  <si>
    <t>5€</t>
  </si>
  <si>
    <t>50.000</t>
  </si>
  <si>
    <t>RFM Somnii</t>
  </si>
  <si>
    <t>Praia do Relógio</t>
  </si>
  <si>
    <t>EDM na Praia</t>
  </si>
  <si>
    <t>VIP Deck, Chuveiros</t>
  </si>
  <si>
    <t>Festival de EDM na Praia em Praia do Relógio, cada Julho. Um dos maiores eventos culturais de Portugal, com alinhamentos de artistas nacionais e internacionais que definem a cena musical contemporânea. Até 35.000 por dia. Bilhetes a partir de 45€.</t>
  </si>
  <si>
    <t>15h00-00h00</t>
  </si>
  <si>
    <t>45€</t>
  </si>
  <si>
    <t>Gastronomia Santarém</t>
  </si>
  <si>
    <t>Outubro</t>
  </si>
  <si>
    <t>Casa do Campino</t>
  </si>
  <si>
    <t>Culinária</t>
  </si>
  <si>
    <t>Degustações, Artesanato</t>
  </si>
  <si>
    <t>Festival de Culinária em Casa do Campino, cada Outubro. Um dos maiores eventos culturais de Portugal, com alinhamentos de artistas nacionais e internacionais que definem a cena musical contemporânea. Até 15.000 por dia. Bilhetes a partir de 2,5€.</t>
  </si>
  <si>
    <t>12h00-24h00</t>
  </si>
  <si>
    <t>2,5€</t>
  </si>
  <si>
    <t>15.000</t>
  </si>
  <si>
    <t>Bons Sons</t>
  </si>
  <si>
    <t>Cem Soldos, Tomar</t>
  </si>
  <si>
    <t>Música PT</t>
  </si>
  <si>
    <t>Moeda Própria, Campismo</t>
  </si>
  <si>
    <t>Festival de Música PT em Cem Soldos, cada Agosto. Um dos maiores eventos culturais de Portugal, com alinhamentos de artistas nacionais e internacionais que definem a cena musical contemporânea. Até 8.000 por dia. Bilhetes a partir de 25€.</t>
  </si>
  <si>
    <t>14h00-04h00</t>
  </si>
  <si>
    <t>25€</t>
  </si>
  <si>
    <t>Super Bock Super Rock</t>
  </si>
  <si>
    <t>Meco, Sesimbra</t>
  </si>
  <si>
    <t>Rock, Alternativo</t>
  </si>
  <si>
    <t>Shuttles, Campismo</t>
  </si>
  <si>
    <t>Festival de Rock em Meco, cada Julho. Um dos maiores eventos culturais de Portugal, com alinhamentos de artistas nacionais e internacionais que definem a cena musical contemporânea. Até 20.000 por dia. Bilhetes a partir de 72€.</t>
  </si>
  <si>
    <t>16h00-04h00</t>
  </si>
  <si>
    <t>72€</t>
  </si>
  <si>
    <t>São João de Braga</t>
  </si>
  <si>
    <t>Praça da República</t>
  </si>
  <si>
    <t>Popular</t>
  </si>
  <si>
    <t>Parques, TUB Reforço</t>
  </si>
  <si>
    <t>Festival de Popular em Praça da República, cada Junho. Um dos maiores eventos culturais de Portugal, com alinhamentos de artistas nacionais e internacionais que definem a cena musical contemporânea. Até 100.000 por dia. Bilhetes a partir de 0€.</t>
  </si>
  <si>
    <t>0€</t>
  </si>
  <si>
    <t>100.000</t>
  </si>
  <si>
    <t>Festa da Flor</t>
  </si>
  <si>
    <t>Maio</t>
  </si>
  <si>
    <t>Av. Arriaga, Funchal</t>
  </si>
  <si>
    <t>Flores, Desfile</t>
  </si>
  <si>
    <t>Bancadas, Info</t>
  </si>
  <si>
    <t>Festival de Flores em Av. Arriaga, cada Maio. Um dos maiores eventos culturais de Portugal, com alinhamentos de artistas nacionais e internacionais que definem a cena musical contemporânea. Até 30.000 por dia. Bilhetes a partir de 0€.</t>
  </si>
  <si>
    <t>10h00-22h00</t>
  </si>
  <si>
    <t>Milhões de Festa</t>
  </si>
  <si>
    <t>Parque Cidade, Barcelos</t>
  </si>
  <si>
    <t>Experimental</t>
  </si>
  <si>
    <t>Acesso Piscina</t>
  </si>
  <si>
    <t>Festival de Experimental em Parque Cidade, cada Julho. Um dos maiores eventos culturais de Portugal, com alinhamentos de artistas nacionais e internacionais que definem a cena musical contemporânea. Até 30.000 por dia. Bilhetes a partir de 20€.</t>
  </si>
  <si>
    <t>20€</t>
  </si>
  <si>
    <t>Sanjoaninas</t>
  </si>
  <si>
    <t>Angra do Heroísmo</t>
  </si>
  <si>
    <t>Tradição</t>
  </si>
  <si>
    <t>Tascas, Transportes</t>
  </si>
  <si>
    <t>Festival de Tradição em Angra do Heroísmo, cada Junho. Um dos maiores eventos culturais de Portugal, com alinhamentos de artistas nacionais e internacionais que definem a cena musical contemporânea. Até 15.000 por dia. Bilhetes a partir de 0€.</t>
  </si>
  <si>
    <t>12h00-04h00</t>
  </si>
  <si>
    <t>Festival Med</t>
  </si>
  <si>
    <t>Zona Histórica, Loulé</t>
  </si>
  <si>
    <t>Mercado Med, Bem-estar</t>
  </si>
  <si>
    <t>Festival de World Music em Zona Histórica, cada Junho. Um dos maiores eventos culturais de Portugal, com alinhamentos de artistas nacionais e internacionais que definem a cena musical contemporânea. Até 12.000 por dia. Bilhetes a partir de 15€.</t>
  </si>
  <si>
    <t>19h00-04h00</t>
  </si>
  <si>
    <t>15€</t>
  </si>
  <si>
    <t>EDP Cool Jazz</t>
  </si>
  <si>
    <t>Cascais</t>
  </si>
  <si>
    <t>Jazz, Soul</t>
  </si>
  <si>
    <t>Wine Bar, Lounge</t>
  </si>
  <si>
    <t>Festival de Jazz em Cascais, cada Julho. Um dos maiores eventos culturais de Portugal, com alinhamentos de artistas nacionais e internacionais que definem a cena musical contemporânea. Até 4.000 por dia. Bilhetes a partir de 40€.</t>
  </si>
  <si>
    <t>19h00-23h30</t>
  </si>
  <si>
    <t>40€</t>
  </si>
  <si>
    <t>4.000</t>
  </si>
  <si>
    <t>Tremor</t>
  </si>
  <si>
    <t>Março/Abril</t>
  </si>
  <si>
    <t>Ponta Delgada</t>
  </si>
  <si>
    <t>Imersivo</t>
  </si>
  <si>
    <t>Roteiros, Shuttles</t>
  </si>
  <si>
    <t>Festival de Imersivo em Ponta Delgada, cada Março/Abril. Um dos maiores eventos culturais de Portugal, com alinhamentos de artistas nacionais e internacionais que definem a cena musical contemporânea. Até 1.500 por dia. Bilhetes a partir de 70€ (Passe).</t>
  </si>
  <si>
    <t>10h00-02h00</t>
  </si>
  <si>
    <t>70€ (Passe)</t>
  </si>
  <si>
    <t>1.500</t>
  </si>
  <si>
    <t>Vilar de Mouros</t>
  </si>
  <si>
    <t>Caminha</t>
  </si>
  <si>
    <t>Rock Histórico</t>
  </si>
  <si>
    <t>Campismo, Rio</t>
  </si>
  <si>
    <t>Festival de Rock Histórico em Caminha, cada Agosto. Um dos maiores eventos culturais de Portugal, com alinhamentos de artistas nacionais e internacionais que definem a cena musical contemporânea. Até 15.000 por dia. Bilhetes a partir de 50€.</t>
  </si>
  <si>
    <t>17h00-04h00</t>
  </si>
  <si>
    <t>Ar d'Aura</t>
  </si>
  <si>
    <t>Celorico da Beira</t>
  </si>
  <si>
    <t>Natureza</t>
  </si>
  <si>
    <t>Astros, Caminhadas</t>
  </si>
  <si>
    <t>Festival de Natureza em Celorico da Beira, cada Agosto. Um dos maiores eventos culturais de Portugal, com alinhamentos de artistas nacionais e internacionais que definem a cena musical contemporânea. Até 1.000 por dia. Bilhetes a partir de 0€.</t>
  </si>
  <si>
    <t>11h00-23h00</t>
  </si>
  <si>
    <t>1.000</t>
  </si>
  <si>
    <t>Evil Live</t>
  </si>
  <si>
    <t>Altice Arena</t>
  </si>
  <si>
    <t>Metal, Arena</t>
  </si>
  <si>
    <t>Bengaleiro, Metro</t>
  </si>
  <si>
    <t>Festival de Metal em Altice Arena, cada Junho. Um dos maiores eventos culturais de Portugal, com alinhamentos de artistas nacionais e internacionais que definem a cena musical contemporânea. Até 15.000 por dia. Bilhetes a partir de 75€.</t>
  </si>
  <si>
    <t>17h00-01h00</t>
  </si>
  <si>
    <t>Mercado Medieval</t>
  </si>
  <si>
    <t>Óbidos</t>
  </si>
  <si>
    <t>Histórico</t>
  </si>
  <si>
    <t>Torneios, Ceias</t>
  </si>
  <si>
    <t>Festival de Histórico em Óbidos, cada Julho/Agosto. Um dos maiores eventos culturais de Portugal, com alinhamentos de artistas nacionais e internacionais que definem a cena musical contemporânea. Até 10.000 por dia. Bilhetes a partir de 10€.</t>
  </si>
  <si>
    <t>Comic Con Portugal</t>
  </si>
  <si>
    <t>FIL, Lisboa</t>
  </si>
  <si>
    <t>Cultura Pop</t>
  </si>
  <si>
    <t>Autógrafos, Kids</t>
  </si>
  <si>
    <t>Festival de Cultura Pop em FIL, cada Março. Um dos maiores eventos culturais de Portugal, com alinhamentos de artistas nacionais e internacionais que definem a cena musical contemporânea. Até 25.000 por dia. Bilhetes a partir de 40€.</t>
  </si>
  <si>
    <t>10h00-20h00</t>
  </si>
  <si>
    <t>Fantasporto</t>
  </si>
  <si>
    <t>Fevereiro</t>
  </si>
  <si>
    <t>Batalha Cinema</t>
  </si>
  <si>
    <t>Cinema</t>
  </si>
  <si>
    <t>Q&amp;A, Masterclasses</t>
  </si>
  <si>
    <t>Festival de Cinema em Batalha Cinema, cada Fevereiro. Um dos maiores eventos culturais de Portugal, com alinhamentos de artistas nacionais e internacionais que definem a cena musical contemporânea. Até 1.000 por dia. Bilhetes a partir de 5€.</t>
  </si>
  <si>
    <t>14h00-00h00</t>
  </si>
  <si>
    <t>Expofacic</t>
  </si>
  <si>
    <t>Cantanhede</t>
  </si>
  <si>
    <t>Feira, Pop</t>
  </si>
  <si>
    <t>500 Expositores</t>
  </si>
  <si>
    <t>Festival de Feira em Cantanhede, cada Julho. Um dos maiores eventos culturais de Portugal, com alinhamentos de artistas nacionais e internacionais que definem a cena musical contemporânea. Até 40.000 por dia. Bilhetes a partir de 12€.</t>
  </si>
  <si>
    <t>10h00-04h00</t>
  </si>
  <si>
    <t>12€</t>
  </si>
  <si>
    <t>Marisco Olhão</t>
  </si>
  <si>
    <t>Jardim Pescador</t>
  </si>
  <si>
    <t>Esplanadas</t>
  </si>
  <si>
    <t>Festival de Gastronomia em Jardim Pescador, cada Agosto. Um dos maiores eventos culturais de Portugal, com alinhamentos de artistas nacionais e internacionais que definem a cena musical contemporânea. Até 10.000 por dia. Bilhetes a partir de 10€.</t>
  </si>
  <si>
    <t>19h00-01h00</t>
  </si>
  <si>
    <t>Arraial Pride</t>
  </si>
  <si>
    <t>Terreiro do Paço</t>
  </si>
  <si>
    <t>LGBTQ+</t>
  </si>
  <si>
    <t>Bares, Info ONGs</t>
  </si>
  <si>
    <t>Festival de LGBTQ+ em Terreiro do Paço, cada Junho. Um dos maiores eventos culturais de Portugal, com alinhamentos de artistas nacionais e internacionais que definem a cena musical contemporânea. Até 50.000 por dia. Bilhetes a partir de 0€.</t>
  </si>
  <si>
    <t>16h00-02h00</t>
  </si>
  <si>
    <t>Senhora da Agonia</t>
  </si>
  <si>
    <t>Viana do Castelo</t>
  </si>
  <si>
    <t>Desfiles, Ouro</t>
  </si>
  <si>
    <t>Festival de Tradição em Viana do Castelo, cada Agosto. Um dos maiores eventos culturais de Portugal, com alinhamentos de artistas nacionais e internacionais que definem a cena musical contemporânea. Até 80.000 por dia. Bilhetes a partir de 0€.</t>
  </si>
  <si>
    <t>08h00-04h00</t>
  </si>
  <si>
    <t>80.000</t>
  </si>
  <si>
    <t>Jazz em Agosto</t>
  </si>
  <si>
    <t>Gulbenkian</t>
  </si>
  <si>
    <t>Jazz</t>
  </si>
  <si>
    <t>Livraria, Cafetaria</t>
  </si>
  <si>
    <t>Festival de Jazz em Gulbenkian, cada Agosto. Um dos maiores eventos culturais de Portugal, com alinhamentos de artistas nacionais e internacionais que definem a cena musical contemporânea. Até 1.200 por dia. Bilhetes a partir de 20€.</t>
  </si>
  <si>
    <t>18h30-23h30</t>
  </si>
  <si>
    <t>1.200</t>
  </si>
  <si>
    <t>Caretos de Podence</t>
  </si>
  <si>
    <t>Podence</t>
  </si>
  <si>
    <t>Carnaval</t>
  </si>
  <si>
    <t>Museu, Tasquinhas</t>
  </si>
  <si>
    <t>Festival de Carnaval em Podence, cada Fevereiro. Um dos maiores eventos culturais de Portugal, com alinhamentos de artistas nacionais e internacionais que definem a cena musical contemporânea. Até 5.000 por dia. Bilhetes a partir de 0€.</t>
  </si>
  <si>
    <t>5.000</t>
  </si>
  <si>
    <t>Out Jazz</t>
  </si>
  <si>
    <t>Maio-Set</t>
  </si>
  <si>
    <t>Jardins Lisboa</t>
  </si>
  <si>
    <t>Jazz, Funk</t>
  </si>
  <si>
    <t>Bares Móveis</t>
  </si>
  <si>
    <t>Festival de Jazz em Jardins Lisboa, cada Maio-Set. Um dos maiores eventos culturais de Portugal, com alinhamentos de artistas nacionais e internacionais que definem a cena musical contemporânea. Até 2.000 por dia. Bilhetes a partir de 0€.</t>
  </si>
  <si>
    <t>17h00-20h30</t>
  </si>
  <si>
    <t>2.000</t>
  </si>
  <si>
    <t>Gouveia Art Rock</t>
  </si>
  <si>
    <t>Abril</t>
  </si>
  <si>
    <t>Teatro Cine</t>
  </si>
  <si>
    <t>Rock Prog</t>
  </si>
  <si>
    <t>Autógrafos</t>
  </si>
  <si>
    <t>Festival de Rock Prog em Teatro Cine, cada Abril. Um dos maiores eventos culturais de Portugal, com alinhamentos de artistas nacionais e internacionais que definem a cena musical contemporânea. Até 800 por dia. Bilhetes a partir de 45€.</t>
  </si>
  <si>
    <t>15h00-01h00</t>
  </si>
  <si>
    <t>800</t>
  </si>
  <si>
    <t>São Gonçalo</t>
  </si>
  <si>
    <t>Amarante</t>
  </si>
  <si>
    <t>Arraiais Rio</t>
  </si>
  <si>
    <t>Festival de Popular em Amarante, cada Junho. Um dos maiores eventos culturais de Portugal, com alinhamentos de artistas nacionais e internacionais que definem a cena musical contemporânea. Até 20.000 por dia. Bilhetes a partir de 0€.</t>
  </si>
  <si>
    <t>09h00-03h00</t>
  </si>
  <si>
    <t>Iminente</t>
  </si>
  <si>
    <t>Matinha</t>
  </si>
  <si>
    <t>Arte Urbana</t>
  </si>
  <si>
    <t>Workshops, Skate</t>
  </si>
  <si>
    <t>Festival de Arte Urbana em Matinha, cada Outubro. Um dos maiores eventos culturais de Portugal, com alinhamentos de artistas nacionais e internacionais que definem a cena musical contemporânea. Até 8.000 por dia. Bilhetes a partir de 25€.</t>
  </si>
  <si>
    <t>FOLIO</t>
  </si>
  <si>
    <t>Literatura</t>
  </si>
  <si>
    <t>Debates, Wifi</t>
  </si>
  <si>
    <t>Festival de Literatura em Óbidos, cada Outubro. Um dos maiores eventos culturais de Portugal, com alinhamentos de artistas nacionais e internacionais que definem a cena musical contemporânea. Até 5.000 por dia. Bilhetes a partir de 0€.</t>
  </si>
  <si>
    <t>10h00-23h00</t>
  </si>
  <si>
    <t>Órgão Madeira</t>
  </si>
  <si>
    <t>Igrejas Funchal</t>
  </si>
  <si>
    <t>Música Sacra</t>
  </si>
  <si>
    <t>Entrada Livre</t>
  </si>
  <si>
    <t>Festival de Música Sacra em Igrejas Funchal, cada Outubro. Um dos maiores eventos culturais de Portugal, com alinhamentos de artistas nacionais e internacionais que definem a cena musical contemporânea. Até 500 por dia. Bilhetes a partir de 0€.</t>
  </si>
  <si>
    <t>21h30-23h00</t>
  </si>
  <si>
    <t>500</t>
  </si>
  <si>
    <t>Passagem de Ano</t>
  </si>
  <si>
    <t>Dezembro</t>
  </si>
  <si>
    <t>Baía Funchal</t>
  </si>
  <si>
    <t>Fogo Artifício</t>
  </si>
  <si>
    <t>Concertos</t>
  </si>
  <si>
    <t>Festival de Fogo Artifício em Baía Funchal, cada Dezembro. Um dos maiores eventos culturais de Portugal, com alinhamentos de artistas nacionais e internacionais que definem a cena musical contemporânea. Até 250.000 por dia. Bilhetes a partir de 0€.</t>
  </si>
  <si>
    <t>21h00-06h00</t>
  </si>
  <si>
    <t>250.000</t>
  </si>
  <si>
    <t>Sol da Caparica</t>
  </si>
  <si>
    <t>Costa Caparica</t>
  </si>
  <si>
    <t>Lusofonia</t>
  </si>
  <si>
    <t>Surf, Skate</t>
  </si>
  <si>
    <t>Festival de Lusofonia em Costa Caparica, cada Agosto. Um dos maiores eventos culturais de Portugal, com alinhamentos de artistas nacionais e internacionais que definem a cena musical contemporânea. Até 25.000 por dia. Bilhetes a partir de 20€.</t>
  </si>
  <si>
    <t>Festival Termómetro</t>
  </si>
  <si>
    <t>Vários</t>
  </si>
  <si>
    <t>Jan-Maio</t>
  </si>
  <si>
    <t>Lisboa/Vários</t>
  </si>
  <si>
    <t>Emergentes</t>
  </si>
  <si>
    <t>Talentos</t>
  </si>
  <si>
    <t>Festival de Emergentes em Lisboa/Vários, cada Jan-Maio. Um dos maiores eventos culturais de Portugal, com alinhamentos de artistas nacionais e internacionais que definem a cena musical contemporânea. Até 500 por dia. Bilhetes a partir de 10€.</t>
  </si>
  <si>
    <t>21h00-00h00</t>
  </si>
  <si>
    <t>Feira de Castro</t>
  </si>
  <si>
    <t>Castro Verde</t>
  </si>
  <si>
    <t>Tradicional</t>
  </si>
  <si>
    <t>Gado, Cante</t>
  </si>
  <si>
    <t>Festival de Tradicional em Castro Verde, cada Outubro. Um dos maiores eventos culturais de Portugal, com alinhamentos de artistas nacionais e internacionais que definem a cena musical contemporânea. Até 30.000 por dia. Bilhetes a partir de 0€.</t>
  </si>
  <si>
    <t>09h00-02h00</t>
  </si>
  <si>
    <t>Festival B</t>
  </si>
  <si>
    <t>Beja</t>
  </si>
  <si>
    <t>Cante, Património</t>
  </si>
  <si>
    <t>Monumentos</t>
  </si>
  <si>
    <t>Festival de Cante em Beja, cada Junho. Um dos maiores eventos culturais de Portugal, com alinhamentos de artistas nacionais e internacionais que definem a cena musical contemporânea. Até 10.000 por dia. Bilhetes a partir de 0€.</t>
  </si>
  <si>
    <t>18h00-03h00</t>
  </si>
  <si>
    <t>Urban Trail</t>
  </si>
  <si>
    <t>Set/Out</t>
  </si>
  <si>
    <t>Chiado, Lisboa</t>
  </si>
  <si>
    <t>Desporto</t>
  </si>
  <si>
    <t>Kit Atleta</t>
  </si>
  <si>
    <t>Festival de Desporto em Chiado, cada Set/Out. Um dos maiores eventos culturais de Portugal, com alinhamentos de artistas nacionais e internacionais que definem a cena musical contemporânea. Até 3.000 por dia. Bilhetes a partir de 15€.</t>
  </si>
  <si>
    <t>21h00-23h30</t>
  </si>
  <si>
    <t>3.000</t>
  </si>
  <si>
    <t>Queima das Fitas</t>
  </si>
  <si>
    <t>Praça da Canção</t>
  </si>
  <si>
    <t>Académico</t>
  </si>
  <si>
    <t>Bares, Shuttles</t>
  </si>
  <si>
    <t>Festival de Académico em Praça da Canção, cada Maio. Um dos maiores eventos culturais de Portugal, com alinhamentos de artistas nacionais e internacionais que definem a cena musical contemporânea. Até 20.000 por dia. Bilhetes a partir de 12€.</t>
  </si>
  <si>
    <t>22h00-06h00</t>
  </si>
  <si>
    <t>Doclisboa</t>
  </si>
  <si>
    <t>Culturgest</t>
  </si>
  <si>
    <t>Documentário</t>
  </si>
  <si>
    <t>Debates</t>
  </si>
  <si>
    <t>Festival de Documentário em Culturgest, cada Outubro. Um dos maiores eventos culturais de Portugal, com alinhamentos de artistas nacionais e internacionais que definem a cena musical contemporânea. Até 1.000 por dia. Bilhetes a partir de 5€.</t>
  </si>
  <si>
    <t>11h00-23h30</t>
  </si>
  <si>
    <t>Festival Almada</t>
  </si>
  <si>
    <t>Almada</t>
  </si>
  <si>
    <t>Teatro</t>
  </si>
  <si>
    <t>Livraria</t>
  </si>
  <si>
    <t>Festival de Teatro em Almada, cada Julho. Um dos maiores eventos culturais de Portugal, com alinhamentos de artistas nacionais e internacionais que definem a cena musical contemporânea. Até 3.000 por dia. Bilhetes a partir de 15€.</t>
  </si>
  <si>
    <t>AgitÁgueda</t>
  </si>
  <si>
    <t>Águeda</t>
  </si>
  <si>
    <t>Arte de Rua</t>
  </si>
  <si>
    <t>Umbrella Sky</t>
  </si>
  <si>
    <t>Festival de Arte de Rua em Águeda, cada Julho. Um dos maiores eventos culturais de Portugal, com alinhamentos de artistas nacionais e internacionais que definem a cena musical contemporânea. Até 15.000 por dia. Bilhetes a partir de 0€.</t>
  </si>
  <si>
    <t>Caminhos do Cinema</t>
  </si>
  <si>
    <t>Novembro</t>
  </si>
  <si>
    <t>TAGV, Coimbra</t>
  </si>
  <si>
    <t>Cinema PT</t>
  </si>
  <si>
    <t>Masterclasses</t>
  </si>
  <si>
    <t>Festival de Cinema PT em TAGV, cada Novembro. Um dos maiores eventos culturais de Portugal, com alinhamentos de artistas nacionais e internacionais que definem a cena musical contemporânea. Até 500 por dia. Bilhetes a partir de 5€.</t>
  </si>
  <si>
    <t>14h30-00h00</t>
  </si>
  <si>
    <t>Estátuas Vivas</t>
  </si>
  <si>
    <t>Tomar</t>
  </si>
  <si>
    <t>Artes de Rua</t>
  </si>
  <si>
    <t>Percurso</t>
  </si>
  <si>
    <t>Festival de Artes de Rua em Tomar, cada Setembro. Um dos maiores eventos culturais de Portugal, com alinhamentos de artistas nacionais e internacionais que definem a cena musical contemporânea. Até 5.000 por dia. Bilhetes a partir de 0€.</t>
  </si>
  <si>
    <t>10h00-19h00</t>
  </si>
  <si>
    <t>Braga Romana</t>
  </si>
  <si>
    <t>Centro Braga</t>
  </si>
  <si>
    <t>Gladiadores</t>
  </si>
  <si>
    <t>Festival de Recriação em Centro Braga, cada Maio. Um dos maiores eventos culturais de Portugal, com alinhamentos de artistas nacionais e internacionais que definem a cena musical contemporânea. Até 40.000 por dia. Bilhetes a partir de 0€.</t>
  </si>
  <si>
    <t>10h00-00h00</t>
  </si>
  <si>
    <t>Misty Fest</t>
  </si>
  <si>
    <t>CCB / Casa da Música</t>
  </si>
  <si>
    <t>Intimista</t>
  </si>
  <si>
    <t>Acústica</t>
  </si>
  <si>
    <t>Festival de Intimista em CCB / Casa da Música, cada Novembro. Um dos maiores eventos culturais de Portugal, com alinhamentos de artistas nacionais e internacionais que definem a cena musical contemporânea. Até 1.500 por dia. Bilhetes a partir de 30€.</t>
  </si>
  <si>
    <t>21h00-23h00</t>
  </si>
  <si>
    <t>30€</t>
  </si>
  <si>
    <t>Somersby Out Jazz</t>
  </si>
  <si>
    <t>Parques Lisboa</t>
  </si>
  <si>
    <t>Piquenique</t>
  </si>
  <si>
    <t>Festival de Jazz em Parques Lisboa, cada Maio-Set. Um dos maiores eventos culturais de Portugal, com alinhamentos de artistas nacionais e internacionais que definem a cena musical contemporânea. Até 3.000 por dia. Bilhetes a partir de 0€.</t>
  </si>
  <si>
    <t>17h00-21h00</t>
  </si>
  <si>
    <t>Festa dos Tabuleiros</t>
  </si>
  <si>
    <t>Julho (4/4 anos)</t>
  </si>
  <si>
    <t>Cortejo</t>
  </si>
  <si>
    <t>Festival de Tradição em Tomar, cada Julho (4/4 anos). Um dos maiores eventos culturais de Portugal, com alinhamentos de artistas nacionais e internacionais que definem a cena musical contemporânea. Até 150.000 por dia. Bilhetes a partir de 0€.</t>
  </si>
  <si>
    <t>08h00-00h00</t>
  </si>
  <si>
    <t>150.000</t>
  </si>
  <si>
    <t>Monstra</t>
  </si>
  <si>
    <t>Cinema S. Jorge</t>
  </si>
  <si>
    <t>Animação</t>
  </si>
  <si>
    <t>Workshops</t>
  </si>
  <si>
    <t>Festival de Animação em Cinema S. Jorge, cada Março. Um dos maiores eventos culturais de Portugal, com alinhamentos de artistas nacionais e internacionais que definem a cena musical contemporânea. Até 2.000 por dia. Bilhetes a partir de 5€.</t>
  </si>
  <si>
    <t>Paderne Medieval</t>
  </si>
  <si>
    <t>Janeiro</t>
  </si>
  <si>
    <t>Paderne</t>
  </si>
  <si>
    <t>Medieval</t>
  </si>
  <si>
    <t>Tabernas</t>
  </si>
  <si>
    <t>Festival de Medieval em Paderne, cada Janeiro. Um dos maiores eventos culturais de Portugal, com alinhamentos de artistas nacionais e internacionais que definem a cena musical contemporânea. Até 5.000 por dia. Bilhetes a partir de 5€.</t>
  </si>
  <si>
    <t>12h00-21h00</t>
  </si>
  <si>
    <t>MEO Marés Vivas</t>
  </si>
  <si>
    <t>Gaia</t>
  </si>
  <si>
    <t>Pop, Rock</t>
  </si>
  <si>
    <t>Food Court</t>
  </si>
  <si>
    <t>Festival de Pop em Gaia, cada Julho. Um dos maiores eventos culturais de Portugal, com alinhamentos de artistas nacionais e internacionais que definem a cena musical contemporânea. Até 40.000 por dia. Bilhetes a partir de 50€.</t>
  </si>
  <si>
    <t>17h00-03h00</t>
  </si>
  <si>
    <t>ID</t>
  </si>
  <si>
    <t>POI</t>
  </si>
  <si>
    <t>Categoria</t>
  </si>
  <si>
    <t>Subcategoria</t>
  </si>
  <si>
    <t>Notas</t>
  </si>
  <si>
    <t>Raridade</t>
  </si>
  <si>
    <t>Emoji</t>
  </si>
  <si>
    <t>Duração Áudio (seg)</t>
  </si>
  <si>
    <t>Estado</t>
  </si>
  <si>
    <t>NORTE_006</t>
  </si>
  <si>
    <t>Parque Nacional Peneda-Gerês</t>
  </si>
  <si>
    <t>Parque Nacional</t>
  </si>
  <si>
    <t>Braga / Viana do Castelo / Vila Real / Bragança</t>
  </si>
  <si>
    <t>Único Parque Nacional de Portugal Categoria: Natureza.</t>
  </si>
  <si>
    <t>Incomum</t>
  </si>
  <si>
    <t>🌿</t>
  </si>
  <si>
    <t>Ativo</t>
  </si>
  <si>
    <t>🎨 PROMPT A:
Parque Nacional Peneda-Gerês em Norte, arquitectura histórica portuguesa, luz quente da tarde, textura autêntica, realista natural, luz dourada portuguesa, desaturado cinematográfico, texturas autênticas, território como protagonista, 9:16 vertical
🎨 PROMPT B:
Detalhe de pedra e cal de Parque Nacional Peneda-Gerês em Norte, luz rasante, musgo, silêncio, realista natural, luz dourada portuguesa, desaturado cinematográfico, texturas autênticas, território como protagonista, 9:16 vertical</t>
  </si>
  <si>
    <t>CENTRO_005</t>
  </si>
  <si>
    <t>Parque Natural da Serra da Estrela</t>
  </si>
  <si>
    <t>Parque Natural</t>
  </si>
  <si>
    <t>Guarda / Covilhã / Seia</t>
  </si>
  <si>
    <t>Ponto mais alto de Portugal Continental Parque Natural em Guarda / Covilhã / Seia. Categoria: Natureza.</t>
  </si>
  <si>
    <t>LVT_003</t>
  </si>
  <si>
    <t>Parque Natural da Arrábida</t>
  </si>
  <si>
    <t>Setúbal</t>
  </si>
  <si>
    <t>Área marinha protegida Parque Natural em Setúbal. Categoria: Natureza.</t>
  </si>
  <si>
    <t>🎨 PROMPT A (plano geral / território):
Parque Natural da Arrábida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Parque Natural da Arrábida — granito cinzento-rosado, superfície autêntica portuguesa, luz rasante, luz quente da tarde, desaturado cinematográfico, realista natural, texturas autênticas, território como protagonista, 9:16 vertical</t>
  </si>
  <si>
    <t>ALENT_003</t>
  </si>
  <si>
    <t>Parque Natural do Sudoeste Alentejano e Costa Vicentina</t>
  </si>
  <si>
    <t>Odemira / Aljezur / Vila do Bispo</t>
  </si>
  <si>
    <t>Costa selvagem atlântica Parque Natural em Odemira / Aljezur / Vila do Bispo. Categoria: Natureza.</t>
  </si>
  <si>
    <t>🎨 PROMPT A (plano geral / território):
Parque Natural do Sudoeste Alentejano e Costa Vicentina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Parque Natural do Sudoeste Alentejano e Costa Vicentina — granito cinzento-rosado, superfície autêntica portuguesa, luz rasante, luz quente da tarde, desaturado cinematográfico, realista natural, texturas autênticas, território como protagonista, 9:16 vertical</t>
  </si>
  <si>
    <t>LVT_004</t>
  </si>
  <si>
    <t>Reserva Natural das Berlengas</t>
  </si>
  <si>
    <t>Reserva Natural</t>
  </si>
  <si>
    <t>Peniche, Leiria</t>
  </si>
  <si>
    <t>Reserva da Biosfera UNESCO Reserva Natural em Peniche. Categoria: Natureza.</t>
  </si>
  <si>
    <t>🎨 PROMPT A (plano geral / território):
Reserva Natural das Berlengas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Reserva Natural das Berlengas — granito cinzento-rosado, superfície autêntica portuguesa, luz rasante, luz quente da tarde, desaturado cinematográfico, realista natural, texturas autênticas, território como protagonista, 9:16 vertical</t>
  </si>
  <si>
    <t>CENTRO_006</t>
  </si>
  <si>
    <t>Reserva Natural das Dunas de S. Jacinto</t>
  </si>
  <si>
    <t>Aveiro</t>
  </si>
  <si>
    <t>Reserva Natural em Aveiro. Categoria: Natureza.</t>
  </si>
  <si>
    <t>🎨 PROMPT A (plano geral / território):
Reserva Natural das Dunas de S. Jacinto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Reserva Natural das Dunas de S. Jacinto — granito cinzento-rosado, superfície autêntica portuguesa, luz rasante, luz quente da tarde, desaturado cinematográfico, realista natural, texturas autênticas, território como protagonista, 9:16 vertical</t>
  </si>
  <si>
    <t>NORTE_007</t>
  </si>
  <si>
    <t>Reserva Natural do Litoral Norte</t>
  </si>
  <si>
    <t>Reserva Natural em Viana do Castelo. Categoria: Natureza.</t>
  </si>
  <si>
    <t>🎨 PROMPT A (plano geral / território):
Reserva Natural do Litoral Norte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Reserva Natural do Litoral Norte — granito cinzento-rosado, superfície autêntica portuguesa, luz rasante, luz quente da tarde, desaturado cinematográfico, realista natural, texturas autênticas, território como protagonista, 9:16 vertical</t>
  </si>
  <si>
    <t>CENTRO_007</t>
  </si>
  <si>
    <t>Monumento Natural do Cabo Mondego</t>
  </si>
  <si>
    <t>Monumento Natural</t>
  </si>
  <si>
    <t>Figueira da Foz, Coimbra</t>
  </si>
  <si>
    <t>Fósseis jurássicos Monumento Natural em Figueira da Foz. Categoria: Natureza.</t>
  </si>
  <si>
    <t>🎨 PROMPT A (plano geral / território):
Monumento Natural do Cabo Mondego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Monumento Natural do Cabo Mondego — granito cinzento-rosado, superfície autêntica portuguesa, luz rasante, luz quente da tarde, desaturado cinematográfico, realista natural, texturas autênticas, território como protagonista, 9:16 vertical</t>
  </si>
  <si>
    <t>CENTRO_008</t>
  </si>
  <si>
    <t>Geoparque Naturtejo - Meseta Meridional</t>
  </si>
  <si>
    <t>Geoparque</t>
  </si>
  <si>
    <t>Idanha-a-Nova, Castelo Branco</t>
  </si>
  <si>
    <t>Geoparque UNESCO Categoria: Natureza.</t>
  </si>
  <si>
    <t>🎨 PROMPT A (plano geral / território):
Geoparque Naturtejo - Meseta Meridional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Geoparque Naturtejo - Meseta Meridional — granito cinzento-rosado, superfície autêntica portuguesa, luz rasante, luz quente da tarde, desaturado cinematográfico, realista natural, texturas autênticas, território como protagonista, 9:16 vertical</t>
  </si>
  <si>
    <t>ACOR_001</t>
  </si>
  <si>
    <t>Geoparque Açores</t>
  </si>
  <si>
    <t>Arquipélago dos Açores</t>
  </si>
  <si>
    <t>🎨 PROMPT A (plano geral / território):
Geoparque Açores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Geoparque Açores — granito cinzento-rosado, superfície autêntica portuguesa, luz rasante, luz quente da tarde, desaturado cinematográfico, realista natural, texturas autênticas, território como protagonista, 9:16 vertical</t>
  </si>
  <si>
    <t>LVT_005</t>
  </si>
  <si>
    <t>Torre de Belém</t>
  </si>
  <si>
    <t>Monumentos e Património</t>
  </si>
  <si>
    <t>Património UNESCO</t>
  </si>
  <si>
    <t>Av. Brasília, 1400-038 Lisboa</t>
  </si>
  <si>
    <t>Património Mundial UNESCO Património UNESCO em Av. Brasília. Categoria: Monumentos e Património.</t>
  </si>
  <si>
    <t>Raro</t>
  </si>
  <si>
    <t>🏰</t>
  </si>
  <si>
    <t>🎨 PROMPT A (plano geral / território):
Torre de Belém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Torre de Belém — granito cinzento-rosado, superfície autêntica portuguesa, luz rasante, luz quente da tarde, desaturado cinematográfico, realista natural, texturas autênticas, território como protagonista, 9:16 vertical</t>
  </si>
  <si>
    <t>LVT_006</t>
  </si>
  <si>
    <t>Mosteiro dos Jerónimos</t>
  </si>
  <si>
    <t>Praça do Império, 1400-206 Lisboa</t>
  </si>
  <si>
    <t>Património Mundial UNESCO Património UNESCO em Praça do Império. Categoria: Monumentos e Património.</t>
  </si>
  <si>
    <t>🎨 PROMPT A (plano geral / território):
Mosteiro dos Jerónimos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Mosteiro dos Jerónimos — granito cinzento-rosado, superfície autêntica portuguesa, luz rasante, luz quente da tarde, desaturado cinematográfico, realista natural, texturas autênticas, território como protagonista, 9:16 vertical</t>
  </si>
  <si>
    <t>CENTRO_009</t>
  </si>
  <si>
    <t>Mosteiro da Batalha</t>
  </si>
  <si>
    <t>Batalha, Leiria</t>
  </si>
  <si>
    <t>Património Mundial UNESCO Património UNESCO em Batalha. Categoria: Monumentos e Património.</t>
  </si>
  <si>
    <t>🎨 PROMPT A (plano geral / território):
Mosteiro da Batalha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Mosteiro da Batalha — granito cinzento-rosado, superfície autêntica portuguesa, luz rasante, luz quente da tarde, desaturado cinematográfico, realista natural, texturas autênticas, território como protagonista, 9:16 vertical</t>
  </si>
  <si>
    <t>CENTRO_010</t>
  </si>
  <si>
    <t>Convento de Cristo, Tomar</t>
  </si>
  <si>
    <t>Tomar, Santarém</t>
  </si>
  <si>
    <t>GPS corrigido: Convento de Cristo (~600m erro original) | Património Mundial UNESCO Património UNESCO em Tomar. Categoria: Monumentos e Património.</t>
  </si>
  <si>
    <t>🎨 PROMPT A (plano geral / território):
Convento de Cristo, Tomar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Convento de Cristo, Tomar — granito cinzento-rosado, superfície autêntica portuguesa, luz rasante, luz quente da tarde, desaturado cinematográfico, realista natural, texturas autênticas, território como protagonista, 9:16 vertical</t>
  </si>
  <si>
    <t>ALENT_004</t>
  </si>
  <si>
    <t>Centro Histórico de Évora</t>
  </si>
  <si>
    <t>Évora</t>
  </si>
  <si>
    <t>Património Mundial UNESCO Património UNESCO em Évora. Categoria: Monumentos e Património.</t>
  </si>
  <si>
    <t>🎨 PROMPT A (plano geral / território):
Centro Histórico de Évora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Centro Histórico de Évora — granito cinzento-rosado, superfície autêntica portuguesa, luz rasante, luz quente da tarde, desaturado cinematográfico, realista natural, texturas autênticas, território como protagonista, 9:16 vertical</t>
  </si>
  <si>
    <t>LVT_007</t>
  </si>
  <si>
    <t>Palácio Nacional de Sintra</t>
  </si>
  <si>
    <t>Palácio</t>
  </si>
  <si>
    <t>Sintra, Lisboa</t>
  </si>
  <si>
    <t>Palácio em Sintra. Categoria: Monumentos e Património.</t>
  </si>
  <si>
    <t>🎨 PROMPT A (plano geral / território):
Palácio Nacional de Sintra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Palácio Nacional de Sintra — granito cinzento-rosado, superfície autêntica portuguesa, luz rasante, luz quente da tarde, desaturado cinematográfico, realista natural, texturas autênticas, território como protagonista, 9:16 vertical</t>
  </si>
  <si>
    <t>NORTE_008</t>
  </si>
  <si>
    <t>Castelo de Guimarães</t>
  </si>
  <si>
    <t>Castelo</t>
  </si>
  <si>
    <t>Guimarães, Braga</t>
  </si>
  <si>
    <t>Berço da Nação Castelo em Guimarães. Categoria: Monumentos e Património.</t>
  </si>
  <si>
    <t>🎨 PROMPT A (plano geral / território):
Castelo de Guimarães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Castelo de Guimarães — granito cinzento-rosado, superfície autêntica portuguesa, luz rasante, luz quente da tarde, desaturado cinematográfico, realista natural, texturas autênticas, território como protagonista, 9:16 vertical</t>
  </si>
  <si>
    <t>CENTRO_011</t>
  </si>
  <si>
    <t>Castelo de Almourol</t>
  </si>
  <si>
    <t>Vila Nova da Barquinha, Santarém</t>
  </si>
  <si>
    <t>GPS CORRIGIDO CRÍTICO: original 15km errado — apontava Ferreira do Zêzere | Castelo numa ilha do Tejo</t>
  </si>
  <si>
    <t>🎨 PROMPT A (plano geral / território):
Castelo de Almourol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Castelo de Almourol — granito cinzento-rosado, superfície autêntica portuguesa, luz rasante, luz quente da tarde, desaturado cinematográfico, realista natural, texturas autênticas, território como protagonista, 9:16 vertical</t>
  </si>
  <si>
    <t>ALENT_005</t>
  </si>
  <si>
    <t>Castelo de Marvão</t>
  </si>
  <si>
    <t>Marvão, Portalegre</t>
  </si>
  <si>
    <t>Castelo em Marvão. Categoria: Monumentos e Património.</t>
  </si>
  <si>
    <t>🎨 PROMPT A (plano geral / território):
Castelo de Marvão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Castelo de Marvão — granito cinzento-rosado, superfície autêntica portuguesa, luz rasante, luz quente da tarde, desaturado cinematográfico, realista natural, texturas autênticas, território como protagonista, 9:16 vertical</t>
  </si>
  <si>
    <t>CENTRO_012</t>
  </si>
  <si>
    <t>Aldeia Histórica de Monsanto</t>
  </si>
  <si>
    <t>Aldeias Históricas</t>
  </si>
  <si>
    <t>Aldeia</t>
  </si>
  <si>
    <t>Monsanto, Idanha-a-Nova, Castelo Branco</t>
  </si>
  <si>
    <t>A aldeia mais portuguesa de Portugal Aldeia em Monsanto. Categoria: Aldeias Históricas.</t>
  </si>
  <si>
    <t>🏘️</t>
  </si>
  <si>
    <t>🎨 PROMPT A (plano geral / território):
Aldeia Histórica de Monsanto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Aldeia Histórica de Monsanto — granito cinzento-rosado, superfície autêntica portuguesa, luz rasante, luz quente da tarde, desaturado cinematográfico, realista natural, texturas autênticas, território como protagonista, 9:16 vertical</t>
  </si>
  <si>
    <t>CENTRO_013</t>
  </si>
  <si>
    <t>Aldeia Histórica de Piódão</t>
  </si>
  <si>
    <t>Piódão, Arganil, Coimbra</t>
  </si>
  <si>
    <t>Aldeia de xisto Categoria: Aldeias Históricas.</t>
  </si>
  <si>
    <t>🎨 PROMPT A (plano geral / território):
Aldeia Histórica de Piódão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Aldeia Histórica de Piódão — granito cinzento-rosado, superfície autêntica portuguesa, luz rasante, luz quente da tarde, desaturado cinematográfico, realista natural, texturas autênticas, território como protagonista, 9:16 vertical</t>
  </si>
  <si>
    <t>CENTRO_014</t>
  </si>
  <si>
    <t>Aldeia Histórica de Sortelha</t>
  </si>
  <si>
    <t>Sortelha, Sabugal, Guarda</t>
  </si>
  <si>
    <t>Aldeia em Sortelha. Categoria: Aldeias Históricas.</t>
  </si>
  <si>
    <t>🎨 PROMPT A (plano geral / território):
Aldeia Histórica de Sortelha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Aldeia Histórica de Sortelha — granito cinzento-rosado, superfície autêntica portuguesa, luz rasante, luz quente da tarde, desaturado cinematográfico, realista natural, texturas autênticas, território como protagonista, 9:16 vertical</t>
  </si>
  <si>
    <t>NORTE_014</t>
  </si>
  <si>
    <t>Termas de Chaves</t>
  </si>
  <si>
    <t>Termas</t>
  </si>
  <si>
    <t>Chaves, Vila Real</t>
  </si>
  <si>
    <t>Águas termais sulfúreas Termas em Chaves. Categoria: Termas.</t>
  </si>
  <si>
    <t>♨️</t>
  </si>
  <si>
    <t>Protótipo ✓</t>
  </si>
  <si>
    <t>🎨 PROMPT A (plano geral / território):
Termas de Chaves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Termas de Chaves — granito cinzento-rosado, superfície autêntica portuguesa, luz rasante, luz quente da tarde, desaturado cinematográfico, realista natural, texturas autênticas, território como protagonista, 9:16 vertical</t>
  </si>
  <si>
    <t>LVT_010</t>
  </si>
  <si>
    <t>Termas do Estoril</t>
  </si>
  <si>
    <t>Estoril, Cascais, Lisboa</t>
  </si>
  <si>
    <t>Termas em Estoril. Categoria: Termas.</t>
  </si>
  <si>
    <t>🎨 PROMPT A (plano geral / território):
Termas do Estoril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Termas do Estoril — granito cinzento-rosado, superfície autêntica portuguesa, luz rasante, luz quente da tarde, desaturado cinematográfico, realista natural, texturas autênticas, território como protagonista, 9:16 vertical</t>
  </si>
  <si>
    <t>NORTE_015</t>
  </si>
  <si>
    <t>Cascata do Arado</t>
  </si>
  <si>
    <t>Cascata</t>
  </si>
  <si>
    <t>Parque Nacional Peneda-Gerês, Braga</t>
  </si>
  <si>
    <t>Cascata em Parque Nacional Peneda-Gerês. Categoria: Natureza.</t>
  </si>
  <si>
    <t>🎨 PROMPT A (plano geral / território):
Cascata do Arado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Cascata do Arado — granito cinzento-rosado, superfície autêntica portuguesa, luz rasante, luz quente da tarde, desaturado cinematográfico, realista natural, texturas autênticas, território como protagonista, 9:16 vertical</t>
  </si>
  <si>
    <t>CENTRO_017</t>
  </si>
  <si>
    <t>Fraga da Pena</t>
  </si>
  <si>
    <t>Arganil, Coimbra</t>
  </si>
  <si>
    <t>Cascata em Arganil. Categoria: Natureza.</t>
  </si>
  <si>
    <t>🎨 PROMPT A (plano geral / território):
Fraga da Pena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Fraga da Pena — granito cinzento-rosado, superfície autêntica portuguesa, luz rasante, luz quente da tarde, desaturado cinematográfico, realista natural, texturas autênticas, território como protagonista, 9:16 vertical</t>
  </si>
  <si>
    <t>LVT_011</t>
  </si>
  <si>
    <t>Praia Fluvial de Monsanto</t>
  </si>
  <si>
    <t>Rios e Ribeiras</t>
  </si>
  <si>
    <t>Praia Fluvial</t>
  </si>
  <si>
    <t>Monsanto, Lisboa</t>
  </si>
  <si>
    <t>Praia Fluvial em Monsanto. Categoria: Rios e Ribeiras.</t>
  </si>
  <si>
    <t>Comum</t>
  </si>
  <si>
    <t>🌊</t>
  </si>
  <si>
    <t>🎨 PROMPT A (plano geral / território):
Praia Fluvial de Monsanto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Praia Fluvial de Monsanto — granito cinzento-rosado, superfície autêntica portuguesa, luz rasante, luz quente da tarde, desaturado cinematográfico, realista natural, texturas autênticas, território como protagonista, 9:16 vertical</t>
  </si>
  <si>
    <t>CENTRO_018</t>
  </si>
  <si>
    <t>Praia Fluvial do Peneireiro</t>
  </si>
  <si>
    <t>Penacova, Coimbra</t>
  </si>
  <si>
    <t>Rio Mondego Praia Fluvial em Penacova. Categoria: Rios e Ribeiras.</t>
  </si>
  <si>
    <t>🎨 PROMPT A (plano geral / território):
Praia Fluvial do Peneireiro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Praia Fluvial do Peneireiro — granito cinzento-rosado, superfície autêntica portuguesa, luz rasante, luz quente da tarde, desaturado cinematográfico, realista natural, texturas autênticas, território como protagonista, 9:16 vertical</t>
  </si>
  <si>
    <t>LVT_012</t>
  </si>
  <si>
    <t>Azenhas do Mar</t>
  </si>
  <si>
    <t>Património</t>
  </si>
  <si>
    <t>Moinhos e Azenhas</t>
  </si>
  <si>
    <t>Aldeamento piscatório Moinhos e Azenhas em Sintra. Categoria: Património.</t>
  </si>
  <si>
    <t>📜</t>
  </si>
  <si>
    <t>🎨 PROMPT A (plano geral / território):
Azenhas do Mar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Azenhas do Mar — granito cinzento-rosado, superfície autêntica portuguesa, luz rasante, luz quente da tarde, desaturado cinematográfico, realista natural, texturas autênticas, território como protagonista, 9:16 vertical</t>
  </si>
  <si>
    <t>LVT_013</t>
  </si>
  <si>
    <t>Moinho de Vento do Forno do Telha</t>
  </si>
  <si>
    <t>Montijo, Setúbal</t>
  </si>
  <si>
    <t>Moinhos e Azenhas em Montijo. Categoria: Património.</t>
  </si>
  <si>
    <t>🎨 PROMPT A (plano geral / território):
Moinho de Vento do Forno do Telha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Moinho de Vento do Forno do Telha — granito cinzento-rosado, superfície autêntica portuguesa, luz rasante, luz quente da tarde, desaturado cinematográfico, realista natural, texturas autênticas, território como protagonista, 9:16 vertical</t>
  </si>
  <si>
    <t>LVT_014</t>
  </si>
  <si>
    <t>Quinta Pedagógica dos Olivais</t>
  </si>
  <si>
    <t>Turismo Rural</t>
  </si>
  <si>
    <t>Quinta</t>
  </si>
  <si>
    <t>Olivais, Lisboa</t>
  </si>
  <si>
    <t>Quinta em Olivais. Categoria: Turismo Rural.</t>
  </si>
  <si>
    <t>🌾</t>
  </si>
  <si>
    <t>🎨 PROMPT A (plano geral / território):
Quinta Pedagógica dos Olivais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Quinta Pedagógica dos Olivais — granito cinzento-rosado, superfície autêntica portuguesa, luz rasante, luz quente da tarde, desaturado cinematográfico, realista natural, texturas autênticas, território como protagonista, 9:16 vertical</t>
  </si>
  <si>
    <t>LVT_015</t>
  </si>
  <si>
    <t>Peninha - Lenda da Moura Encantada</t>
  </si>
  <si>
    <t>Lendas e Mitos</t>
  </si>
  <si>
    <t>Local Lendário</t>
  </si>
  <si>
    <t>Peninha, Sintra, Lisboa</t>
  </si>
  <si>
    <t>Local Lendário em Peninha. Categoria: Lendas e Mitos.</t>
  </si>
  <si>
    <t>👻</t>
  </si>
  <si>
    <t>🎨 PROMPT A (plano geral / território):
Peninha - Lenda da Moura Encantada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Peninha - Lenda da Moura Encantada — granito cinzento-rosado, superfície autêntica portuguesa, luz rasante, luz quente da tarde, desaturado cinematográfico, realista natural, texturas autênticas, território como protagonista, 9:16 vertical</t>
  </si>
  <si>
    <t>CENTRO_019</t>
  </si>
  <si>
    <t>Dark Sky Aldeias do Xisto</t>
  </si>
  <si>
    <t>Astronomia</t>
  </si>
  <si>
    <t>Observação Astronómica</t>
  </si>
  <si>
    <t>Aldeias do Xisto, Castelo Branco</t>
  </si>
  <si>
    <t>Reserva Dark Sky Observação Astronómica em Aldeias do Xisto. Categoria: Astronomia.</t>
  </si>
  <si>
    <t>Épico</t>
  </si>
  <si>
    <t>⭐</t>
  </si>
  <si>
    <t>🎨 PROMPT A (plano geral / território):
Dark Sky Aldeias do Xisto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Dark Sky Aldeias do Xisto — granito cinzento-rosado, superfície autêntica portuguesa, luz rasante, luz quente da tarde, desaturado cinematográfico, realista natural, texturas autênticas, território como protagonista, 9:16 vertical</t>
  </si>
  <si>
    <t>LVT_016</t>
  </si>
  <si>
    <t>Observatório Astronómico de Lisboa</t>
  </si>
  <si>
    <t>Observatório</t>
  </si>
  <si>
    <t>Tapada da Ajuda, 1349-018 Lisboa</t>
  </si>
  <si>
    <t>Observatório em Tapada da Ajuda. Categoria: Astronomia.</t>
  </si>
  <si>
    <t>🎨 PROMPT A (plano geral / território):
Observatório Astronómico de Lisboa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Observatório Astronómico de Lisboa — granito cinzento-rosado, superfície autêntica portuguesa, luz rasante, luz quente da tarde, desaturado cinematográfico, realista natural, texturas autênticas, território como protagonista, 9:16 vertical</t>
  </si>
  <si>
    <t>NORTE_018</t>
  </si>
  <si>
    <t>Serra de Montemuro - Cogumelos</t>
  </si>
  <si>
    <t>Cogumelos e Míscaros</t>
  </si>
  <si>
    <t>Cinfães / Castro Daire, Viseu</t>
  </si>
  <si>
    <t>Área rica em cogumelos autóctones Cogumelos e Míscaros em Cinfães / Castro Daire. Categoria: Natureza.</t>
  </si>
  <si>
    <t>🎨 PROMPT A (plano geral / território):
Serra de Montemuro - Cogumelos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Serra de Montemuro - Cogumelos — granito cinzento-rosado, superfície autêntica portuguesa, luz rasante, luz quente da tarde, desaturado cinematográfico, realista natural, texturas autênticas, território como protagonista, 9:16 vertical</t>
  </si>
  <si>
    <t>CENTRO_020</t>
  </si>
  <si>
    <t>Santuário de Fátima</t>
  </si>
  <si>
    <t>Turismo Religioso</t>
  </si>
  <si>
    <t>Santuário</t>
  </si>
  <si>
    <t>Fátima, Ourém, Santarém</t>
  </si>
  <si>
    <t>Um dos mais visitados do mundo Santuário em Fátima. Categoria: Turismo Religioso.</t>
  </si>
  <si>
    <t>⛪</t>
  </si>
  <si>
    <t>🎨 PROMPT A (plano geral / território):
Santuário de Fátima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Santuário de Fátima — granito cinzento-rosado, superfície autêntica portuguesa, luz rasante, luz quente da tarde, desaturado cinematográfico, realista natural, texturas autênticas, território como protagonista, 9:16 vertical</t>
  </si>
  <si>
    <t>NORTE_020</t>
  </si>
  <si>
    <t>Bom Jesus do Monte</t>
  </si>
  <si>
    <t>Braga</t>
  </si>
  <si>
    <t>Património Mundial UNESCO Santuário em Braga. Categoria: Turismo Religioso.</t>
  </si>
  <si>
    <t>🎨 PROMPT A (plano geral / território):
Bom Jesus do Monte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Bom Jesus do Monte — granito cinzento-rosado, superfície autêntica portuguesa, luz rasante, luz quente da tarde, desaturado cinematográfico, realista natural, texturas autênticas, território como protagonista, 9:16 vertical</t>
  </si>
  <si>
    <t>CENTRO_050</t>
  </si>
  <si>
    <t>Moura Encantada do Castelo de Leiria</t>
  </si>
  <si>
    <t>Castelo de Leiria, Leiria</t>
  </si>
  <si>
    <t>Surge nas noites de lua cheia. Tesouro escondido nas masmorras. Local Lendário em Castelo de Leiria. Categoria: Lendas e Mitos.</t>
  </si>
  <si>
    <t>🎨 PROMPT A (plano geral / território):
Moura Encantada do Castelo de Leiria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Moura Encantada do Castelo de Leiria — granito cinzento-rosado, superfície autêntica portuguesa, luz rasante, luz quente da tarde, desaturado cinematográfico, realista natural, texturas autênticas, território como protagonista, 9:16 vertical</t>
  </si>
  <si>
    <t>ACOR_009</t>
  </si>
  <si>
    <t>São Miguel, Açores</t>
  </si>
  <si>
    <t>Princesa de olhos azuis e pastor de olhos verdes. Amor impossível. Local Lendário em São Miguel. Categoria: Lendas e Mitos.</t>
  </si>
  <si>
    <t>LVT_036</t>
  </si>
  <si>
    <t>Gigante Adamastor / Cabo da Roca</t>
  </si>
  <si>
    <t>Cabo da Roca, Sintra</t>
  </si>
  <si>
    <t>Imortalizado por Camões n'Os Lusíadas. Guardião dos mares. Local Lendário em Cabo da Roca. Categoria: Lendas e Mitos.</t>
  </si>
  <si>
    <t>🎨 PROMPT A (plano geral / território):
Gigante Adamastor / Cabo da Roca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Gigante Adamastor / Cabo da Roca — granito cinzento-rosado, superfície autêntica portuguesa, luz rasante, luz quente da tarde, desaturado cinematográfico, realista natural, texturas autênticas, território como protagonista, 9:16 vertical</t>
  </si>
  <si>
    <t>NORTE_059</t>
  </si>
  <si>
    <t>Moura do Santuário da Peneda</t>
  </si>
  <si>
    <t>Santuário da Peneda, Melgaço, Gerês</t>
  </si>
  <si>
    <t>Freira transformada em pedra como punição divina. Local Lendário em Santuário da Peneda. Categoria: Lendas e Mitos.</t>
  </si>
  <si>
    <t>🎨 PROMPT A (plano geral / território):
Moura do Santuário da Peneda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Moura do Santuário da Peneda — granito cinzento-rosado, superfície autêntica portuguesa, luz rasante, luz quente da tarde, desaturado cinematográfico, realista natural, texturas autênticas, território como protagonista, 9:16 vertical</t>
  </si>
  <si>
    <t>CENTRO_051</t>
  </si>
  <si>
    <t>Inês de Castro - Mosteiro de Alcobaça</t>
  </si>
  <si>
    <t>Mosteiro de Alcobaça, Alcobaça</t>
  </si>
  <si>
    <t>Rainha morta coroada por D. Pedro I. Túmulos frente a frente. Local Lendário em Mosteiro de Alcobaça. Categoria: Lendas e Mitos.</t>
  </si>
  <si>
    <t>🎨 PROMPT A (plano geral / território):
Inês de Castro - Mosteiro de Alcobaça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Inês de Castro - Mosteiro de Alcobaça — granito cinzento-rosado, superfície autêntica portuguesa, luz rasante, luz quente da tarde, desaturado cinematográfico, realista natural, texturas autênticas, território como protagonista, 9:16 vertical</t>
  </si>
  <si>
    <t>NORTE_060</t>
  </si>
  <si>
    <t>Galo de Barcelos - Local da Lenda</t>
  </si>
  <si>
    <t>Barcelos, Braga</t>
  </si>
  <si>
    <t>Peregrino salvo pelo galo assado ressuscitado. Símbolo nacional. Local Lendário em Barcelos. Categoria: Lendas e Mitos.</t>
  </si>
  <si>
    <t>🐓</t>
  </si>
  <si>
    <t>🎨 PROMPT A (plano geral / território):
Galo de Barcelos - Local da Lenda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Galo de Barcelos - Local da Lenda — granito cinzento-rosado, superfície autêntica portuguesa, luz rasante, luz quente da tarde, desaturado cinematográfico, realista natural, texturas autênticas, território como protagonista, 9:16 vertical</t>
  </si>
  <si>
    <t>CENTRO_052</t>
  </si>
  <si>
    <t>Mouros do Castelo de Almourol</t>
  </si>
  <si>
    <t>Castelo de Almourol, Vila Nova da Barquinha</t>
  </si>
  <si>
    <t>Cavaleiros templários e mouros encantados. Tesouros escondidos. Local Lendário em Castelo de Almourol. Categoria: Lendas e Mitos.</t>
  </si>
  <si>
    <t>🎨 PROMPT A (plano geral / território):
Mouros do Castelo de Almourol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Mouros do Castelo de Almourol — granito cinzento-rosado, superfície autêntica portuguesa, luz rasante, luz quente da tarde, desaturado cinematográfico, realista natural, texturas autênticas, território como protagonista, 9:16 vertical</t>
  </si>
  <si>
    <t>CENTRO_053</t>
  </si>
  <si>
    <t>Sereia da Nazaré</t>
  </si>
  <si>
    <t>Nazaré, Leiria</t>
  </si>
  <si>
    <t>Sereia apaixonada pelo pescador. Ondas gigantes do Canhão. Local Lendário em Nazaré. Categoria: Lendas e Mitos.</t>
  </si>
  <si>
    <t>🎨 PROMPT A (plano geral / território):
Sereia da Nazaré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Sereia da Nazaré — granito cinzento-rosado, superfície autêntica portuguesa, luz rasante, luz quente da tarde, desaturado cinematográfico, realista natural, texturas autênticas, território como protagonista, 9:16 vertical</t>
  </si>
  <si>
    <t>LVT_037</t>
  </si>
  <si>
    <t>Sebastianismo - D. Sebastião</t>
  </si>
  <si>
    <t>Tânger (origem do mito)</t>
  </si>
  <si>
    <t>Regresso em manhã de nevoeiro para restaurar grandeza de Portugal. Local Lendário em Tânger (origem do mito). Categoria: Lendas e Mitos.</t>
  </si>
  <si>
    <t>🎨 PROMPT A (plano geral / território):
Sebastianismo - D. Sebastião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Sebastianismo - D. Sebastião — granito cinzento-rosado, superfície autêntica portuguesa, luz rasante, luz quente da tarde, desaturado cinematográfico, realista natural, texturas autênticas, território como protagonista, 9:16 vertical</t>
  </si>
  <si>
    <t>NORTE_061</t>
  </si>
  <si>
    <t>Lobisomem de Trás-os-Montes</t>
  </si>
  <si>
    <t>Região de Bragança, Trás-os-Montes</t>
  </si>
  <si>
    <t>Sétimos filhos transformados em lobos na lua cheia. Local Lendário em Região de Bragança. Categoria: Lendas e Mitos.</t>
  </si>
  <si>
    <t>🎨 PROMPT A (plano geral / território):
Lobisomem de Trás-os-Montes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Lobisomem de Trás-os-Montes — granito cinzento-rosado, superfície autêntica portuguesa, luz rasante, luz quente da tarde, desaturado cinematográfico, realista natural, texturas autênticas, território como protagonista, 9:16 vertical</t>
  </si>
  <si>
    <t>CENTRO_054</t>
  </si>
  <si>
    <t>Rainha Santa Isabel - Milagre das Rosas</t>
  </si>
  <si>
    <t>Mosteiro de Santa Clara-a-Velha, Coimbra</t>
  </si>
  <si>
    <t>Pão transformado em rosas. Identidade coimbrã. Local Lendário em Mosteiro de Santa Clara-a-Velha. Categoria: Lendas e Mitos.</t>
  </si>
  <si>
    <t>🎨 PROMPT A (plano geral / território):
Rainha Santa Isabel - Milagre das Rosas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Rainha Santa Isabel - Milagre das Rosas — granito cinzento-rosado, superfície autêntica portuguesa, luz rasante, luz quente da tarde, desaturado cinematográfico, realista natural, texturas autênticas, território como protagonista, 9:16 vertical</t>
  </si>
  <si>
    <t>CENTRO_055</t>
  </si>
  <si>
    <t>Cavaleiro de Óbidos</t>
  </si>
  <si>
    <t>Vila de Óbidos</t>
  </si>
  <si>
    <t>Cavaleiro templário amaldiçoado cavalga pelas muralhas. Local Lendário em Vila de Óbidos. Categoria: Lendas e Mitos.</t>
  </si>
  <si>
    <t>🎨 PROMPT A (plano geral / território):
Cavaleiro de Óbidos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Cavaleiro de Óbidos — granito cinzento-rosado, superfície autêntica portuguesa, luz rasante, luz quente da tarde, desaturado cinematográfico, realista natural, texturas autênticas, território como protagonista, 9:16 vertical</t>
  </si>
  <si>
    <t>CENTRO_056</t>
  </si>
  <si>
    <t>Gigantes de Monsanto</t>
  </si>
  <si>
    <t>Gigantes que viraram penedos. Explica geologia dramática de Monsanto. Local Lendário em Monsanto. Categoria: Lendas e Mitos.</t>
  </si>
  <si>
    <t>🎨 PROMPT A (plano geral / território):
Gigantes de Monsanto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Gigantes de Monsanto — granito cinzento-rosado, superfície autêntica portuguesa, luz rasante, luz quente da tarde, desaturado cinematográfico, realista natural, texturas autênticas, território como protagonista, 9:16 vertical</t>
  </si>
  <si>
    <t>NORTE_062</t>
  </si>
  <si>
    <t>Dama Pé-de-Cabra - Entre Douro e Minho</t>
  </si>
  <si>
    <t>Entre Douro e Minho</t>
  </si>
  <si>
    <t>Mulher com pé de cabra. Imortalizada por Alexandre Herculano. Local Lendário em Entre Douro e Minho. Categoria: Lendas e Mitos.</t>
  </si>
  <si>
    <t>🎨 PROMPT A (plano geral / território):
Dama Pé-de-Cabra - Entre Douro e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Dama Pé-de-Cabra - Entre Douro e Minho — granito cinzento-rosado, superfície autêntica portuguesa, luz rasante, luz quente da tarde, desaturado cinematográfico, realista natural, texturas autênticas, território como protagonista, 9:16 vertical</t>
  </si>
  <si>
    <t>LVT_038</t>
  </si>
  <si>
    <t>Fantamas do Convento do Carmo</t>
  </si>
  <si>
    <t>Convento do Carmo, Lisboa</t>
  </si>
  <si>
    <t>Freiras do terramoto de 1755 assombram as ruínas. Local Lendário em Convento do Carmo. Categoria: Lendas e Mitos.</t>
  </si>
  <si>
    <t>🎨 PROMPT A (plano geral / território):
Fantamas do Convento do Carmo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Fantamas do Convento do Carmo — granito cinzento-rosado, superfície autêntica portuguesa, luz rasante, luz quente da tarde, desaturado cinematográfico, realista natural, texturas autênticas, território como protagonista, 9:16 vertical</t>
  </si>
  <si>
    <t>ALGAR_016</t>
  </si>
  <si>
    <t>Tesouro dos Mouros de Silves</t>
  </si>
  <si>
    <t>Castelo de Silves, Silves</t>
  </si>
  <si>
    <t>Porta de ouro abre na noite de São João. Memória do reino taifa. Local Lendário em Castelo de Silves. Categoria: Lendas e Mitos.</t>
  </si>
  <si>
    <t>🎨 PROMPT A (plano geral / território):
Tesouro dos Mouros de Silves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Tesouro dos Mouros de Silves — granito cinzento-rosado, superfície autêntica portuguesa, luz rasante, luz quente da tarde, desaturado cinematográfico, realista natural, texturas autênticas, território como protagonista, 9:16 vertical</t>
  </si>
  <si>
    <t>NORTE_063</t>
  </si>
  <si>
    <t>Coca de Monção - Dragão do Minho</t>
  </si>
  <si>
    <t>Monção, Viana do Castelo</t>
  </si>
  <si>
    <t>Dragão vencido por São Tiago. Protagonista das Festas do Corpo de Deus. Local Lendário em Monção. Categoria: Lendas e Mitos.</t>
  </si>
  <si>
    <t>🎨 PROMPT A (plano geral / território):
Coca de Monção - Dragão do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Coca de Monção - Dragão do Minho — granito cinzento-rosado, superfície autêntica portuguesa, luz rasante, luz quente da tarde, desaturado cinematográfico, realista natural, texturas autênticas, território como protagonista, 9:16 vertical</t>
  </si>
  <si>
    <t>ALENT_026</t>
  </si>
  <si>
    <t>Mouro Velho de Mértola</t>
  </si>
  <si>
    <t>Mértola, Beja</t>
  </si>
  <si>
    <t>Sábio mouro alquimista. Coexistência cultural. Arquitetura islâmica preservada. Local Lendário em Mértola. Categoria: Lendas e Mitos.</t>
  </si>
  <si>
    <t>🎨 PROMPT A (plano geral / território):
Mouro Velho de Mértola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Mouro Velho de Mértola — granito cinzento-rosado, superfície autêntica portuguesa, luz rasante, luz quente da tarde, desaturado cinematográfico, realista natural, texturas autênticas, território como protagonista, 9:16 vertical</t>
  </si>
  <si>
    <t>LVT_039</t>
  </si>
  <si>
    <t>Nau Catrineta - Lenda Marítima</t>
  </si>
  <si>
    <t>Lisboa (tradição marítima nacional)</t>
  </si>
  <si>
    <t>Navio fantasma. Versão portuguesa do Holandês Voador. Local Lendário em Lisboa (tradição marítima nacional). Categoria: Lendas e Mitos.</t>
  </si>
  <si>
    <t>🎨 PROMPT A (plano geral / território):
Nau Catrineta - Lenda Marítima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Nau Catrineta - Lenda Marítima — granito cinzento-rosado, superfície autêntica portuguesa, luz rasante, luz quente da tarde, desaturado cinematográfico, realista natural, texturas autênticas, território como protagonista, 9:16 vertical</t>
  </si>
  <si>
    <t>CENTRO_057</t>
  </si>
  <si>
    <t>Almas Penadas do Convento de Cristo</t>
  </si>
  <si>
    <t>Cavaleiros templários regressam na Sexta-feira Santa. Local Lendário em Convento de Cristo. Categoria: Lendas e Mitos.</t>
  </si>
  <si>
    <t>🎨 PROMPT A (plano geral / território):
Almas Penadas do Convento de Cristo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Almas Penadas do Convento de Cristo — granito cinzento-rosado, superfície autêntica portuguesa, luz rasante, luz quente da tarde, desaturado cinematográfico, realista natural, texturas autênticas, território como protagonista, 9:16 vertical</t>
  </si>
  <si>
    <t>CENTRO_058</t>
  </si>
  <si>
    <t>Frade Negro da Batalha</t>
  </si>
  <si>
    <t>Mosteiro da Batalha, Batalha</t>
  </si>
  <si>
    <t>Monge que violou votos vagueia pelo mosteiro. Capelas imperfeitas. Local Lendário em Mosteiro da Batalha. Categoria: Lendas e Mitos.</t>
  </si>
  <si>
    <t>🎨 PROMPT A (plano geral / território):
Frade Negro da Batalha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Frade Negro da Batalha — granito cinzento-rosado, superfície autêntica portuguesa, luz rasante, luz quente da tarde, desaturado cinematográfico, realista natural, texturas autênticas, território como protagonista, 9:16 vertical</t>
  </si>
  <si>
    <t>ACOR_010</t>
  </si>
  <si>
    <t>Lagoa das Sete Cidades - Mirante</t>
  </si>
  <si>
    <t>Miradouro</t>
  </si>
  <si>
    <t>Sete Cidades, São Miguel, Açores</t>
  </si>
  <si>
    <t>Lagoa azul e verde. Vista panorâmica sobre a caldeira. Miradouro em Sete Cidades. Categoria: Natureza.</t>
  </si>
  <si>
    <t>🎨 PROMPT A (plano geral / território):
Lagoa das Sete Cidades - Mirante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Lagoa das Sete Cidades - Mirante — granito cinzento-rosado, superfície autêntica portuguesa, luz rasante, luz quente da tarde, desaturado cinematográfico, realista natural, texturas autênticas, território como protagonista, 9:16 vertical</t>
  </si>
  <si>
    <t>NORTE_064</t>
  </si>
  <si>
    <t>Lavadeiras da Noite - Rio Minho</t>
  </si>
  <si>
    <t>Rios do Minho, Viana do Castelo</t>
  </si>
  <si>
    <t>Fantasmas femininos que lavam mortalhas. Anunciam morte próxima. Local Lendário em Rios do Minho. Categoria: Lendas e Mitos.</t>
  </si>
  <si>
    <t>🎨 PROMPT A (plano geral / território):
Lavadeiras da Noite - Rio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Lavadeiras da Noite - Rio Minho — granito cinzento-rosado, superfície autêntica portuguesa, luz rasante, luz quente da tarde, desaturado cinematográfico, realista natural, texturas autênticas, território como protagonista, 9:16 vertical</t>
  </si>
  <si>
    <t>NAT_001</t>
  </si>
  <si>
    <t>Parque Natural de Montesinho</t>
  </si>
  <si>
    <t>Bragança / Vinhais, Trás-os-Montes</t>
  </si>
  <si>
    <t>Área protegida com mais de 200 espécies de cogumelos comestíveis. Aldeia de Rio de Onor com vida comunitária única. Florestas de carvalho-negral e castanheiros centenários. Habitat do lobo-ibérico. Época ideal: outono (set-nov).</t>
  </si>
  <si>
    <t>🌲</t>
  </si>
  <si>
    <t>🎨 PROMPT A (plano geral / território):
Parque Natural de Montesinho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Parque Natural de Montesinho — granito cinzento-rosado, superfície autêntica portuguesa, luz rasante, luz quente da tarde, desaturado cinematográfico, realista natural, texturas autênticas, território como protagonista, 9:16 vertical</t>
  </si>
  <si>
    <t>NAT_002</t>
  </si>
  <si>
    <t>Sistelo — Socalcos do Tibete Português</t>
  </si>
  <si>
    <t>Paisagem Cultural</t>
  </si>
  <si>
    <t>Sistelo, Arcos de Valdevez, Viana do Castelo</t>
  </si>
  <si>
    <t>Considerado o 'Tibete português'. Terraços (socalcos) agrícolas em anfiteatro sobre o Rio Vez. Património paisagístico excecional no limite do Parque Nacional da Peneda-Gerês. Museu da Água ao Ar Livre integrado.</t>
  </si>
  <si>
    <t>🎨 PROMPT A (plano geral / território):
Sistelo — Socalcos do Tibete Português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Sistelo — Socalcos do Tibete Português — granito cinzento-rosado, superfície autêntica portuguesa, luz rasante, luz quente da tarde, desaturado cinematográfico, realista natural, texturas autênticas, território como protagonista, 9:16 vertical</t>
  </si>
  <si>
    <t>NAT_003</t>
  </si>
  <si>
    <t>Lindoso — Espigueiros e Castelo</t>
  </si>
  <si>
    <t>Património Rural</t>
  </si>
  <si>
    <t>Lindoso, Ponte da Barca, Viana do Castelo</t>
  </si>
  <si>
    <t>Maior conjunto de espigueiros de granito da Península Ibérica. Castelo medieval. Saber agrícola secular para secagem do milho. Porta de entrada para o Parque Nacional da Peneda-Gerês.</t>
  </si>
  <si>
    <t>🌽</t>
  </si>
  <si>
    <t>🎨 PROMPT A (plano geral / território):
Lindoso — Espigueiros e Castelo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Lindoso — Espigueiros e Castelo — granito cinzento-rosado, superfície autêntica portuguesa, luz rasante, luz quente da tarde, desaturado cinematográfico, realista natural, texturas autênticas, território como protagonista, 9:16 vertical</t>
  </si>
  <si>
    <t>NAT_004</t>
  </si>
  <si>
    <t>Serra da Estrela — Rota das Faias</t>
  </si>
  <si>
    <t>Paisagem / Trilho</t>
  </si>
  <si>
    <t>Manteigas, Guarda</t>
  </si>
  <si>
    <t>Bosque de faias com cores vibrantes no outono. Aldeia de Sabugueiro — a mais alta de Portugal. Vale Glaciar do Zêzere e Covão d'Ametade como geossítios de valor científico excecional.</t>
  </si>
  <si>
    <t>🏔️</t>
  </si>
  <si>
    <t>🎨 PROMPT A (plano geral / território):
Serra da Estrela — Rota das Faias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Serra da Estrela — Rota das Faias — granito cinzento-rosado, superfície autêntica portuguesa, luz rasante, luz quente da tarde, desaturado cinematográfico, realista natural, texturas autênticas, território como protagonista, 9:16 vertical</t>
  </si>
  <si>
    <t>NAT_005</t>
  </si>
  <si>
    <t>Piódão — Aldeia de Xisto</t>
  </si>
  <si>
    <t>Aldeia Histórica</t>
  </si>
  <si>
    <t>Construída inteiramente em xisto, assemelha-se a um presépio. Ícone do isolamento geográfico que preservou a arquitetura tradicional. Integrada na Rede de Aldeias de Xisto.</t>
  </si>
  <si>
    <t>🎨 PROMPT A (plano geral / território):
Piódão — Aldeia de Xisto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Piódão — Aldeia de Xisto — granito cinzento-rosado, superfície autêntica portuguesa, luz rasante, luz quente da tarde, desaturado cinematográfico, realista natural, texturas autênticas, território como protagonista, 9:16 vertical</t>
  </si>
  <si>
    <t>NAT_006</t>
  </si>
  <si>
    <t>Monsanto — Aldeia de Granito</t>
  </si>
  <si>
    <t>A 'aldeia mais portuguesa de Portugal'. Casas fundidas com enormes blocos de granito. Adaptação humana única ao meio natural. Castelo medieval no cume da colina.</t>
  </si>
  <si>
    <t>🪨</t>
  </si>
  <si>
    <t>🎨 PROMPT A (plano geral / território):
Monsanto — Aldeia de Granito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Monsanto — Aldeia de Granito — granito cinzento-rosado, superfície autêntica portuguesa, luz rasante, luz quente da tarde, desaturado cinematográfico, realista natural, texturas autênticas, território como protagonista, 9:16 vertical</t>
  </si>
  <si>
    <t>NAT_009</t>
  </si>
  <si>
    <t>Dark Sky Alqueva — Cumeada</t>
  </si>
  <si>
    <t>Astroturismo</t>
  </si>
  <si>
    <t>Cumeada, Reguengos de Monsaraz</t>
  </si>
  <si>
    <t>Primeira reserva Dark Sky do mundo (2011). Melhor lugar de Portugal para observação do céu noturno. Custo: 15-25€. Alqueva Dark Sky certified.</t>
  </si>
  <si>
    <t>🎨 PROMPT A (plano geral / território):
Dark Sky Alqueva — Cumeada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Dark Sky Alqueva — Cumeada — granito cinzento-rosado, superfície autêntica portuguesa, luz rasante, luz quente da tarde, desaturado cinematográfico, realista natural, texturas autênticas, território como protagonista, 9:16 vertical</t>
  </si>
  <si>
    <t>NAT_011</t>
  </si>
  <si>
    <t>Naturtejo Geopark UNESCO</t>
  </si>
  <si>
    <t>Geologia</t>
  </si>
  <si>
    <t>Castelo Branco</t>
  </si>
  <si>
    <t>Geoparque membro da Rede Global de Geoparques UNESCO. Inclui Portas de Ródão, Penha Garcia e Monsanto. naturtejo.com Tel: 272320176</t>
  </si>
  <si>
    <t>🎨 PROMPT A (plano geral / território):
Naturtejo Geopark UNESCO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Naturtejo Geopark UNESCO — granito cinzento-rosado, superfície autêntica portuguesa, luz rasante, luz quente da tarde, desaturado cinematográfico, realista natural, texturas autênticas, território como protagonista, 9:16 vertical</t>
  </si>
  <si>
    <t>NAT_014</t>
  </si>
  <si>
    <t>Castro Verde — Aves Estepárias</t>
  </si>
  <si>
    <t>Birdwatching</t>
  </si>
  <si>
    <t>Área de Observação</t>
  </si>
  <si>
    <t>Castro Verde, Beja</t>
  </si>
  <si>
    <t>Capital europeia das aves estepárias. Abetarda, sisão, cortiçol. LPN (Liga Protecção Natureza). Tel: 286328305. Melhor época: primavera.</t>
  </si>
  <si>
    <t>🦅</t>
  </si>
  <si>
    <t>🎨 PROMPT A (plano geral / território):
Castro Verde — Aves Estepárias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Castro Verde — Aves Estepárias — granito cinzento-rosado, superfície autêntica portuguesa, luz rasante, luz quente da tarde, desaturado cinematográfico, realista natural, texturas autênticas, território como protagonista, 9:16 vertical</t>
  </si>
  <si>
    <t>MAD_001</t>
  </si>
  <si>
    <t>Interior da Madeira</t>
  </si>
  <si>
    <t>https://www.icnf.pt Natureza em Parque Natural. Categoria: Madeira.</t>
  </si>
  <si>
    <t>Floresta Laurissilva UNESCO — 4400 espécies endémicas. Pombo-trocaz e Freira-da-Madeira.</t>
  </si>
  <si>
    <t>⭐ Épico</t>
  </si>
  <si>
    <t>110</t>
  </si>
  <si>
    <t>🎨 PROMPT A (plano geral / território):
MAD_001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MAD_001 — granito cinzento-rosado, superfície autêntica portuguesa, luz rasante, luz quente da tarde, desaturado cinematográfico, realista natural, texturas autênticas, território como protagonista, 9:16 vertical</t>
  </si>
  <si>
    <t>MAD_002</t>
  </si>
  <si>
    <t>Percurso Cultural</t>
  </si>
  <si>
    <t>Levada Histórica</t>
  </si>
  <si>
    <t>Calheta, Madeira</t>
  </si>
  <si>
    <t>https://visitmadeira.com Percurso Cultural em Levada Histórica. Categoria: Madeira.</t>
  </si>
  <si>
    <t>Sistema de irrigação do séc. XVIII. Teixos de 800 anos na Reserva Florestal do Rabaçal.</t>
  </si>
  <si>
    <t>💧</t>
  </si>
  <si>
    <t>95</t>
  </si>
  <si>
    <t>🎨 PROMPT A (plano geral / território):
MAD_002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MAD_002 — granito cinzento-rosado, superfície autêntica portuguesa, luz rasante, luz quente da tarde, desaturado cinematográfico, realista natural, texturas autênticas, território como protagonista, 9:16 vertical</t>
  </si>
  <si>
    <t>MAD_003</t>
  </si>
  <si>
    <t>Vila Isolada</t>
  </si>
  <si>
    <t>Câmara de Lobos, Madeira</t>
  </si>
  <si>
    <t>https://visitmadeira.com Aldeias Históricas em Vila Isolada. Categoria: Madeira.</t>
  </si>
  <si>
    <t>Aldeia escondida numa caldeira vulcânica. Fundada pelas freiras de Santa Clara a fugir piratas séc. XVI. Só acessível por estrada desde 1959.</t>
  </si>
  <si>
    <t>85</t>
  </si>
  <si>
    <t>🎨 PROMPT A (plano geral / território):
MAD_003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MAD_003 — granito cinzento-rosado, superfície autêntica portuguesa, luz rasante, luz quente da tarde, desaturado cinematográfico, realista natural, texturas autênticas, território como protagonista, 9:16 vertical</t>
  </si>
  <si>
    <t>MAD_004</t>
  </si>
  <si>
    <t>Jardins Históricos</t>
  </si>
  <si>
    <t>Jardim Botânico</t>
  </si>
  <si>
    <t>Monte, Funchal</t>
  </si>
  <si>
    <t>https://montepalace.com Jardins Históricos em Jardim Botânico. Categoria: Madeira.</t>
  </si>
  <si>
    <t>Jardim de 70 000 m² no Monte. Azulejos históricos, colecção de suculentas e estatuária oriental. Residência do Imperador Carlos I.</t>
  </si>
  <si>
    <t>🌺</t>
  </si>
  <si>
    <t>90</t>
  </si>
  <si>
    <t>🎨 PROMPT A (plano geral / território):
MAD_004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MAD_004 — granito cinzento-rosado, superfície autêntica portuguesa, luz rasante, luz quente da tarde, desaturado cinematográfico, realista natural, texturas autênticas, território como protagonista, 9:16 vertical</t>
  </si>
  <si>
    <t>MAD_005</t>
  </si>
  <si>
    <t>Montanha</t>
  </si>
  <si>
    <t>Pico Vulcânico</t>
  </si>
  <si>
    <t>Pico do Arieiro, Madeira</t>
  </si>
  <si>
    <t>https://visitmadeira.com Montanha em Pico Vulcânico. Categoria: Madeira.</t>
  </si>
  <si>
    <t>Terceiro pico mais alto (1818m). Acesso de carro ao topo. Nuvens abaixo dos pés e vista para todas as ilhas em dias claros. Trilho para Pico Ruivo.</t>
  </si>
  <si>
    <t>⛰️</t>
  </si>
  <si>
    <t>100</t>
  </si>
  <si>
    <t>🎨 PROMPT A (plano geral / território):
MAD_005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MAD_005 — granito cinzento-rosado, superfície autêntica portuguesa, luz rasante, luz quente da tarde, desaturado cinematográfico, realista natural, texturas autênticas, território como protagonista, 9:16 vertical</t>
  </si>
  <si>
    <t>🎉  FESTAS E ROMARIAS DE PORTUGAL  —  140 festividades</t>
  </si>
  <si>
    <t>Norte · Centro · Lisboa · Alentejo · Algarve  ·  Tradição, Devoção e Gastronomia  ·  Clica em GPS para abrir no mapa  ·  Clica em Website para mais info</t>
  </si>
  <si>
    <t>Festa / Romaria</t>
  </si>
  <si>
    <t>Concelho</t>
  </si>
  <si>
    <t>Data / Época</t>
  </si>
  <si>
    <t>Local / Santuário</t>
  </si>
  <si>
    <t xml:space="preserve">  🟦  NORTE  —  Festas, Romarias e Tradições  ·  80 festividades</t>
  </si>
  <si>
    <t>Festa do Mártir S. Sebastião</t>
  </si>
  <si>
    <t>Matosinhos</t>
  </si>
  <si>
    <t>Procissão de inverno de pescadores; cofre dos milagres e ex-votos marinhos na Igreja do Senhor de Matosinhos; liturgia do mar no coração do Porto Atlântico.</t>
  </si>
  <si>
    <t>Festas de S. Sebastião e S. Roque</t>
  </si>
  <si>
    <t>Mirandela</t>
  </si>
  <si>
    <t>Procissão de inverno com cofrestas e irmandades; olaria de barro negro de Trás-os-Montes e alheira fumada nos stands da feira de janeiro.</t>
  </si>
  <si>
    <t>Festa das Fogaceiras</t>
  </si>
  <si>
    <t>Santa Maria da Feira</t>
  </si>
  <si>
    <t>20 de janeiro</t>
  </si>
  <si>
    <t>Secular tradição da Feira; mulheres vestem trajes típicos e transportam fogaças (pães votivos) em procissão solene; promessa cumprida desde o século XIII da era cristã.</t>
  </si>
  <si>
    <t>Igreja de Santa Maria da Feira</t>
  </si>
  <si>
    <t>Festa de Santa Águeda</t>
  </si>
  <si>
    <t>Bragança</t>
  </si>
  <si>
    <t>Festa das mulheres de Sousela — constroem um andor de flores e exigem à autoridade masculina a chave do poder por um dia; tradição matriarcal transmontana única.</t>
  </si>
  <si>
    <t>Macedo de Cavaleiros</t>
  </si>
  <si>
    <t>Fevereiro/Março (Carnaval)</t>
  </si>
  <si>
    <t>Máscaras de zinco e latão; ritual ancestral ibérico de exorcismo do inverno e fertilidade; jovens correm pelas ruas perseguindo raparigas com chocalhos e gritos — UNESCO 2019.</t>
  </si>
  <si>
    <t>Aldeia de Podence</t>
  </si>
  <si>
    <t>Romaria de Santa Bárbara</t>
  </si>
  <si>
    <t>Guimarães</t>
  </si>
  <si>
    <t>Fevereiro/Quaresma</t>
  </si>
  <si>
    <t>Subida devocional ao granito sagrado de Guimarães com penitentes e grupos corais; vistas sobre o berço da nação; ex-votos de cera e pedras votivas.</t>
  </si>
  <si>
    <t>Monte da Penha, Guimarães</t>
  </si>
  <si>
    <t>Romaria de Nossa Senhora da Saúde</t>
  </si>
  <si>
    <t>Quaresma</t>
  </si>
  <si>
    <t>Procissão de Quarta-feira de Cinzas com figuras de cera, ex-votos e penitentes descalços nos Couros históricos; tradição medieval dos curtidores.</t>
  </si>
  <si>
    <t>Couros, Guimarães</t>
  </si>
  <si>
    <t>Semana Santa de Braga</t>
  </si>
  <si>
    <t>Semana Santa (Março/Abril)</t>
  </si>
  <si>
    <t>Maior procissão do País com 3000 participantes; Ecce Homo, cavalheiros encapuzados e andores barrocos iluminados percorrem a cidade episcopal ao canto solene do Miserere.</t>
  </si>
  <si>
    <t>Toda a cidade de Braga</t>
  </si>
  <si>
    <t>Festa de Santa Joana Princesa</t>
  </si>
  <si>
    <t>12 de maio</t>
  </si>
  <si>
    <t>Veneração da Infanta que renunciou ao trono para professar no Convento de Jesus; procissão com andores da escola de talha dourada; túmulo de alabastro iluminado a velas.</t>
  </si>
  <si>
    <t>Igreja de Jesus, Aveiro</t>
  </si>
  <si>
    <t>Romaria de Santa Quitéria</t>
  </si>
  <si>
    <t>Veneração da mártir cristã no santuário de Felgueiras; procissão de crianças com ex-votos de ouro; arraial com feirinha de bordados minhotos.</t>
  </si>
  <si>
    <t>Santuário de Santa Quitéria, Felgueiras</t>
  </si>
  <si>
    <t>Romaria à Senhora da Graça</t>
  </si>
  <si>
    <t>Celorico de Basto</t>
  </si>
  <si>
    <t>Subida de madrugada ao monte; cântico da aurora ao nascer do sol; descida em procissão com folhetos de quadras rimadas tradicionais do Minho.</t>
  </si>
  <si>
    <t>Festa de Nossa Senhora da Saúde</t>
  </si>
  <si>
    <t>Maia</t>
  </si>
  <si>
    <t>Romaria suburbana do grande Porto; famosa pelos pão-de-ló de Margaride e viagens de comboio com os romeiros; procissão de maio com flores e crianças.</t>
  </si>
  <si>
    <t>Feira de Doçaria Conventual</t>
  </si>
  <si>
    <t>Bolos fálicos de São Gonçalo oferecidos na festa do santo (10 junho); confeiteiras perpetuam receitas monásticas do séc. XVII; doce conventual mais famoso de Portugal.</t>
  </si>
  <si>
    <t>Romaria de Nossa Senhora da Azinheira</t>
  </si>
  <si>
    <t>Último fim-de-semana de maio</t>
  </si>
  <si>
    <t>Pré-romária floral com carpideiras e cântico da alma; tradição oral do séc. XVI conservada intacta; vistas sobre Guimarães com flores de Maio.</t>
  </si>
  <si>
    <t>Azinheira, Guimarães</t>
  </si>
  <si>
    <t>Feiras Francas de Fafe</t>
  </si>
  <si>
    <t>Fafe</t>
  </si>
  <si>
    <t>16 e 17 de maio</t>
  </si>
  <si>
    <t>Mercado franco com isenção de impostos desde o foral medieval; artesanato, gado e produtos regionais do Minho em festa centenária de dois dias imprescindíveis.</t>
  </si>
  <si>
    <t>Largo Principal, Fafe</t>
  </si>
  <si>
    <t>Romaria de S. Torcato</t>
  </si>
  <si>
    <t>Carrazeda de Ansiães</t>
  </si>
  <si>
    <t>6 a 24 de junho</t>
  </si>
  <si>
    <t>Percurso de 19km a pé de Vila Nova de Famalicão ao santuário; peregrinação de descalços em cumprimento de promessas; enorme arraial e feira medieval em junho.</t>
  </si>
  <si>
    <t>Santuário de S. Torcato, Guimarães</t>
  </si>
  <si>
    <t>Festa de Nossa Senhora do Sameiro</t>
  </si>
  <si>
    <t>12 de junho</t>
  </si>
  <si>
    <t>Segundo maior santuário mariano de Portugal a 572m; procissão solene de tochas e 200 000 peregrinos na encosta granítica com vista sobre Braga.</t>
  </si>
  <si>
    <t>Santuário do Sameiro, Braga</t>
  </si>
  <si>
    <t>Santos Populares de Baião / Chaves</t>
  </si>
  <si>
    <t>Baião</t>
  </si>
  <si>
    <t>Festa de S. Pedro, S. João e Sto. António; fogueiras, sardinhas e música nas aldeias do Douro entre Baião e Chaves; almoço de rojões e vinho do Douro.</t>
  </si>
  <si>
    <t>Festa de Monção</t>
  </si>
  <si>
    <t>Castelo de Paiva</t>
  </si>
  <si>
    <t>Festividade popular com procissão histórica e feira do artesanato do Douro; manteigueiro e requeijão artesanal no arraial de junho.</t>
  </si>
  <si>
    <t>Festas de S. João e S. José</t>
  </si>
  <si>
    <t>Marchas populares, concurso de arquitecturas de madeira e arraial noturno às margens do rio Vizela; sardinhada e caldo verde no largo de Fafe.</t>
  </si>
  <si>
    <t>Romaria de Nossa Senhora de Ao Pé da Cruz</t>
  </si>
  <si>
    <t>Lousada</t>
  </si>
  <si>
    <t>Capelinha de granito junto à cruz de pedra na colina; cântico das mulheres ao entardecer; rosários de filigrana de ouro e tecidos bordados no arraial.</t>
  </si>
  <si>
    <t>Romaria de Nossa Senhora d'Agonia</t>
  </si>
  <si>
    <t>Procissão do Senhor de Matosinhos com marinhos e pescadores em trajes históricos; cofre dos milagres; arraial nos jardins com filarmónica.</t>
  </si>
  <si>
    <t>Festa em Honra de S. Pedro</t>
  </si>
  <si>
    <t>Moimenta da Beira</t>
  </si>
  <si>
    <t>Procissão de S. Pedro com andor baroco e fogo de artifício sobre o vale; vinho do Dão e queijo da Beira nos stands da feira de artesanato.</t>
  </si>
  <si>
    <t>Festas de Santo António</t>
  </si>
  <si>
    <t>Vale de Cambra</t>
  </si>
  <si>
    <t>Procissão patronal com banda filarmónica; sardinhada e arraial popular; artesanato de ferro forjado e cerâmica da Beira Litoral.</t>
  </si>
  <si>
    <t>Festa de São João de Braga</t>
  </si>
  <si>
    <t>23 a 24 de junho</t>
  </si>
  <si>
    <t>Manjericos, alhos-porros e a tradição de martelar cabeças amigo-a-amigo; concertos, fogo de artifício e as tradições ancestrais do São João no coração do Minho.</t>
  </si>
  <si>
    <t>Praça da República, Braga</t>
  </si>
  <si>
    <t>Romaria a São Domingos</t>
  </si>
  <si>
    <t>Alijó</t>
  </si>
  <si>
    <t>Procissão campestre em aldeia vinhateira do Douro Superior; bênção das uvas e cozido à vinhateira com gaita de foles do Pinhão; vistas sobre os socalcos do Alto Douro Vinhateiro.</t>
  </si>
  <si>
    <t>Fontelo, Alijó</t>
  </si>
  <si>
    <t>Romaria de S. Salvador do Monte</t>
  </si>
  <si>
    <t>Arcos de Valdevez</t>
  </si>
  <si>
    <t>Capelinha de granito no monte com vista sobre o Lima; procissão de ex-votos e bodo comunitário; descida de archotes na escuridão da serra do Monte Prado.</t>
  </si>
  <si>
    <t>Dornelas, Arcos de Valdevez</t>
  </si>
  <si>
    <t>Festa de S. Bento</t>
  </si>
  <si>
    <t>Armamar</t>
  </si>
  <si>
    <t>Bênção das uvas e lagares entre vinhas do Alto Douro Vinhateiro com cantares da Vindima; bodo de pão e vinho na antiga aldeia vinhateira de xisto e granito.</t>
  </si>
  <si>
    <t>Seixas, Armamar</t>
  </si>
  <si>
    <t>Romaria de Santo António</t>
  </si>
  <si>
    <t>Mondim de Basto</t>
  </si>
  <si>
    <t>Festa patronal com bodo aos pobres e tourada popular; queima de fogo na praça de granito; arraial do rio Tâmega com gaita e caldo verde.</t>
  </si>
  <si>
    <t>Festa de Santa Marinha</t>
  </si>
  <si>
    <t>Meados de julho</t>
  </si>
  <si>
    <t>Procissão devocional junto ao rio Águeda; tradição beirã de bordados e renda de palha combinados nos andores; gastronomia de bacalhau à Beira.</t>
  </si>
  <si>
    <t>Pampilhosa, Águeda</t>
  </si>
  <si>
    <t>Festas de Nossa Senhora do Amparo</t>
  </si>
  <si>
    <t>25 julho – 1º domingo agosto</t>
  </si>
  <si>
    <t>Arraial à beira do rio Tuela; concurso de alheiras fumadas, feiras de artesanato e procissão fluvial com tochas sobre as águas douradas do Tuela.</t>
  </si>
  <si>
    <t>Feira do Linho</t>
  </si>
  <si>
    <t>Ribeira de Pena</t>
  </si>
  <si>
    <t>1 a 4 de agosto</t>
  </si>
  <si>
    <t>Tecelagem artesanal ao vivo; mulheres fiam e tecem linho no tear de pedal; concurso de toalhas bordadas e sabão artesanal de cinza.</t>
  </si>
  <si>
    <t>Feira da Terra</t>
  </si>
  <si>
    <t>4 a 7 de agosto</t>
  </si>
  <si>
    <t>Mostra de produtos regionais do Tâmega; mel, queijo de cabra, fumeiro e vinho verde num arraial junto ao monte de Santa Maria.</t>
  </si>
  <si>
    <t>Festas de Nossa Senhora das Graças</t>
  </si>
  <si>
    <t>11 a 22 de agosto</t>
  </si>
  <si>
    <t>Dez dias de romaria com pregação, procissões e música tradicional transmontana; pauliteiros de Miranda e Máscara Ibérica no coração de Bragança.</t>
  </si>
  <si>
    <t>Festa de Nossa Senhora Aparecida</t>
  </si>
  <si>
    <t>13 a 15 de agosto</t>
  </si>
  <si>
    <t>Procissão transmontana com gaita de foles, bombos e trajes de veludo negro; cidade alta de Bragança iluminada a archotes durante três dias de festa religiosa.</t>
  </si>
  <si>
    <t>Festas em Honra dos Santos</t>
  </si>
  <si>
    <t>13 a 16 de agosto</t>
  </si>
  <si>
    <t>Arraial histórico na aldeia de Balteiro junto às muralhas de Guimarães; procissões barrocas, concertos de banda filarmónica e feiras de artesanato minhoto.</t>
  </si>
  <si>
    <t>Balteiro, Guimarães</t>
  </si>
  <si>
    <t>Feira de Artesanato e Gastronomia de Celorico</t>
  </si>
  <si>
    <t>14 a 18 de agosto</t>
  </si>
  <si>
    <t>Feira de verão com artesanato minhoto, mel, pão de centeio e queijo da encosta; bandas de gaita e concerto de gaiteiros no largo central de Celorico de Basto.</t>
  </si>
  <si>
    <t>Festas da Rainha Santa Mafalda</t>
  </si>
  <si>
    <t>Amares</t>
  </si>
  <si>
    <t>Veneração da rainha medieval canonizada; procissão com paramentos de veludo e concerto de órgão na Igreja Matriz; artesanato do vale do Cávado.</t>
  </si>
  <si>
    <t>Romaria ao Mosteiro de S. João D'Arga</t>
  </si>
  <si>
    <t>Cenóbio cisterciense do séc. XII em plena floresta minhota; peregrinos sobem a pé pelas encostas da Serra D'Arga; banquetes de vinho verde e broa de milho no claustro.</t>
  </si>
  <si>
    <t>Mosteiro de S. João D'Arga, Viana do Castelo</t>
  </si>
  <si>
    <t>Festa de Vilarinho da Castanheira</t>
  </si>
  <si>
    <t>Arouca</t>
  </si>
  <si>
    <t>Aldeia xistosa da serra; matança do porco comunitária, broa de milho e caldo de couves no convívio de aldeia serrana.</t>
  </si>
  <si>
    <t>Festas de Nossa Senhora do Mar</t>
  </si>
  <si>
    <t>Esposende</t>
  </si>
  <si>
    <t>Bênção dos barcos de pesca; procissão ao mar com andor de flores; gastronomia de peixe fresco na praia do rio Cávado em festa patronal dos pescadores de Esposende.</t>
  </si>
  <si>
    <t>Romaria de Nossa Senhora da Aparecida</t>
  </si>
  <si>
    <t>Santuário serrano com trajes de veludo e ouro transmontano; campo de festas com barracas e gaita de foles; vista sobre o planalto de Bragança.</t>
  </si>
  <si>
    <t>Santuário de N.ª S.ª da Aparecida, Torno</t>
  </si>
  <si>
    <t>Festas de Santo Ambrósio</t>
  </si>
  <si>
    <t>Cabeceiras de Basto</t>
  </si>
  <si>
    <t>Arraial de granito com queima de fogo, dança do pauliteiro e posta barrosã no assado comunitário; festa patronal do concelho minhoto.</t>
  </si>
  <si>
    <t>Festas de Paredes</t>
  </si>
  <si>
    <t>Paredes</t>
  </si>
  <si>
    <t>Arraial de verão no interior do Porto; artesanato em madeira de castanho e feira de gado; procissão fluvial no Sousa; gastronomia de sarrabulho e vinho verde.</t>
  </si>
  <si>
    <t>Festas de Freixo de Espada à Cinta</t>
  </si>
  <si>
    <t>Freixo de Espada à Cinta</t>
  </si>
  <si>
    <t>Festa do isolado castelo fronteiriço a 700m de altitude; trajes bordados de Trás-os-Montes e gaitas; amêndoa torrada e azeite DOP de Trás-os-Montes.</t>
  </si>
  <si>
    <t>Festas de Macedo de Cavaleiros</t>
  </si>
  <si>
    <t>Município da alheira e da lampantina; concurso de gastronomia transmontana e concerto de música popular; alheira fumada e vinho Mirandela na praça.</t>
  </si>
  <si>
    <t>Romaria ao Monte do Faro</t>
  </si>
  <si>
    <t>Marco de Canaveses</t>
  </si>
  <si>
    <t>613m de altitude sobre a confluência Tâmega-Douro; fogueiras na véspera e bênção dos animais ao nascer do sol; vista sobre dois rios e três concelhos.</t>
  </si>
  <si>
    <t>Monte do Faro, Marco de Canaveses</t>
  </si>
  <si>
    <t>Festas de Nossa Senhora da Guia</t>
  </si>
  <si>
    <t>Mesão Frio</t>
  </si>
  <si>
    <t>Arraial vinhateiro no coração do Douro; fado e Vinho Verde numa das mais pitorescas vilas do Alto Douro; festa patronal com procissão de velhas imagens.</t>
  </si>
  <si>
    <t>Festas da Vila</t>
  </si>
  <si>
    <t>Miranda do Douro</t>
  </si>
  <si>
    <t>Dança dos pauliteiros e trajes mirandeses; língua mirandesa nas ruas; feira da cerâmica negra e cante de arraial; bife à Mirandesa na festa patronal.</t>
  </si>
  <si>
    <t>Festa de Nossa Senhora de La Salette</t>
  </si>
  <si>
    <t>Oliveira de Azeméis</t>
  </si>
  <si>
    <t>Romaria ao santuário do monte; concentração de devotos com ex-votos de prata e ouro; procissão de tochas ao anoitecer da encosta verde.</t>
  </si>
  <si>
    <t>Festas Gualterianas</t>
  </si>
  <si>
    <t>1º fim-de-semana de agosto</t>
  </si>
  <si>
    <t>Inauguradas em 1452 com tourada e cortejo medieval; Marcha Gualteriana, largada de balões e fogo de artifício no berço histórico da nação — as mais antigas festas municipais.</t>
  </si>
  <si>
    <t>Centro Histórico de Guimarães</t>
  </si>
  <si>
    <t>Romaria de Nossa Senhora da Agonia</t>
  </si>
  <si>
    <t>20 de agosto (semana)</t>
  </si>
  <si>
    <t>A mais rica procissão etnográfica de Portugal; trajes de ouro, filigrana e bordados; Cortejo de Mordomias patrocinado pela UNESCO; 80 000 participantes.</t>
  </si>
  <si>
    <t>Romaria a São Bartolomeu do Mar</t>
  </si>
  <si>
    <t>24 de agosto</t>
  </si>
  <si>
    <t>Banho ritual de crianças doentes nas ondas do Atlântico; tradição pagã de cura pelas águas incorporada pela Igreja; ex-votos únicos de cera e foto de bebés.</t>
  </si>
  <si>
    <t>Praia de S. Bartolomeu do Mar</t>
  </si>
  <si>
    <t>Romaria de Nossa Senhora da Peneda</t>
  </si>
  <si>
    <t>31 agosto a 8 setembro</t>
  </si>
  <si>
    <t>Vertente norte da romaria da Peneda; grupos de peregrinos de Melgaço e Monção sobem a pé ao santuário granítico do Parque Nacional Peneda-Gerês.</t>
  </si>
  <si>
    <t>Santuário da Peneda, Arcos de Valdevez</t>
  </si>
  <si>
    <t>1 a 8 de setembro</t>
  </si>
  <si>
    <t>A maior romaria do Parque Nacional Peneda-Gerês; peregrinos sobem a pé pela serra granítica ao santuário barroco do séc. XVIII com escadaria monumental e imagem milagreira.</t>
  </si>
  <si>
    <t>Santuário da Peneda, Gavieira</t>
  </si>
  <si>
    <t>Festa da Misericórdia</t>
  </si>
  <si>
    <t>Alfândega da Fé</t>
  </si>
  <si>
    <t>Procissão histórica da Santa Casa de Misericórdia; trajes negros de irmão, palmatória e distribuição de bodo aos pobres numa das mais antigas tradições caritativas do Nordeste Transmontano.</t>
  </si>
  <si>
    <t>Festas de Celorico de Basto</t>
  </si>
  <si>
    <t>Dias de arte e tradição minhota; concurso de gaitas, tecedeiras ao tear e feira agrícola com produtos da encosta verdejante.</t>
  </si>
  <si>
    <t>Festas de Nossa Senhora do Rosário</t>
  </si>
  <si>
    <t>Chaves</t>
  </si>
  <si>
    <t>Procissão histórica com andores barrocos; a Cidade das Termas nas gales com feira regional, bandas filarmónicas e fontes de água termal abertas ao público.</t>
  </si>
  <si>
    <t>Festa de Santa Luzia e La Salette</t>
  </si>
  <si>
    <t>Cinfães</t>
  </si>
  <si>
    <t>Devoção dupla ao alto do Marão; ascensão pedestre ao santuário com vista para o Douro e Tâmega; cantares do Douro e prova de vinho Tinto de Cinfães.</t>
  </si>
  <si>
    <t>Romaria a Santa Maria</t>
  </si>
  <si>
    <t>Gondomar</t>
  </si>
  <si>
    <t>Procissão de tochas pela ribeira do Douro; filigrana de ouro de Gondomar nos andores e trajes das romeiras do vale do rio Douro.</t>
  </si>
  <si>
    <t>Festa de Nossa Senhora do Monte</t>
  </si>
  <si>
    <t>Lamego</t>
  </si>
  <si>
    <t>Romaria ao granito do Monte do Almacave em Lamego; procissão com o andor da Senhora e descida de archotes ao anoitecer sobre a cidade do Douro.</t>
  </si>
  <si>
    <t>Festas de Montalegre</t>
  </si>
  <si>
    <t>Montalegre</t>
  </si>
  <si>
    <t>Feira do porco bísaro, gaita de foles e lareira comunitária na Terra Fria Transmontana; castelo medieval ao fundo; fumeiro e broa de milho na festa serrana.</t>
  </si>
  <si>
    <t>Agro-Basto</t>
  </si>
  <si>
    <t>Feira agropecuária com gado barrosão, artesanato em vime e tecidos de linho; concurso de lavoura, prémios de raças autóctones e gastronomia transmontana.</t>
  </si>
  <si>
    <t>Peregrinação a Nossa Senhora da Graça</t>
  </si>
  <si>
    <t>1º domingo de setembro</t>
  </si>
  <si>
    <t>Subida devocional ao monte granítico; vista panorâmica sobre os vales do Tâmega e Cabril; procissão de tochas ao amanhecer.</t>
  </si>
  <si>
    <t>Santuário da Graça, Mondim de Basto</t>
  </si>
  <si>
    <t>Feiras Novas</t>
  </si>
  <si>
    <t>Ponte de Lima</t>
  </si>
  <si>
    <t>2ª semana de setembro</t>
  </si>
  <si>
    <t>Feira multissecular às margens do Lima; bois enfeitados, lavoura à moda antiga, artesanato minhoto e arraiais ao ritmo de concertinas em Ponte de Lima.</t>
  </si>
  <si>
    <t>Centro Histórico, Ponte de Lima</t>
  </si>
  <si>
    <t>2º domingo de setembro</t>
  </si>
  <si>
    <t>Subida votiva à capelinha branca sobre o rio Sousa; ex-votos de cera, bordados e presentes em pedra calcária; arraial de domingo com sardinhada.</t>
  </si>
  <si>
    <t>Capelinha da Saúde, Lousada</t>
  </si>
  <si>
    <t>Romaria de Nossa Senhora da Lapa</t>
  </si>
  <si>
    <t>Ermida rupestre de pedra sobre o Douro; banho das pedras e ritual de cura nas fontes sagradas; dança das Mordomas ao ritmo de gaita minhota.</t>
  </si>
  <si>
    <t>Capelinha da Lapa, Lousada</t>
  </si>
  <si>
    <t>Festa de Nossa Senhora da Ajuda</t>
  </si>
  <si>
    <t>Barcelos</t>
  </si>
  <si>
    <t>2º fim-de-semana de setembro</t>
  </si>
  <si>
    <t>Romaria ao monte sobre o Cávado em Gilmonde; famosa pelos bordados de Barcelos e pelos testemunhos do Galo; descida de archotes e missa ao amanhecer.</t>
  </si>
  <si>
    <t>Gilmonde, Barcelos</t>
  </si>
  <si>
    <t>Romaria ao Santuário de Nossa Senhora do Alívio</t>
  </si>
  <si>
    <t>Vila Verde</t>
  </si>
  <si>
    <t>2º e 3º fins-de-semana setembro</t>
  </si>
  <si>
    <t>Subida de noite com tochas sobre o Castro de Vila Verde; vista sobre o vale do Homem; ex-votos e cantos de missa ao nascer do sol de setembro.</t>
  </si>
  <si>
    <t>Santuário do Alívio, Vila Verde</t>
  </si>
  <si>
    <t>Festa de Santa Eufémia</t>
  </si>
  <si>
    <t>15 e 16 de setembro</t>
  </si>
  <si>
    <t>A santa protectora dos olhos; devotos trazem ex-votos de olhos de cera; missa campal e arraial com gaita minhota na encosta da Serra de Arouca.</t>
  </si>
  <si>
    <t>Lavandeira, Arouca</t>
  </si>
  <si>
    <t>Romaria de Santa Eufémia</t>
  </si>
  <si>
    <t>Meados de setembro</t>
  </si>
  <si>
    <t>Procissão à praia com andor de flores; bênção do mar e fogo de artifício sobre o rio Cávado; peixe grelhado e arroz de lingueirão no arraial nocturno.</t>
  </si>
  <si>
    <t>Procissão devocional junto ao Douro; ex-votos de olhos de cera e bodo de pão bento; tradição da margem doirada do rio Douro.</t>
  </si>
  <si>
    <t>Feira de Arouca</t>
  </si>
  <si>
    <t>Final de setembro</t>
  </si>
  <si>
    <t>Feira multissecular junto ao Mosteiro de S. Maria de Arouca; carpideiras, cire de cera e artesanato em rendilhado de bilros da região de Arouca.</t>
  </si>
  <si>
    <t>Feira das Colheitas</t>
  </si>
  <si>
    <t>Feira das colheitas com pão de milho, mel e fruta da encosta; gado barrosão e artesanato em coiro; encerramento da época agrícola em Arouca.</t>
  </si>
  <si>
    <t>Festas dos Rojões</t>
  </si>
  <si>
    <t>Espinho</t>
  </si>
  <si>
    <t>3º fim-de-semana outubro</t>
  </si>
  <si>
    <t>Feira gastronómica com o rojão de porco preto e torresmos de frigideira; concurso de cozinheiros à moda antiga; vinho do Dão e licores da costa.</t>
  </si>
  <si>
    <t>Rural Castanea</t>
  </si>
  <si>
    <t>Vinhais</t>
  </si>
  <si>
    <t>23 a 25 de outubro</t>
  </si>
  <si>
    <t>Festival da castanha e dos produtos de fumeiro transmontano; chouriço de mel, alheira de Vinhais e castanha assada no magusto de alta altitude.</t>
  </si>
  <si>
    <t>Festa de Santo Ovídeo</t>
  </si>
  <si>
    <t>Patrono dos surdos e mudos; ex-votos de ouvidos de cera na encosta do Monte da Nogueira; peregrinação transmontana de outono com fadas de castanha.</t>
  </si>
  <si>
    <t>Aveleda, Bragança</t>
  </si>
  <si>
    <t>Festas Nicolinas</t>
  </si>
  <si>
    <t>29 novembro a 7 dezembro</t>
  </si>
  <si>
    <t>Tradição académica vimaranense do século XIX; batata frita com o polegar, largada de balões e serenata na véspera de S. Nicolau; procissão de casacas a 6 dezembro.</t>
  </si>
  <si>
    <t>Feira dos Capões de Freamunde</t>
  </si>
  <si>
    <t>Paços de Ferreira</t>
  </si>
  <si>
    <t>13 de dezembro</t>
  </si>
  <si>
    <t>O mais afamado mercado de capões de Portugal; aves engordadas em regime especial vendidas em véspera de Natal; concurso de cozinheiros.</t>
  </si>
  <si>
    <t>Freamunde, Paços de Ferreira</t>
  </si>
  <si>
    <t>Feira do Mel, das Maçãs e das Pinhas</t>
  </si>
  <si>
    <t>Mercado natalício do mel de urze e maçã da encosta do Gerês; artesanato de barro e palhinha; a última feira do calendário minhoto do ano.</t>
  </si>
  <si>
    <t xml:space="preserve">  🟨  CENTRO  —  Festas, Romarias e Tradições  ·  21 festividades</t>
  </si>
  <si>
    <t>Feira dos Pinhões</t>
  </si>
  <si>
    <t>Ansião</t>
  </si>
  <si>
    <t>Último fim-de-semana de janeiro</t>
  </si>
  <si>
    <t>Mercado do pinhão silvestre da Serra de Ansião; gastronomia local, artesanato de pele de coelho e pipas de vinho verde no primeiro certame do ano.</t>
  </si>
  <si>
    <t>Feira Tradicional de São Brás</t>
  </si>
  <si>
    <t>Ferreira do Zêzere</t>
  </si>
  <si>
    <t>9 de fevereiro</t>
  </si>
  <si>
    <t>Mercado histórico às margens do Zêzere; cerâmica de Molelos, mel e aguardente de figos no primeiro certame beirão do ano.</t>
  </si>
  <si>
    <t>Feira do Queijo Serra da Estrela</t>
  </si>
  <si>
    <t>Seia</t>
  </si>
  <si>
    <t>A maior feira dedicada ao queijo mais valorizado de Portugal; produtores da Beira Serra expõem e vendem; prémios e demonstrações de fabrico ao vivo.</t>
  </si>
  <si>
    <t>Fevereiro/Março</t>
  </si>
  <si>
    <t>Cidade dos queijeiros mais antigos da Serra; certame bienal com reconstituição da vida pastoril, concertos de fado da Beira e prova de borrego assado.</t>
  </si>
  <si>
    <t>Festa do Queijo Serra da Estrela</t>
  </si>
  <si>
    <t>Oliveira do Hospital</t>
  </si>
  <si>
    <t>Mercado do melhor queijo DOP do país em Oliveira do Hospital; prova cega com produtores da serra; cabras nas ruas e artesanato em lã cardada.</t>
  </si>
  <si>
    <t>Fornos de Algodres</t>
  </si>
  <si>
    <t>Feira tradicional de carácter agropecuário com grande componente queijeira; artesanato em coiro e lã cardada da encosta serrana.</t>
  </si>
  <si>
    <t>Romaria de Nossa Senhora do Incenso</t>
  </si>
  <si>
    <t>Penamacor</t>
  </si>
  <si>
    <t>Segunda-feira de Páscoa</t>
  </si>
  <si>
    <t>Ermida de xisto serrano em romaria pascalina; devotos sobem a pé na aurora com rosários de ouro de filigrana; pastores tocam gaitas de foles da Beira.</t>
  </si>
  <si>
    <t>Santuário do Incenso, Penamacor</t>
  </si>
  <si>
    <t>Romaria ao Santuário do Senhor dos Caminhos</t>
  </si>
  <si>
    <t>Sátão</t>
  </si>
  <si>
    <t>8º domingo após Páscoa</t>
  </si>
  <si>
    <t>Santuário setecentista da Beira Alta com ex-votos únicos de cera; procissão de devotos descalços da Beira em pleno verão.</t>
  </si>
  <si>
    <t>Peregrinação ao Santuário de Fátima</t>
  </si>
  <si>
    <t>Ourém</t>
  </si>
  <si>
    <t>12-13 maio / 12-13 outubro</t>
  </si>
  <si>
    <t>O maior centro de peregrinação mariana do mundo; 6 milhões de visitantes por ano; procissão das velas ao anoitecer e missa do campo com centenas de milhares.</t>
  </si>
  <si>
    <t>Fátima, Ourém</t>
  </si>
  <si>
    <t>Peregrinações ao Santuário das Necessidades</t>
  </si>
  <si>
    <t>Sernancelhe</t>
  </si>
  <si>
    <t>10 junho / 15 agosto / 1º dom. setembro</t>
  </si>
  <si>
    <t>Três romarias anuais ao santuário barroco; azulejos de cegas da Beira Transmontana; caldo de grão e pão de centeio nas romarias serranas.</t>
  </si>
  <si>
    <t>1ª semana de julho (de 4 em 4 anos)</t>
  </si>
  <si>
    <t>Cortejo único no mundo: centenas de jovens transportam tabuleiros de pão, flores e espigas de 2m de altura; distribuição de bodo ao povo em festa quatrienal.</t>
  </si>
  <si>
    <t>Festa da Aleluia — Bons Sons</t>
  </si>
  <si>
    <t>12 a 15 de agosto</t>
  </si>
  <si>
    <t>Festival de música portuguesa numa aldeia de 300 almas que recebe 10 000 visitantes; moeda própria, cortejo do pão e fado a céu aberto entre casas de xisto.</t>
  </si>
  <si>
    <t>Romaria ao Milagre de Urgueira</t>
  </si>
  <si>
    <t>Tondela</t>
  </si>
  <si>
    <t>Procissão à imagem milagreira na serra de Tondela; arraial noturno com concerto de harmónica e fado Beirão; açorda à Beirã no jantar comunitário.</t>
  </si>
  <si>
    <t>Almeida</t>
  </si>
  <si>
    <t>5 a 9 de setembro</t>
  </si>
  <si>
    <t>Celebração na fortaleza estrelada da fronteira com Espanha; recriação histórica das Guerras Napoleónicas e arraial com gaita e cantares da Beira.</t>
  </si>
  <si>
    <t>Festas de São Mateus</t>
  </si>
  <si>
    <t>Soure</t>
  </si>
  <si>
    <t>Celebração do patrono com feira medieval e arraial nos campos do Mondego; cozido de tremoços, queijo de Soure e mel da Beira no mercado de setembro.</t>
  </si>
  <si>
    <t>Romaria de Santa Luzia</t>
  </si>
  <si>
    <t>Fundão</t>
  </si>
  <si>
    <t>15 de setembro</t>
  </si>
  <si>
    <t>Ascensão matinal ao pico granítico da Gardunha; vistas sobre o vale do Tejo e a Cova da Beira; gaitas da Beira e caldo de castanhas no arraial serrano.</t>
  </si>
  <si>
    <t>Serra da Gardunha, Fundão</t>
  </si>
  <si>
    <t>Festa da Castanha</t>
  </si>
  <si>
    <t>Gouveia</t>
  </si>
  <si>
    <t>Magusto comunitário na vila junto à Serra da Estrela; castanheiros centenários e doces de castanha; concurso de assar castanhas e vinho regional.</t>
  </si>
  <si>
    <t>Feira dos Frutos Secos e Passados</t>
  </si>
  <si>
    <t>Torres Novas</t>
  </si>
  <si>
    <t>Mercado do pinhão, amêndoa e figo seco do Ribatejo; artesanato de vime e olaria de barro vermelho nas bancas de outubro de Torres Novas.</t>
  </si>
  <si>
    <t>Festa da Castanha de Sernancelhe</t>
  </si>
  <si>
    <t>Magusto da Beira Alta com castanha brava da Serra; concurso da maior castanha, caldo de castanhas e aguardente de medronho artesanal.</t>
  </si>
  <si>
    <t>Feira de Santa Iria</t>
  </si>
  <si>
    <t>16 a 25 de outubro</t>
  </si>
  <si>
    <t>Feira franca milenar junto ao rio Nabão; artesanato, doces conventuais de Santa Iria e espetadas de carne de porco na festa de dez dias.</t>
  </si>
  <si>
    <t>Romaria de Nossa Senhora da Póvoa</t>
  </si>
  <si>
    <t>Segunda-feira do Espírito Santo</t>
  </si>
  <si>
    <t>Romaria serrana ao santuário da Póvoa; procissão de bandeirolas e ex-votos; distribuição de pão do Espírito Santo com caldo de borrego.</t>
  </si>
  <si>
    <t xml:space="preserve">  🟩  LISBOA  —  Festas, Romarias e Tradições  ·  4 festividades</t>
  </si>
  <si>
    <t>Procissão do Senhor dos Passos da Graça</t>
  </si>
  <si>
    <t>2º domingo da Quaresma</t>
  </si>
  <si>
    <t>A mais solene procissão da Quaresma em Lisboa; penitentes com capuzes, velas e andores centenários percorrem a Mouraria ao canto do Miserere.</t>
  </si>
  <si>
    <t>Igreja da Graça, Lisboa</t>
  </si>
  <si>
    <t>Procissão de Nossa Senhora da Saúde</t>
  </si>
  <si>
    <t>1º domingo de maio</t>
  </si>
  <si>
    <t>Origem na grande Peste de 1569; alcachofras sagradas e a Bandeira da Cidade transportadas por marinheiros em trajes históricos; memória viva de Lisboa.</t>
  </si>
  <si>
    <t>Festas Populares de Santo António de Lisboa</t>
  </si>
  <si>
    <t>12 e 13 de junho</t>
  </si>
  <si>
    <t>Arraial de Alfama, casamentos de Santo António, sardinha assada no passeio; a maior festa popular da capital com o Cortejo da Rainha Santa à meia-noite.</t>
  </si>
  <si>
    <t>Alfama, Lisboa</t>
  </si>
  <si>
    <t>Festa das Adiafas</t>
  </si>
  <si>
    <t>Cadaval</t>
  </si>
  <si>
    <t>Festa do fim das vindimas com partilha do pão e vinho entre proprietários e trabalhadores; tradição do Oeste da berma da Serra dos Candeeiros.</t>
  </si>
  <si>
    <t xml:space="preserve">  🟧  ALENTEJO  —  Festas, Romarias e Tradições  ·  10 festividades</t>
  </si>
  <si>
    <t>Festa das Santas Cruzes</t>
  </si>
  <si>
    <t>Serpa</t>
  </si>
  <si>
    <t>Final abril / início maio</t>
  </si>
  <si>
    <t>Uma das mais antigas festas do Alentejo; procissão nocturna com cruzes floridas; os moradores enfeitam as janelas com colchas bordadas à luz de archotes.</t>
  </si>
  <si>
    <t>Romaria de Nossa Senhora de Aires</t>
  </si>
  <si>
    <t>Viana do Alentejo</t>
  </si>
  <si>
    <t>4º fim-de-semana de abril</t>
  </si>
  <si>
    <t>Maior romaria do Alentejo com 100 000 peregrinos; basílica branca da planície com orações ao ar livre, cante alentejano polifónico e feiras de artesanato.</t>
  </si>
  <si>
    <t>Santuário de N.ª S.ª de Aires, Viana do Alentejo</t>
  </si>
  <si>
    <t>Festa de Nossa Senhora do Carmo</t>
  </si>
  <si>
    <t>Moura</t>
  </si>
  <si>
    <t>Fim de semana próximo 16 julho</t>
  </si>
  <si>
    <t>Arraial alentejano com cante a duas vozes; procissão noturna com velas pela vila mourisca junto ao castelo; gaspacho e borrego na festa de julho.</t>
  </si>
  <si>
    <t>Festas do Povo</t>
  </si>
  <si>
    <t>Campo Maior</t>
  </si>
  <si>
    <t>Agosto/setembro (de 4 em 4 anos)</t>
  </si>
  <si>
    <t>Cada rua transforma-se numa estufa de flores de papel crepe; 60 km de flores cobrindo fachadas e varandas de Campo Maior; tradição quadrienal única no mundo.</t>
  </si>
  <si>
    <t>Festival Sudoeste</t>
  </si>
  <si>
    <t>Odemira</t>
  </si>
  <si>
    <t>1ª quinzena de agosto</t>
  </si>
  <si>
    <t>Festival internacional à beira-mar na Costa Alentejana; música electrónica, rock e hip-hop com campismo; pôr-do-sol atlântico como cenário único.</t>
  </si>
  <si>
    <t>Zambujeira do Mar, Odemira</t>
  </si>
  <si>
    <t>Festa de Pias</t>
  </si>
  <si>
    <t>Último fim-de-semana de agosto</t>
  </si>
  <si>
    <t>Aldeia do cante alentejano; grupos corais confrontam-se em desgarrada vocal; jantar comunitário de gaspacho e açorda de coelho ao ritmo do cante.</t>
  </si>
  <si>
    <t>3º fim-de-semana de outubro</t>
  </si>
  <si>
    <t>Feira agropecuária do baixo Alentejo com touros e cavalos lusitanos; cante alentejano em palco aberto; bode assado e gaspacho nos stands de outubro.</t>
  </si>
  <si>
    <t>Festa de São Sisenando</t>
  </si>
  <si>
    <t>24 de outubro</t>
  </si>
  <si>
    <t>Veneração do martir visigótico padroeiro de Beja; missa solene na Sé e procissão pelas calçadas romanas; almoço de perdiz com açorda na festa de outubro.</t>
  </si>
  <si>
    <t>Festa de Nossa Senhora de Guadalupe</t>
  </si>
  <si>
    <t>Sexta-Feira Santa</t>
  </si>
  <si>
    <t>Romaria de Sexta-Feira Santa ao santuário da planície alentejana; peregrinação descalça e distribuição de pão bento à saída da missa do Senhor Morto.</t>
  </si>
  <si>
    <t>Romaria de Nossa Senhora da Boa Nova</t>
  </si>
  <si>
    <t>Alandroal</t>
  </si>
  <si>
    <t>Domingo e Segunda de Pascoela</t>
  </si>
  <si>
    <t>Primeira romaria do Alentejo após a Páscoa; devotos partem de noite a pé para chegar ao santuário ao nascer do sol da Pascoela.</t>
  </si>
  <si>
    <t xml:space="preserve">  🟦  ALGARVE  —  Festas, Romarias e Tradições  ·  15 festividades</t>
  </si>
  <si>
    <t>Feira dos Enchidos Tradicionais</t>
  </si>
  <si>
    <t>Monchique</t>
  </si>
  <si>
    <t>1º fim-de-semana de março</t>
  </si>
  <si>
    <t>Salpicão, morcela e presunto da serra entre névoas de eucalipto de Monchique; fogo de lenha, aguardente de medronho e artesanato serrano do Algarve.</t>
  </si>
  <si>
    <t>Festa das Tochas Floridas</t>
  </si>
  <si>
    <t>São Brás de Alportel</t>
  </si>
  <si>
    <t>Domingo de Páscoa</t>
  </si>
  <si>
    <t>Procissão de Páscoa com tochas de flores naturais feitas à mão; mulheres vestem o traje algarvio e carregam andores florescentes — a festa mais fotografada do Algarve.</t>
  </si>
  <si>
    <t>Festa da Mãe Soberana</t>
  </si>
  <si>
    <t>Loulé</t>
  </si>
  <si>
    <t>2º domingo após Páscoa</t>
  </si>
  <si>
    <t>Descida solene da imagem do santuário para a Sé de Loulé; maior manifestação religiosa do Algarve com 100 000 devotos ao longo de duas semanas.</t>
  </si>
  <si>
    <t>Santuário de N.ª S.ª da Piedade, Loulé</t>
  </si>
  <si>
    <t>Festa do 1º de Maio</t>
  </si>
  <si>
    <t>1 de maio</t>
  </si>
  <si>
    <t>Convívio popular algarvio com almoço de caçoila de porco preto; concerto de fado e arraial de dança regional no anfiteatro ao ar livre de Loulé.</t>
  </si>
  <si>
    <t>Festival da Caldeirada e do Mar</t>
  </si>
  <si>
    <t>Silves</t>
  </si>
  <si>
    <t>Final de maio / início de junho</t>
  </si>
  <si>
    <t>Gastronomia piscatória no berço da antiga capital árabe; caldeirada de peixe ao rio, cataplana de marisco e concerto de guitarra portuguesa.</t>
  </si>
  <si>
    <t>Feira Medieval de Silves</t>
  </si>
  <si>
    <t>Recriação histórica no castelo árabe da antiga capital do Al-Gharb; cavaleiros, acrobatas e jugulares medievais; gastronomia árabe e cristã entre muralhas.</t>
  </si>
  <si>
    <t>Festa de Nossa Senhora da Orada</t>
  </si>
  <si>
    <t>Albufeira</t>
  </si>
  <si>
    <t>2º domingo de agosto</t>
  </si>
  <si>
    <t>A santa protetora dos pescadores de Albufeira; procissão ao mar com bênção das embarcações decoradas de flores e bandeiras coloridas.</t>
  </si>
  <si>
    <t>Festa de Nossa Senhora da Conceição</t>
  </si>
  <si>
    <t>Lagoa</t>
  </si>
  <si>
    <t>15 de agosto</t>
  </si>
  <si>
    <t>Maior festa de Lagoa; procissão ao amanhecer e missa campal; concerto de fados algarvios e arraial nocturno com fogo sobre o mar.</t>
  </si>
  <si>
    <t>Festa de Nossa Senhora d'Alva</t>
  </si>
  <si>
    <t>Aljezur</t>
  </si>
  <si>
    <t>29 de agosto</t>
  </si>
  <si>
    <t>Romaria à ermida branca sobre a foz do rio Aljezur; bênção do peixe e procissão de barcos de pesca artesanal na ria de Aljezur.</t>
  </si>
  <si>
    <t>Festa de Nossa Senhora da Luz</t>
  </si>
  <si>
    <t>8 de setembro</t>
  </si>
  <si>
    <t>Romaria de setembro ao santuário costeiro de Lagoa; procissão de pescadores com a imagem no carro-de-bois puxado pelos bois tradicionais.</t>
  </si>
  <si>
    <t>Festa de São Gonçalo de Lagos</t>
  </si>
  <si>
    <t>Lagos</t>
  </si>
  <si>
    <t>Último domingo de outubro</t>
  </si>
  <si>
    <t>Veneração do frade dominicano que evangelizou os pescadores de Lagos; procissão das redes e bênção do porto; caldo verde e peixe grelhado no arraial.</t>
  </si>
  <si>
    <t>Feira de São Martinho</t>
  </si>
  <si>
    <t>Portimão</t>
  </si>
  <si>
    <t>11 de novembro</t>
  </si>
  <si>
    <t>Magusto de castanhas no Algarve; tenda de vinho novo e petiscos junto ao rio Arade; concurso de ranchos folclóricos algarvios na festa de S. Martinho.</t>
  </si>
  <si>
    <t>Festival da Batata-Doce de Aljezur</t>
  </si>
  <si>
    <t>Último fim-de-semana de novembro</t>
  </si>
  <si>
    <t>A batata-doce roxa de Aljezur (IGP) celebrada com pratos únicos; pastelaria, pão e licor de batata-doce; maior certame gastronómico do barlavento algarvio.</t>
  </si>
  <si>
    <t>7 e 8 de dezembro</t>
  </si>
  <si>
    <t>Véspera da Imaculada Conceição em Loulé; descida da imagem do santuário para o centro; fogueiras nas ruas e pão-por-Deus em véspera de festa.</t>
  </si>
  <si>
    <t>Festa da Espiga</t>
  </si>
  <si>
    <t>Quinta-Feira da Ascensão</t>
  </si>
  <si>
    <t>Tradição agrária algarvia; mulheres recolhem ramos de trigo, papoilas, rosmaninho e oliveira para a mesa em gratidão pelas colheitas em flor.</t>
  </si>
  <si>
    <t>🎉  130 festividades  ·  Portugal Vivo — Base de Dados de Turismo Cultural  ·  Organizado por Região e Data Cronológica</t>
  </si>
  <si>
    <t xml:space="preserve">  🟫  MADEIRA  ·  5 entradas  ·  NOVO CONTEÚDO ADICIONADO</t>
  </si>
  <si>
    <t>Festa da Flor do Funchal</t>
  </si>
  <si>
    <t>Funchal</t>
  </si>
  <si>
    <t>Abril/Maio</t>
  </si>
  <si>
    <t>Festival das flores mais colorido do Atlântico: tapetes florais nas ruas do Funchal, cortejo infantil da Paz e desfile com carros alegóricos cobertos de flores. Iniciado em 1954, atrai 100 000 visitantes.</t>
  </si>
  <si>
    <t>https://festaflorfunchal.com</t>
  </si>
  <si>
    <t>Avenida Arriaga, Funchal</t>
  </si>
  <si>
    <t>Carnaval do Funchal</t>
  </si>
  <si>
    <t>O mais antigo carnaval de Portugal (documentado desde séc. XVIII). Trapalhão nocturno, cortejo alegórico e cortejo popular com escolas de samba. Maior festa pré-quaresmal do país.</t>
  </si>
  <si>
    <t>Centro do Funchal</t>
  </si>
  <si>
    <t>Festa da Vindima da Madeira</t>
  </si>
  <si>
    <t>Câmara de Lobos</t>
  </si>
  <si>
    <t>Vindima nos únicos vinhedos em terraços de altitude do Atlântico. Lagar tradicional com pisa a pés, folclore madeirense e degustação de Vinho Madeira histórico.</t>
  </si>
  <si>
    <t>Nossa Senhora do Monte</t>
  </si>
  <si>
    <t>Maior peregrinação da Madeira. Tradição dos carros de cesto na descida. Local onde morreu o Imperador Carlos I da Áustria (1922).</t>
  </si>
  <si>
    <t>Igreja do Monte, Funchal</t>
  </si>
  <si>
    <t>Festa de S. João — Ribeira Brava</t>
  </si>
  <si>
    <t>Ribeira Brava</t>
  </si>
  <si>
    <t>24 de junho</t>
  </si>
  <si>
    <t>Arraial de São João na vila piscatória. Música folclórica madeirense, fogo de artifício sobre o oceano, espetada na brasa e poncha artesanal.</t>
  </si>
  <si>
    <t xml:space="preserve">  🟪  AÇORES  ·  5 entradas  ·  NOVO CONTEÚDO ADICIONADO</t>
  </si>
  <si>
    <t>Festa do Espírito Santo</t>
  </si>
  <si>
    <t>Todo o arquipélago</t>
  </si>
  <si>
    <t>Maio–Julho</t>
  </si>
  <si>
    <t>Tradição mais profunda dos Açores: irmandades distribuem alimentos, coroação simbólica, impérios decorados e sopas do Espírito Santo. Tradição viva única no mundo, exportada à diáspora americana.</t>
  </si>
  <si>
    <t>Impérios de todo o arquipélago</t>
  </si>
  <si>
    <t>Sanjoaninas de Angra do Heroísmo</t>
  </si>
  <si>
    <t>21–30 de junho</t>
  </si>
  <si>
    <t>A maior festa dos Açores em torno de São João Baptista desde séc. XV. Touradas à corda, músicas regionais, romarias e arraiais na cidade Património Mundial UNESCO.</t>
  </si>
  <si>
    <t>https://sanjoaninas.pt</t>
  </si>
  <si>
    <t>Angra do Heroísmo, Terceira</t>
  </si>
  <si>
    <t>Touradas à Corda da Terceira</t>
  </si>
  <si>
    <t>Junho–Setembro</t>
  </si>
  <si>
    <t>Toureio açoreano único no mundo: touro controlado por 8 pastores com cordas, nunca ferido. Tradição do séc. XVI. Candidatura UNESCO ao Patrimônio Imaterial.</t>
  </si>
  <si>
    <t>Festa da Senhora da Rosa — Pico</t>
  </si>
  <si>
    <t>Madalena, Pico</t>
  </si>
  <si>
    <t>Romaria com procissão marítima de embarcações decoradas, viola da terra e gastronomia. A ilha foi o maior porto baleeiro europeu do séc. XIX.</t>
  </si>
  <si>
    <t>Festa de S. Pedro — Ribeira Grande</t>
  </si>
  <si>
    <t>Ribeira Grande, São Miguel</t>
  </si>
  <si>
    <t>Festa de São Pedro em Ribeira Grande com arraial, fogo de artifício sobre o oceano, música açoreana e concurso de lapas grelhadas.</t>
  </si>
  <si>
    <t>Norte · Centro · Lisboa · Alentejo · Algarve · Açores · Madeira  ·  🗺 GPS com coordenadas exatas  ·  Circular = PIN no ponto de partida  ·  Linear = Rota a pé</t>
  </si>
  <si>
    <t>Nome do Percurso</t>
  </si>
  <si>
    <t>Sub-Região</t>
  </si>
  <si>
    <t>Distância</t>
  </si>
  <si>
    <t>Duração</t>
  </si>
  <si>
    <t>Dificuldade</t>
  </si>
  <si>
    <t>Alt. Máx.</t>
  </si>
  <si>
    <t>Melhor Época</t>
  </si>
  <si>
    <t>Morada / Partida</t>
  </si>
  <si>
    <t>GR50 — Grande Rota Peneda-Gerês</t>
  </si>
  <si>
    <t>180 km</t>
  </si>
  <si>
    <t>10-12 dias</t>
  </si>
  <si>
    <t>Difícil</t>
  </si>
  <si>
    <t>Linear</t>
  </si>
  <si>
    <t>1 548 m</t>
  </si>
  <si>
    <t>Maio–Outubro</t>
  </si>
  <si>
    <t>Portela do Homem — EN308, 4850 Terras de Bouro</t>
  </si>
  <si>
    <t>PR1 TBR — Trilho da Cidade da Calcedónia</t>
  </si>
  <si>
    <t>7 km</t>
  </si>
  <si>
    <t>4h30</t>
  </si>
  <si>
    <t>Elevada</t>
  </si>
  <si>
    <t>Circular</t>
  </si>
  <si>
    <t>999 m</t>
  </si>
  <si>
    <t>Abr–Jun | Set–Out</t>
  </si>
  <si>
    <t>Aldeia de Vilar da Veiga, Terras de Bouro</t>
  </si>
  <si>
    <t>PR2 TBR — Trilho do Castelo</t>
  </si>
  <si>
    <t>6 km</t>
  </si>
  <si>
    <t>3h</t>
  </si>
  <si>
    <t>Moderada</t>
  </si>
  <si>
    <t>820 m</t>
  </si>
  <si>
    <t>Mar–Jun | Set–Nov</t>
  </si>
  <si>
    <t>Gerês, Terras de Bouro</t>
  </si>
  <si>
    <t>PR3 TBR — Trilho dos Currais</t>
  </si>
  <si>
    <t>10 km</t>
  </si>
  <si>
    <t>4h</t>
  </si>
  <si>
    <t>Médio-Elevada</t>
  </si>
  <si>
    <t>1 200 m</t>
  </si>
  <si>
    <t>Mai–Set (vezeira</t>
  </si>
  <si>
    <t>PR4 TBR — Trilho dos Moinhos e Regadios Tradicionais</t>
  </si>
  <si>
    <t>8 km</t>
  </si>
  <si>
    <t>Fácil</t>
  </si>
  <si>
    <t>600 m</t>
  </si>
  <si>
    <t>Abr–Out</t>
  </si>
  <si>
    <t>Portela do Homem, Terras de Bouro</t>
  </si>
  <si>
    <t>PR5 TBR — Trilho da Águia do Sarilhão</t>
  </si>
  <si>
    <t>9 km</t>
  </si>
  <si>
    <t>Média</t>
  </si>
  <si>
    <t>650 m</t>
  </si>
  <si>
    <t>Abr–Jun | Set–Nov</t>
  </si>
  <si>
    <t>Vale do Homem, Terras de Bouro</t>
  </si>
  <si>
    <t>PR6 TBR — Trilho dos Miradouros</t>
  </si>
  <si>
    <t>5h</t>
  </si>
  <si>
    <t>930 m</t>
  </si>
  <si>
    <t>PR7 TBR — Trilho de São Bento</t>
  </si>
  <si>
    <t>12 km</t>
  </si>
  <si>
    <t>750 m</t>
  </si>
  <si>
    <t>Covide, Terras de Bouro</t>
  </si>
  <si>
    <t>PR8 TBR — Trilho do Couto de Souto</t>
  </si>
  <si>
    <t>11 km</t>
  </si>
  <si>
    <t>Souto, Terras de Bouro</t>
  </si>
  <si>
    <t>PR9 TBR — Trilho da Geira (Via Romana XVII)</t>
  </si>
  <si>
    <t>15 km</t>
  </si>
  <si>
    <t>800 m</t>
  </si>
  <si>
    <t>Portela do Homem, EN308, Terras de Bouro</t>
  </si>
  <si>
    <t>PR10 TBR — Trilho da Preguiça</t>
  </si>
  <si>
    <t>5.5 km</t>
  </si>
  <si>
    <t>852 m</t>
  </si>
  <si>
    <t>Centro de Interpretação, Gerês, Terras de Bouro</t>
  </si>
  <si>
    <t>PR11 TBR — Trilho das Silhas dos Ursos</t>
  </si>
  <si>
    <t>5 km</t>
  </si>
  <si>
    <t>1100 m</t>
  </si>
  <si>
    <t>Mai–Out</t>
  </si>
  <si>
    <t>PR12 TBR — Trilho dos Moinhos de Sta. Isabel do Monte</t>
  </si>
  <si>
    <t>2h30</t>
  </si>
  <si>
    <t>550 m</t>
  </si>
  <si>
    <t>Mar–Nov</t>
  </si>
  <si>
    <t>Região Norte</t>
  </si>
  <si>
    <t>PR13 TBR — Trilho da Albufeira da Caniçada</t>
  </si>
  <si>
    <t>14 km</t>
  </si>
  <si>
    <t>700 m</t>
  </si>
  <si>
    <t>PR14 TBR — Trilho do Sobreiral da Ermida do Gerês</t>
  </si>
  <si>
    <t>13.3 km</t>
  </si>
  <si>
    <t>PR1 AVV — Trilho Pertinho do Céu</t>
  </si>
  <si>
    <t>16 km</t>
  </si>
  <si>
    <t>6h</t>
  </si>
  <si>
    <t>1 416 m</t>
  </si>
  <si>
    <t>Jun–Set</t>
  </si>
  <si>
    <t>PR4 AVV — Trilho das Brandas do Sistelo</t>
  </si>
  <si>
    <t>14.5 km</t>
  </si>
  <si>
    <t>920 m</t>
  </si>
  <si>
    <t>PR5 AVV — Trilho da Peneda</t>
  </si>
  <si>
    <t>980 m</t>
  </si>
  <si>
    <t>PR8 AVV — Trilho do Urzal — Ciclo do Pão</t>
  </si>
  <si>
    <t>18 km</t>
  </si>
  <si>
    <t>PR1 MLG — Trilho do Megalitismo do Planalto</t>
  </si>
  <si>
    <t>1 150 m</t>
  </si>
  <si>
    <t>Mai–Set</t>
  </si>
  <si>
    <t>PR5 MLG — Trilho Interpretativo de Castro Laboreiro</t>
  </si>
  <si>
    <t>1 000 m</t>
  </si>
  <si>
    <t>Jun–Out</t>
  </si>
  <si>
    <t>PR1 PTB — Trilho dos Moinhos de Parada</t>
  </si>
  <si>
    <t>500 m</t>
  </si>
  <si>
    <t>PR1 MTR — Trilho do Leiranco (Montalegre-PNPG)</t>
  </si>
  <si>
    <t>830 m</t>
  </si>
  <si>
    <t>Abr–Nov</t>
  </si>
  <si>
    <t>PR6 MTR — Rota do Contrabando</t>
  </si>
  <si>
    <t>1 100 m</t>
  </si>
  <si>
    <t>PP1 BGC — Castro de Avelãs</t>
  </si>
  <si>
    <t>Trás-os-Montes</t>
  </si>
  <si>
    <t>730 m</t>
  </si>
  <si>
    <t>Região Trás-os-Montes</t>
  </si>
  <si>
    <t>PP2 BGC — Viduedo</t>
  </si>
  <si>
    <t>3h30</t>
  </si>
  <si>
    <t>850 m</t>
  </si>
  <si>
    <t>PP3 BGC — Rio de Onor — Aldeia Bilingue</t>
  </si>
  <si>
    <t>PP7 BGC — Na Rota dos Cervídeos — Guadramil</t>
  </si>
  <si>
    <t>Set–Nov (época</t>
  </si>
  <si>
    <t>PP11 BGC — Montesinho — Aldeia da Serra</t>
  </si>
  <si>
    <t>PR1 VNH — Trilho da Serra da Calçada (Vinhais)</t>
  </si>
  <si>
    <t>Parque Natural do Alvão</t>
  </si>
  <si>
    <t>PR1 MDB — Caminhos da Sra. da Graça — Fisgas de Ermelo</t>
  </si>
  <si>
    <t>13 km</t>
  </si>
  <si>
    <t>Ermelo, Mondim de Basto</t>
  </si>
  <si>
    <t>PR2 MDB — Levada de Piscaredo</t>
  </si>
  <si>
    <t>Mar–Out</t>
  </si>
  <si>
    <t>Ribeiro Frio, Funchal</t>
  </si>
  <si>
    <t>PP1 MDB — Ponte Medieval do Cabril</t>
  </si>
  <si>
    <t>PR4 VPA — Trilho do Alvão</t>
  </si>
  <si>
    <t>1 330 m</t>
  </si>
  <si>
    <t>Campeã, Vila Real</t>
  </si>
  <si>
    <t>PR1 MDR — De Miranda do Douro ao S. João das Arribas</t>
  </si>
  <si>
    <t>Serra da Lousã / Aldeias Xisto</t>
  </si>
  <si>
    <t>5h30</t>
  </si>
  <si>
    <t>Régua, Vila Real</t>
  </si>
  <si>
    <t>PR1 MGD — Trilho de São Cristóvão</t>
  </si>
  <si>
    <t>Parque Natural Douro Internacional</t>
  </si>
  <si>
    <t>Região Douro</t>
  </si>
  <si>
    <t>PR4 MGD — Trilho da Faia da Água Alta</t>
  </si>
  <si>
    <t>780 m</t>
  </si>
  <si>
    <t>Mar–Jun (cascata</t>
  </si>
  <si>
    <t>PR7 MGD — Trilho da Fraga do Sapato</t>
  </si>
  <si>
    <t>Serra do Marão / Douro Vinhateiro</t>
  </si>
  <si>
    <t>PR1 AMT — Rota do Marancinho</t>
  </si>
  <si>
    <t>Marancinho</t>
  </si>
  <si>
    <t>SMP PR2 — Trilho do Céu e da Terra</t>
  </si>
  <si>
    <t>LMG PR2 — Percurso do Vinho do Porto</t>
  </si>
  <si>
    <t>Set–Out</t>
  </si>
  <si>
    <t>TBC PR3 — Socalcos do Douro (Tabuaço)</t>
  </si>
  <si>
    <t>Set–Nov | Abr–Mai</t>
  </si>
  <si>
    <t>BAO PP — O Caminho de Jacinto (Baião)</t>
  </si>
  <si>
    <t>Alto Minho</t>
  </si>
  <si>
    <t>Região Minho</t>
  </si>
  <si>
    <t>PR1 EPS — Entre o Neiva e o Atlântico</t>
  </si>
  <si>
    <t>9.5 km</t>
  </si>
  <si>
    <t>50 m</t>
  </si>
  <si>
    <t>Abr–Set</t>
  </si>
  <si>
    <t>PR5 EPS — Pela Arriba Fóssil — S. da Guia ao Monte Faro</t>
  </si>
  <si>
    <t>160 m</t>
  </si>
  <si>
    <t>Mar–Out (ventos</t>
  </si>
  <si>
    <t>PR1 PCR — Trilho Corno de Bico (Paredes de Coura)</t>
  </si>
  <si>
    <t>1 071 m</t>
  </si>
  <si>
    <t>PR4 PCR — Trilho da Varanda do Coura</t>
  </si>
  <si>
    <t>PR3 PTL — Trilho da Serra D'Arga — Lobo Atlântico</t>
  </si>
  <si>
    <t>7h</t>
  </si>
  <si>
    <t>823 m</t>
  </si>
  <si>
    <t>VLN PR2 — Trilho de Monte Faro (Valença)</t>
  </si>
  <si>
    <t>565 m</t>
  </si>
  <si>
    <t>Porta do Sol, Valença</t>
  </si>
  <si>
    <t>PR1 MCD — Trilho dos Caretos (Macedo de Cavaleiros)</t>
  </si>
  <si>
    <t>Jan–Fev</t>
  </si>
  <si>
    <t>PR12 MCD — Rota Fraga dos Corvos</t>
  </si>
  <si>
    <t>680 m</t>
  </si>
  <si>
    <t>Vila do Corvo</t>
  </si>
  <si>
    <t>PR1 MDL — Trilho do Tua (Mirandela)</t>
  </si>
  <si>
    <t>400 m</t>
  </si>
  <si>
    <t>PR1 AFE — Trilho de Vilares da Vilariça (Alfândega da Fé)</t>
  </si>
  <si>
    <t>Centro Interpretação Lousã</t>
  </si>
  <si>
    <t>PR3 CRZ — Trilho da Foz do Tua (Carrazeda de Ansiães)</t>
  </si>
  <si>
    <t>Set–Nov (colheita</t>
  </si>
  <si>
    <t>BTC PP1 — Alturas do Barroso (Boticas)</t>
  </si>
  <si>
    <t>Serra Boticas / Chaves / Montalegre</t>
  </si>
  <si>
    <t>1 279 m</t>
  </si>
  <si>
    <t>VPA PR6 — Trilho de Tresminas (Vila Pouca de Aguiar)</t>
  </si>
  <si>
    <t>RPN PR1 — Caminho do Abade (Ribeira da Pena)</t>
  </si>
  <si>
    <t>Grande Porto / Vale do Sousa</t>
  </si>
  <si>
    <t>900 m</t>
  </si>
  <si>
    <t>GR22 Estrela — Grande Rota da Serra da Estrela</t>
  </si>
  <si>
    <t>167 km</t>
  </si>
  <si>
    <t>1 993 m</t>
  </si>
  <si>
    <t>Jun–Set (cume) |</t>
  </si>
  <si>
    <t>Sabugueiro, Seia</t>
  </si>
  <si>
    <t>PR1 MTG — Rota do Glaciar — Vale do Zêzere</t>
  </si>
  <si>
    <t>1 400 m</t>
  </si>
  <si>
    <t>Vale do Zêzere, Manteigas</t>
  </si>
  <si>
    <t>PR2 MTG — Rota do Poço do Inferno</t>
  </si>
  <si>
    <t>Serra da Estrela</t>
  </si>
  <si>
    <t>PR3 MTG — Maciço Central — Torre e Cântaro Magro</t>
  </si>
  <si>
    <t>Jul–Set (risco</t>
  </si>
  <si>
    <t>PR4 SEI — Covão dos Conchos — Rota do Labirinto</t>
  </si>
  <si>
    <t>PR5 CVL — Rota da Garganta de Loriga</t>
  </si>
  <si>
    <t>1 800 m</t>
  </si>
  <si>
    <t>Jun–Set (perigoso</t>
  </si>
  <si>
    <t>Loriga, Seia</t>
  </si>
  <si>
    <t>PR6 GVA — Rota dos Penedos Mouros (Gouveia)</t>
  </si>
  <si>
    <t>PR7 CLB — Ladeiras de Celorico da Beira</t>
  </si>
  <si>
    <t>PR8 MTG — Trilho das Barreiras e Cabeços da Estrela</t>
  </si>
  <si>
    <t>1 600 m</t>
  </si>
  <si>
    <t>PR9 BLM — Rota das Aldeias Históricas — Belmonte</t>
  </si>
  <si>
    <t>Região Centro</t>
  </si>
  <si>
    <t>PR10 SEI — Rota das Levadas — Seia</t>
  </si>
  <si>
    <t>Seia, Guarda</t>
  </si>
  <si>
    <t>PR11 CVL — Rota das Fragas do Cântaro Gordo</t>
  </si>
  <si>
    <t>PR12 GVA — Caminhos da Fé — Via Sacra de Gouveia</t>
  </si>
  <si>
    <t>LSA PR3 — Rota da Levada — Cerdeira e Candal</t>
  </si>
  <si>
    <t>LSA PR1 — Rota dos Moinhos — Castelo de Arouce</t>
  </si>
  <si>
    <t>5.3 km</t>
  </si>
  <si>
    <t>2h</t>
  </si>
  <si>
    <t>LSA PR4 — Rota das Quatro Aldeias</t>
  </si>
  <si>
    <t>GOI PR4 — Trilho da Serra do Açor</t>
  </si>
  <si>
    <t>17 km</t>
  </si>
  <si>
    <t>6h30</t>
  </si>
  <si>
    <t>1 340 m</t>
  </si>
  <si>
    <t>Aldeia de Chiqueiro, Góis</t>
  </si>
  <si>
    <t>GOI PR3 — Trilho do Vale do Ceira</t>
  </si>
  <si>
    <t>Góis</t>
  </si>
  <si>
    <t>PPS PR1 — Caminho do Xisto de Fajão</t>
  </si>
  <si>
    <t>9.2 km</t>
  </si>
  <si>
    <t>OHP PR1 — Caminho do Xisto de Aldeia das Dez — Várzeas do Alvoco</t>
  </si>
  <si>
    <t>Dez — Várzeas do Alvoco</t>
  </si>
  <si>
    <t>PCV PR1 — Penacova, o Mondego e a Lampreia</t>
  </si>
  <si>
    <t>Jan–Abr (época</t>
  </si>
  <si>
    <t>Parque Verde do Mondego, Coimbra</t>
  </si>
  <si>
    <t>PMS PR1 — Serra da Lua</t>
  </si>
  <si>
    <t>678 m</t>
  </si>
  <si>
    <t>PMS PR3 — Lapa dos Pocilgões — Espeleologia e Grutas</t>
  </si>
  <si>
    <t>PMS PR9 — Estrada Romana e Lapiás de Porto de Mós</t>
  </si>
  <si>
    <t>PMS PR6 — Fórnea — Maior Dolina de Portugal</t>
  </si>
  <si>
    <t>Serras de Aire e Candeeiros</t>
  </si>
  <si>
    <t>Maior Dolina de Portugal</t>
  </si>
  <si>
    <t>TNV PR1 — Grutas do Almonda — Torres Novas</t>
  </si>
  <si>
    <t>Ribatejo / Tejo</t>
  </si>
  <si>
    <t>150 m</t>
  </si>
  <si>
    <t>Novas</t>
  </si>
  <si>
    <t>PBL PR1 — Trilho da Lagoa de São José (Pombal)</t>
  </si>
  <si>
    <t>Geopark Naturtejo</t>
  </si>
  <si>
    <t>200 m</t>
  </si>
  <si>
    <t>OLR PR3 — GeoRota do Orvalho — Passadiços</t>
  </si>
  <si>
    <t>IDN PR1 — Rota dos Abutres — Idanha-a-Nova</t>
  </si>
  <si>
    <t>Set–Nov | Jan–Mar</t>
  </si>
  <si>
    <t>IDN PR2 — Rota da Egitânia — Idanha-a-Velha</t>
  </si>
  <si>
    <t>IDN PR4 — Rota das Minas — Terras de Idanha</t>
  </si>
  <si>
    <t>Abr–Nov (minas:</t>
  </si>
  <si>
    <t>VVR PR1 — Rota das Invasões — Vila Velha de Ródão</t>
  </si>
  <si>
    <t>350 m</t>
  </si>
  <si>
    <t>PNV PR1 — A História na Paisagem — Proença-a-Nova</t>
  </si>
  <si>
    <t>SRT PR1 — Trilho dos Bufos — Sertã</t>
  </si>
  <si>
    <t>CTB PR1 — Rota da Gardunha — Fundão</t>
  </si>
  <si>
    <t>21 km</t>
  </si>
  <si>
    <t>1 227 m</t>
  </si>
  <si>
    <t>Abr–Jun (floração</t>
  </si>
  <si>
    <t>GR22 Sortelha — GR22 — Sortelha e Monsanto (Aldeias Históricas)</t>
  </si>
  <si>
    <t>30 km</t>
  </si>
  <si>
    <t>2 dias</t>
  </si>
  <si>
    <t>758 m</t>
  </si>
  <si>
    <t>FND PR1 Cereja — Rota da Cereja — Fundão</t>
  </si>
  <si>
    <t>Abr (floração) |</t>
  </si>
  <si>
    <t>CVL PR2 — Rota das Fontes — Covilhã</t>
  </si>
  <si>
    <t>PNC PR1 — Rota da Vila — Penamacor</t>
  </si>
  <si>
    <t>Serra de São Mamede</t>
  </si>
  <si>
    <t>MRV PR2 — Percurso Pedestre de Marvão</t>
  </si>
  <si>
    <t>862 m</t>
  </si>
  <si>
    <t>Marvão</t>
  </si>
  <si>
    <t>CVD PR1 — Serra de São Paulo — Castelo de Vide</t>
  </si>
  <si>
    <t>Castelo de Vide, Portalegre</t>
  </si>
  <si>
    <t>NIS PR2 — Descobrir o Tejo — Nisa</t>
  </si>
  <si>
    <t>300 m</t>
  </si>
  <si>
    <t>Set–Mai</t>
  </si>
  <si>
    <t>Constância, Santarém</t>
  </si>
  <si>
    <t>ARR PR1 — Percurso da Esperança — Arronches</t>
  </si>
  <si>
    <t>Out–Mai</t>
  </si>
  <si>
    <t>PTG PR1 — Percurso Pedestre das Carreiras — Portalegre</t>
  </si>
  <si>
    <t>Portalegre</t>
  </si>
  <si>
    <t>Buçaco PR1 — Trilho do Buçaco — Via Sacra e Fontes</t>
  </si>
  <si>
    <t>Buçaco / Mondego</t>
  </si>
  <si>
    <t>547 m</t>
  </si>
  <si>
    <t>Outubro transforma-se num</t>
  </si>
  <si>
    <t>Mata do Buçaco, Mealhada</t>
  </si>
  <si>
    <t>CDN PR1 — Rota de Conímbriga — Arqueologia Romana</t>
  </si>
  <si>
    <t>AVZ PR3 — Grande Fórnea — Alvaiázere</t>
  </si>
  <si>
    <t>PCV PR2 — Na Rota dos Moinhos do Buçaco</t>
  </si>
  <si>
    <t>ANS PR1 — Rota dos Povoados Pré-históricos — Ansião</t>
  </si>
  <si>
    <t>FIG PR3 — Rota da Boa Viagem — Figueira da Foz</t>
  </si>
  <si>
    <t>12.6 km</t>
  </si>
  <si>
    <t>Set–Jun (Verão =</t>
  </si>
  <si>
    <t>SRD PR1 — Na Rota do Javali — Sardoal</t>
  </si>
  <si>
    <t>SRD PR5 — Caminho da Moura Encantada — Sardoal</t>
  </si>
  <si>
    <t>450 m</t>
  </si>
  <si>
    <t>ABT PR1 — Pico do Coelho — Abrantes</t>
  </si>
  <si>
    <t>Abrantes</t>
  </si>
  <si>
    <t>GAV PR1 — Arribas do Tejo — Gavião</t>
  </si>
  <si>
    <t>250 m</t>
  </si>
  <si>
    <t>ACN PR1 — Olhos de Água do Alviela (Alcanena)</t>
  </si>
  <si>
    <t>Região Lisboa</t>
  </si>
  <si>
    <t>TNV PR3 — Paúl do Boquilobo — Reserva Natural</t>
  </si>
  <si>
    <t>30 m</t>
  </si>
  <si>
    <t>Jan–Mai (aves</t>
  </si>
  <si>
    <t>SNT PR7 — Rota do Cabo da Roca — Ponta mais Ocidental</t>
  </si>
  <si>
    <t>Serra de Sintra</t>
  </si>
  <si>
    <t>486 m</t>
  </si>
  <si>
    <t>Mai–Out (Mar-Abr</t>
  </si>
  <si>
    <t>Sintra</t>
  </si>
  <si>
    <t>SNT PR1 — Rota de Santa Maria — Palácio da Pena</t>
  </si>
  <si>
    <t>530 m</t>
  </si>
  <si>
    <t>Maria — Palácio da Pena</t>
  </si>
  <si>
    <t>MFR PR5 — O Lobo Ibérico — Mafra</t>
  </si>
  <si>
    <t>Set–Jun</t>
  </si>
  <si>
    <t>TVD PR1 — Rota do Vinho e da Vinha — Torres Vedras</t>
  </si>
  <si>
    <t>Set–Out (vindima)</t>
  </si>
  <si>
    <t>SNT PR4 — Rota de Seteais — Monserrate</t>
  </si>
  <si>
    <t>Seteais — Monserrate</t>
  </si>
  <si>
    <t>CSC PR4 — Rota do Litoral do Guincho — Cascais</t>
  </si>
  <si>
    <t>100 m</t>
  </si>
  <si>
    <t>LNH PR1 — Rota dos Dinossauros — Lourinhã</t>
  </si>
  <si>
    <t>RMR PR1 — Marinhas de Sal de Rio Maior</t>
  </si>
  <si>
    <t>Marinhas de Sal de Rio Maior</t>
  </si>
  <si>
    <t>PR1 SSB — Chã dos Navegantes — Sesimbra</t>
  </si>
  <si>
    <t>Set–Jun (Jul-Ago</t>
  </si>
  <si>
    <t>SSB PR2 — Maravilhas do Cabo Espichel</t>
  </si>
  <si>
    <t>Sul</t>
  </si>
  <si>
    <t>156 m</t>
  </si>
  <si>
    <t>Maravilhas do Cabo Espichel</t>
  </si>
  <si>
    <t>PR1 SIN — Rota dos Conventos — Sintra</t>
  </si>
  <si>
    <t>Moderado</t>
  </si>
  <si>
    <t>529 m</t>
  </si>
  <si>
    <t>Out-Abr</t>
  </si>
  <si>
    <t>Sintra, Sintra</t>
  </si>
  <si>
    <t>PR2 SIN — Palácio da Pena ao Castelo dos Mouros</t>
  </si>
  <si>
    <t>6.5 km</t>
  </si>
  <si>
    <t>Todo o ano</t>
  </si>
  <si>
    <t>PR1 ARR — Cabo da Roca ao Guincho</t>
  </si>
  <si>
    <t>Costa Atlântica</t>
  </si>
  <si>
    <t>PR2 CAS — Arrábida — Portinho da Arrábida</t>
  </si>
  <si>
    <t>Serra da Arrábida</t>
  </si>
  <si>
    <t>501 m</t>
  </si>
  <si>
    <t>Abr-Out</t>
  </si>
  <si>
    <t>Portinho da Arrábida, Setúbal</t>
  </si>
  <si>
    <t>PR3 ARR — Trilho do Parque Natural da Arrábida</t>
  </si>
  <si>
    <t>Set-Jun</t>
  </si>
  <si>
    <t>PR1 OEI — Percurso do Tejo — Oeiras</t>
  </si>
  <si>
    <t>Estuário do Tejo</t>
  </si>
  <si>
    <t>45 m</t>
  </si>
  <si>
    <t>PR2 MFR — Tapada de Mafra</t>
  </si>
  <si>
    <t>Tapada Nacional de Mafra</t>
  </si>
  <si>
    <t>260 m</t>
  </si>
  <si>
    <t>Out-Mai</t>
  </si>
  <si>
    <t>PR3 SXL — Reserva Natural do Estuário do Sado</t>
  </si>
  <si>
    <t>Estuário do Sado</t>
  </si>
  <si>
    <t>PR4 SIN — Monserrate e Peninha — Sintra</t>
  </si>
  <si>
    <t>GR11 — Caminho de Santiago — Lisboa ao Porto Et.1</t>
  </si>
  <si>
    <t>Caminho do Interior</t>
  </si>
  <si>
    <t>28 km</t>
  </si>
  <si>
    <t>182 m</t>
  </si>
  <si>
    <t>Parque das Nações, Lisboa</t>
  </si>
  <si>
    <t>PR1 ALV — Arriba Fóssil da Costa da Caparica</t>
  </si>
  <si>
    <t>Arriba Fóssil</t>
  </si>
  <si>
    <t>60 m</t>
  </si>
  <si>
    <t>PR2 SAT — Serra de Sintra — Convento dos Capuchos</t>
  </si>
  <si>
    <t>PR3 PEN — Almada — Tejo e Cristo Rei</t>
  </si>
  <si>
    <t>Marginal Sul</t>
  </si>
  <si>
    <t>PR1 MAF — Peniche — Fortaleza e Berlengas</t>
  </si>
  <si>
    <t>Costa do Prata</t>
  </si>
  <si>
    <t>PR2 CAL — Cascais — Guincho e Boca do Inferno</t>
  </si>
  <si>
    <t>Costa de Cascais</t>
  </si>
  <si>
    <t>PR3 MFR — Ericeira — Aldeia de Pescadores</t>
  </si>
  <si>
    <t>Costa de Ericeira</t>
  </si>
  <si>
    <t>65 m</t>
  </si>
  <si>
    <t>PR4 SEI — Setúbal — Baía e Portinho</t>
  </si>
  <si>
    <t>220 m</t>
  </si>
  <si>
    <t>Portinho da Arrábida</t>
  </si>
  <si>
    <t>PR5 MFR — Torres Vedras — Linhas Defensivas</t>
  </si>
  <si>
    <t>Oeste</t>
  </si>
  <si>
    <t>Set-Mai</t>
  </si>
  <si>
    <t>PR6 CAL — Sintra — Mata da Penha Longa</t>
  </si>
  <si>
    <t>320 m</t>
  </si>
  <si>
    <t>PR7 SIN — Caminho dos Almocreves — Sintra a Cascais</t>
  </si>
  <si>
    <t>Serra/Costa de Sintra</t>
  </si>
  <si>
    <t>22 km</t>
  </si>
  <si>
    <t>PLM PR1 — Vales de Barris e Alcube — Palmela</t>
  </si>
  <si>
    <t>240 m</t>
  </si>
  <si>
    <t>Palmela</t>
  </si>
  <si>
    <t>ASL PR1 — Rota do Senhor dos Mártires — Alcácer do Sal</t>
  </si>
  <si>
    <t>Set–Mai (verão</t>
  </si>
  <si>
    <t>Região Alentejo</t>
  </si>
  <si>
    <t>GDL PR1 — Rota da Serra de Grândola</t>
  </si>
  <si>
    <t>326 m</t>
  </si>
  <si>
    <t>Out–Jun</t>
  </si>
  <si>
    <t>Trilho Pescadores Et.1 — Porto Covo — Vila Nova de Milfontes</t>
  </si>
  <si>
    <t>25 km</t>
  </si>
  <si>
    <t>Nova de Milfontes</t>
  </si>
  <si>
    <t>Trilho Pescadores Et.2 — Vila Nova de Milfontes — Almograve</t>
  </si>
  <si>
    <t>Costa Vicentina / Rota Vicentina</t>
  </si>
  <si>
    <t>20 km</t>
  </si>
  <si>
    <t>80 m</t>
  </si>
  <si>
    <t>Nova de Milfontes — Almograve</t>
  </si>
  <si>
    <t>Trilho Pescadores Et.3 — Almograve — Zambujeira do Mar</t>
  </si>
  <si>
    <t>Trilho Pescadores Et.4 — Zambujeira do Mar — Odeceixe</t>
  </si>
  <si>
    <t>Mar — Odeceixe</t>
  </si>
  <si>
    <t>ODM PR1 — Lapa das Pombas — Odemira</t>
  </si>
  <si>
    <t>Serra do Caldeirão</t>
  </si>
  <si>
    <t>Caminho Histórico Et.2 — Santiago do Cacém — Vale Seco</t>
  </si>
  <si>
    <t>8h</t>
  </si>
  <si>
    <t>280 m</t>
  </si>
  <si>
    <t>PR4 VBP — Pelas Encostas da Raposeira — Vila do Bispo</t>
  </si>
  <si>
    <t>PR1 MRT — Guadiana — O Grande Rio do Sul</t>
  </si>
  <si>
    <t>PR9 MRT — Entre Escalda e Pulo do Lobo</t>
  </si>
  <si>
    <t>Out–Abr</t>
  </si>
  <si>
    <t>PR10 MRT — Rota do Minério — Mina de S. Domingos</t>
  </si>
  <si>
    <t>PR3 CTM — Azinhal — Uma Janela para o Guadiana</t>
  </si>
  <si>
    <t>Vale do Guadiana</t>
  </si>
  <si>
    <t>Janela para o Guadiana</t>
  </si>
  <si>
    <t>PR7 CTM — Caminhos da Cabra Algarvia</t>
  </si>
  <si>
    <t>BRC PP1 — Parque Natureza Noudar — Barrancos</t>
  </si>
  <si>
    <t>CVR PR1 — Viagem aos Primórdios — Castro Verde</t>
  </si>
  <si>
    <t>Estepe Alentejana</t>
  </si>
  <si>
    <t>180 m</t>
  </si>
  <si>
    <t>Abr–Jun (aves a</t>
  </si>
  <si>
    <t>CVR PR2 — Altar Celeste — Observação de Aves de Rapina</t>
  </si>
  <si>
    <t>Jan–Jun (época</t>
  </si>
  <si>
    <t>PR1 BJA — Azenhas e Fortins do Guadiana — Beja</t>
  </si>
  <si>
    <t>PR1 MOU — Pelo Património de Mourão — Alqueva</t>
  </si>
  <si>
    <t>8.2 km</t>
  </si>
  <si>
    <t>Monsaraz, Reguengos de Monsaraz</t>
  </si>
  <si>
    <t>ADL PR1 — Rota do Giro — Alandroal / Monsaraz</t>
  </si>
  <si>
    <t>342 m</t>
  </si>
  <si>
    <t>MMN PR4 — Serra de Monfurado — Montemor-o-Novo</t>
  </si>
  <si>
    <t>424 m</t>
  </si>
  <si>
    <t>EVR PR1 — Água da Prata — Évora e Aqueduto Prateado</t>
  </si>
  <si>
    <t>Jul-Ago)</t>
  </si>
  <si>
    <t>Porta de Alconchel, Évora</t>
  </si>
  <si>
    <t>RDD PR1 Antas — Rota das Antas — Redondo / Cromeleque Almendres</t>
  </si>
  <si>
    <t>Serra de Monchique</t>
  </si>
  <si>
    <t>MCQ PR3 — Trilho da Fóia — Pico Mais Alto do Algarve</t>
  </si>
  <si>
    <t>902 m</t>
  </si>
  <si>
    <t>Mais Alto do Algarve</t>
  </si>
  <si>
    <t>MCQ PR5 — Passadiços do Barranco do Demo</t>
  </si>
  <si>
    <t>MCQ PR2 — Caminho das Caldas — Picota</t>
  </si>
  <si>
    <t>773 m</t>
  </si>
  <si>
    <t>LGS PR1 — Pedra do Galo — Lagos</t>
  </si>
  <si>
    <t>PTM PR1 — A Rocha Delicada — Portimão / Ponta da Piedade</t>
  </si>
  <si>
    <t>ABF PR1 — Castelo de Paderne — Albufeira</t>
  </si>
  <si>
    <t>GR13 VA Et.1 — Via Algarviana — Alcoutim a Martinlongo</t>
  </si>
  <si>
    <t>Martinlongo</t>
  </si>
  <si>
    <t>Praça da República, Viana do Castelo</t>
  </si>
  <si>
    <t>LLE PR16 — Fonte Benémola — Loulé (Ribeira da Menalva)</t>
  </si>
  <si>
    <t>LLE PR18 — Rocha da Pena — Fortaleza do Barrocal</t>
  </si>
  <si>
    <t>479 m</t>
  </si>
  <si>
    <t>TVR PR7 — Vale das Hortas — Tavira</t>
  </si>
  <si>
    <t>13.5 km</t>
  </si>
  <si>
    <t>Praça da República, Tavira</t>
  </si>
  <si>
    <t>SBA PR1 — Caminhos de Ir à Fonte — São Brás de Alportel</t>
  </si>
  <si>
    <t>ACT PR1 — Corre, corre… Guadiana — Alcoutim</t>
  </si>
  <si>
    <t>SLV PR1 — Percurso Cultural de São Bartolomeu de Messines</t>
  </si>
  <si>
    <t>Ria Formosa</t>
  </si>
  <si>
    <t>OLH PR3 — Caminho dos Contrabandistas — Olhão</t>
  </si>
  <si>
    <t>20 m</t>
  </si>
  <si>
    <t>Trilho Ludo Faro — Trilho do Ludo — São Lourenço e Quinta do Lago</t>
  </si>
  <si>
    <t>10 m</t>
  </si>
  <si>
    <t>PR1 VRS — Rota Boavista — Vila Real de Santo António</t>
  </si>
  <si>
    <t>15 m</t>
  </si>
  <si>
    <t>PR2 VRS — De Quintas a Cacela Velha</t>
  </si>
  <si>
    <t>PR1 LGA — Sete Vales Suspensos — Lagoa / Carvoeiro</t>
  </si>
  <si>
    <t>Sete Vales Suspensos — Lagoa / Carvoeiro</t>
  </si>
  <si>
    <t>ACT PR3 — Os Encantos de Alcoutim — Sotavento Interior</t>
  </si>
  <si>
    <t>STC PR1 — Vereda de Brescos — Santiago do Cacém</t>
  </si>
  <si>
    <t>11.2 km</t>
  </si>
  <si>
    <t>GDL PR2 — Vereda de Melides — Grândola</t>
  </si>
  <si>
    <t>STC PR2 — Vereda das Pedras Brancas — Santiago do Cacém</t>
  </si>
  <si>
    <t>ORQ PR1 — Da Poesia ao Cante — Ourique</t>
  </si>
  <si>
    <t>PLM PR5 — Serra do Louro — Palmela</t>
  </si>
  <si>
    <t>382 m</t>
  </si>
  <si>
    <t>PR1 MRT — Rota das Antas de Monsaraz</t>
  </si>
  <si>
    <t>Alto Alentejo / Alqueva</t>
  </si>
  <si>
    <t>PR2 EVR — Aqueduto Prateado de Évora</t>
  </si>
  <si>
    <t>290 m</t>
  </si>
  <si>
    <t>PR3 MVN — Marvão — Percurso do Castelo</t>
  </si>
  <si>
    <t>Alto Alentejo</t>
  </si>
  <si>
    <t>865 m</t>
  </si>
  <si>
    <t>PR4 SRP — Rota das Serras de Portel</t>
  </si>
  <si>
    <t>Baixo Alentejo</t>
  </si>
  <si>
    <t>415 m</t>
  </si>
  <si>
    <t>PR5 BEJ — Percurso da Ribeira de Pisões</t>
  </si>
  <si>
    <t>PR6 STB — Rota da Pré-História — Santiago do Cacém</t>
  </si>
  <si>
    <t>Litoral Alentejano</t>
  </si>
  <si>
    <t>230 m</t>
  </si>
  <si>
    <t>PR7 ELV — Elvas — Baluartes e Aqueduto</t>
  </si>
  <si>
    <t>Portas de Olivença, Elvas</t>
  </si>
  <si>
    <t>PR8 GRD — Rota do Guadiana — Mourão</t>
  </si>
  <si>
    <t>Alqueva</t>
  </si>
  <si>
    <t>PR9 OUR — Ourique — Estepe Alentejana</t>
  </si>
  <si>
    <t>190 m</t>
  </si>
  <si>
    <t>PR10 ALS — Alcácer do Sal — Castelo e Estuário</t>
  </si>
  <si>
    <t>66 m</t>
  </si>
  <si>
    <t>PR11 AZM — Azinheira dos Barros — Montado</t>
  </si>
  <si>
    <t>PR12 VDI — Vila de Frades — Vilas Romanas</t>
  </si>
  <si>
    <t>140 m</t>
  </si>
  <si>
    <t>PR13 NJA — Nisa — Pedras com Buraco</t>
  </si>
  <si>
    <t>410 m</t>
  </si>
  <si>
    <t>PR14 GAV — Gavião — Vale do Tejo</t>
  </si>
  <si>
    <t>PR15 VVR — Vale do Vascão — Ribeira Vascão</t>
  </si>
  <si>
    <t>PR16 ALQ — Monsaraz — Rota do Sol</t>
  </si>
  <si>
    <t>310 m</t>
  </si>
  <si>
    <t>PR17 MTL — Mértola — Vila Museu</t>
  </si>
  <si>
    <t>138 m</t>
  </si>
  <si>
    <t>PR18 STU — Serra de Ossa — Estremoz</t>
  </si>
  <si>
    <t>653 m</t>
  </si>
  <si>
    <t>PR19 BRJ — Barrancos — Fronteira Ibérica</t>
  </si>
  <si>
    <t>430 m</t>
  </si>
  <si>
    <t>PR20 SER — Serpa — Muralhas e Azenhas</t>
  </si>
  <si>
    <t>178 m</t>
  </si>
  <si>
    <t>PR1 LGS — Ponta da Piedade — Lagos</t>
  </si>
  <si>
    <t>Barlavento</t>
  </si>
  <si>
    <t>25 m</t>
  </si>
  <si>
    <t>Região Algarve</t>
  </si>
  <si>
    <t>PR2 MCQ — Serra de Monchique — Fóia</t>
  </si>
  <si>
    <t>Serras do Algarve</t>
  </si>
  <si>
    <t>Fóia, Monchique</t>
  </si>
  <si>
    <t>PR3 TVR — Tavira — Salinas e Ria Formosa</t>
  </si>
  <si>
    <t>Sotavento</t>
  </si>
  <si>
    <t>Centro de Educação Ambiental, Olhão</t>
  </si>
  <si>
    <t>PR4 LLE — Rocha da Pena — Loulé</t>
  </si>
  <si>
    <t>Barrocal</t>
  </si>
  <si>
    <t>PR5 SGR — Sagres — Cabo de São Vicente</t>
  </si>
  <si>
    <t>Costa Vicentina</t>
  </si>
  <si>
    <t>75 m</t>
  </si>
  <si>
    <t>Ponta de Sagres, Vila do Bispo</t>
  </si>
  <si>
    <t>PR6 ODM — Odeceixe — Rota Vicentina</t>
  </si>
  <si>
    <t>120 m</t>
  </si>
  <si>
    <t>Porto Covo, Sines</t>
  </si>
  <si>
    <t>PR7 FRM — Faro — Ria Formosa</t>
  </si>
  <si>
    <t>PR8 MCQ — Percurso das Fontes — Alte</t>
  </si>
  <si>
    <t>270 m</t>
  </si>
  <si>
    <t>PR9 BCH — Barão de São João — Rota das Esculturas</t>
  </si>
  <si>
    <t>PR10 ALB — Albufeira — Falésias de Olhos de Água</t>
  </si>
  <si>
    <t>PR11 LGA — Sete Vales Suspensos</t>
  </si>
  <si>
    <t>5.7 km</t>
  </si>
  <si>
    <t>PR12 LLE — Fonte Benémola — Loulé</t>
  </si>
  <si>
    <t>PR13 ALJ — Aljezur — Costa Vicentina</t>
  </si>
  <si>
    <t>141 m</t>
  </si>
  <si>
    <t>PR14 MRT — Mértola — Ribeira de Cobres</t>
  </si>
  <si>
    <t>PR15 CTM — Cacela Velha — Contrabandistas</t>
  </si>
  <si>
    <t>PR16 FRM — Ilhas da Ria Formosa — Culatra</t>
  </si>
  <si>
    <t>5 m</t>
  </si>
  <si>
    <t>PR17 MCQ — Monchique — Percurso das Levadas</t>
  </si>
  <si>
    <t>PR18 VBS — Vila do Bispo — Raposeira</t>
  </si>
  <si>
    <t>PR19 QTR — Quarteira — Vilamoura Romana</t>
  </si>
  <si>
    <t>PR20 LGA — Benagil — Gruta do Algar de Benagil</t>
  </si>
  <si>
    <t xml:space="preserve">  🟪  AÇORES  —  Açores  ·  15 percursos</t>
  </si>
  <si>
    <t>PR1 — Sete Cidades — Lagoa Azul e Verde</t>
  </si>
  <si>
    <t>São Miguel</t>
  </si>
  <si>
    <t>879 m</t>
  </si>
  <si>
    <t>Mai-Set</t>
  </si>
  <si>
    <t>Sete Cidades, Ponta Delgada, São Miguel</t>
  </si>
  <si>
    <t>PR2 — Lagoa do Fogo</t>
  </si>
  <si>
    <t>947 m</t>
  </si>
  <si>
    <t>Região Açores</t>
  </si>
  <si>
    <t>PR3 — Caldeira do Faial</t>
  </si>
  <si>
    <t>Faial</t>
  </si>
  <si>
    <t>1 043 m</t>
  </si>
  <si>
    <t>Jun-Set</t>
  </si>
  <si>
    <t>Caldeira, Faial</t>
  </si>
  <si>
    <t>PR4 — Pico — Montanha do Pico</t>
  </si>
  <si>
    <t>Pico</t>
  </si>
  <si>
    <t>Muito Difícil</t>
  </si>
  <si>
    <t>2 351 m</t>
  </si>
  <si>
    <t>Jul-Set</t>
  </si>
  <si>
    <t>PR5 — Flores — Poço da Alagoinha</t>
  </si>
  <si>
    <t>Flores</t>
  </si>
  <si>
    <t>620 m</t>
  </si>
  <si>
    <t>Santa Cruz das Flores, Flores</t>
  </si>
  <si>
    <t>PR6 — Graciosa — Serra Branca</t>
  </si>
  <si>
    <t>Graciosa</t>
  </si>
  <si>
    <t>402 m</t>
  </si>
  <si>
    <t>Santa Cruz da Graciosa</t>
  </si>
  <si>
    <t>PR7 — Terceira — Serra de Santa Bárbara</t>
  </si>
  <si>
    <t>Terceira</t>
  </si>
  <si>
    <t>1 021 m</t>
  </si>
  <si>
    <t>PR8 — Corvo — Caldeirão</t>
  </si>
  <si>
    <t>Corvo</t>
  </si>
  <si>
    <t>4 km</t>
  </si>
  <si>
    <t>718 m</t>
  </si>
  <si>
    <t>PR9 — São Jorge — Fajã dos Cubres</t>
  </si>
  <si>
    <t>São Jorge</t>
  </si>
  <si>
    <t>PR10 — Santa Maria — Pico Alto</t>
  </si>
  <si>
    <t>Santa Maria</t>
  </si>
  <si>
    <t>590 m</t>
  </si>
  <si>
    <t>PR11 — São Miguel — Furnas e Poça da Dona Beija</t>
  </si>
  <si>
    <t>Furnas, Ponta Delgada, São Miguel</t>
  </si>
  <si>
    <t>PR12 — Pico — Biscoitos de Lava</t>
  </si>
  <si>
    <t>PR13 — Faial — Capelinhos e Vulcão de 1957</t>
  </si>
  <si>
    <t>PR14 — São Miguel — Lagoas das Sete Cidades Norte</t>
  </si>
  <si>
    <t>PR15 — Terceira — Biscoitos — Costa de Lava</t>
  </si>
  <si>
    <t>PR1 — Levada do Caldeirão Verde</t>
  </si>
  <si>
    <t>1 050 m</t>
  </si>
  <si>
    <t>PR6 — Levada das 25 Fontes</t>
  </si>
  <si>
    <t>1 002 m</t>
  </si>
  <si>
    <t>PR4 — Pico Ruivo</t>
  </si>
  <si>
    <t>1 862 m</t>
  </si>
  <si>
    <t>PR13 — Vereda da Ponta de São Lourenço</t>
  </si>
  <si>
    <t>PR11 — Levada do Rei</t>
  </si>
  <si>
    <t>860 m</t>
  </si>
  <si>
    <t>PR16 — Cabo Girão</t>
  </si>
  <si>
    <t>3 km</t>
  </si>
  <si>
    <t>1h30</t>
  </si>
  <si>
    <t>580 m</t>
  </si>
  <si>
    <t>PR18 — Levada do Norte</t>
  </si>
  <si>
    <t>PR9 — Pico do Arieiro a Pico Ruivo</t>
  </si>
  <si>
    <t>PR2 — Levada do Furado (Ribeiro Frio)</t>
  </si>
  <si>
    <t>PR17 — Vereda do Larano</t>
  </si>
  <si>
    <t>PR8 — Vereda dos Balcões</t>
  </si>
  <si>
    <t>2.6 km</t>
  </si>
  <si>
    <t>890 m</t>
  </si>
  <si>
    <t>Rota do Levada das Flores</t>
  </si>
  <si>
    <t>Fev-Mai</t>
  </si>
  <si>
    <t>PR22 — Levada do Caniçal</t>
  </si>
  <si>
    <t>Vereda da Encumeada a Pico Grande</t>
  </si>
  <si>
    <t>1 654 m</t>
  </si>
  <si>
    <t>🪡  OFÍCIOS E ARTESANATO TRADICIONAL  —  40 entradas</t>
  </si>
  <si>
    <t>Norte · Centro · Lisboa · Alentejo · Algarve · Açores · Madeira  ·  Artesanato Certificado, Ofícios Únicos e Mestres Artesãos</t>
  </si>
  <si>
    <t>Local / POI</t>
  </si>
  <si>
    <t>Ofício / Subcategoria</t>
  </si>
  <si>
    <t xml:space="preserve">  🟦  NORTE  ·  5 entradas</t>
  </si>
  <si>
    <t>Entrançados de Palha de Centeio — Golães</t>
  </si>
  <si>
    <t>Ofícios Tradicionais</t>
  </si>
  <si>
    <t>Golães, Fafe, Braga</t>
  </si>
  <si>
    <t>Ver notas</t>
  </si>
  <si>
    <t>Artesanato certificado. Contactos: Dalila Antunes 917939464; Maria Rosalina Ramos 961113454; Maria do Carmo Cardoso 926472192. Via Roteiro de Artesanato de Fafe ou feiras locais.</t>
  </si>
  <si>
    <t>Ofício artesanal de 'Ofícios Tradicionais' em Braga, raro em Portugal. Expressão do património imaterial português, transmitida por mestres e comunidades locais com décadas de tradição.</t>
  </si>
  <si>
    <t>Posto de Turismo de Fafe — Ofícios Tradicionais</t>
  </si>
  <si>
    <t>Avenida 5 de Outubro 87, Fafe, Braga</t>
  </si>
  <si>
    <t>Ponto de orientação para: Tecelagem de meias de lã, Tecelagem de linho, Artefactos de madeira, Artefactos de arame, Produção em feltro. Ofícios dispersos pelo concelho.</t>
  </si>
  <si>
    <t>Aldeia de Bisalhães — Olaria de Barro Preto</t>
  </si>
  <si>
    <t>Olaria e Cerâmica</t>
  </si>
  <si>
    <t>Bisalhães, Vila Real</t>
  </si>
  <si>
    <t>UNESCO Património Imaterial — salvaguarda urgente. Oleiros nas oficinas. 'A terra dos produtores de potes e panelas'.</t>
  </si>
  <si>
    <t>Olaria e cerâmica de Vila Real, tradicional. Mestres que torneiam e pintam peças com identidade regional única, da louça utilitária à arte decorativa.</t>
  </si>
  <si>
    <t>Museu de Arqueologia e Numismática de Vila Real</t>
  </si>
  <si>
    <t>Etnografia e Artesanato</t>
  </si>
  <si>
    <t>Avenida 1º de Maio, 5000-620 Vila Real</t>
  </si>
  <si>
    <t>Proponente INPCI para louça preta de Bisalhães. Expo 'Olaria de Bisalhães: rostos de barro preto'. Contacto: 259 320 340.</t>
  </si>
  <si>
    <t>Ofício artesanal de 'Etnografia e Artesanato' em 5000-620 Vila Real, raro em Portugal. Expressão do património imaterial português, transmitida por mestres e comunidades locais com décadas de tradição.</t>
  </si>
  <si>
    <t>Maraus Hat Atelier — Chapelaria Artesanal (São João da Madeira)</t>
  </si>
  <si>
    <t>Chapelaria</t>
  </si>
  <si>
    <t>São João da Madeira, Aveiro</t>
  </si>
  <si>
    <t>2ª e 6ª 9h30-16h30</t>
  </si>
  <si>
    <t>3ª geração de chapeleiros (Rui Dias / legado de António Marau). Maraus Live Hat-Making: processo completo ao vivo. 2ª e 6ª 9h30-16h30. Grupos 5-25 pessoas (mín. 3 anos). 45 min. Pré-reserva 5 dias. Contacto via São João da Madeira Turismo.</t>
  </si>
  <si>
    <t>Ofício artesanal de 'Chapelaria' em Aveiro, tradicional. Expressão do património imaterial português, transmitida por mestres e comunidades locais com décadas de tradição.</t>
  </si>
  <si>
    <t xml:space="preserve">  🟨  CENTRO  ·  19 entradas</t>
  </si>
  <si>
    <t>Museu do Linho de Vilar Seco — Viseu</t>
  </si>
  <si>
    <t>Largo da Eira, Vilar Seco, 3510-701 Viseu</t>
  </si>
  <si>
    <t>Sáb/Dom/feriados 14h-18h</t>
  </si>
  <si>
    <t>Ciclo completo do linho ao vivo. Sáb/Dom/feriados 14h-18h. Teares antigos em funcionamento com demonstrações das artesãs.</t>
  </si>
  <si>
    <t>Ofício artesanal de 'Etnografia e Artesanato' em 3510-701 Viseu, raro em Portugal. Expressão do património imaterial português, transmitida por mestres e comunidades locais com décadas de tradição.</t>
  </si>
  <si>
    <t>Núcleo de Tecelagem Tomaz Alcaide — Tomar</t>
  </si>
  <si>
    <t>Rua Serpa Pinto, 2300-592 Tomar</t>
  </si>
  <si>
    <t>Ter-Sáb 10h-13h / 14h-18h</t>
  </si>
  <si>
    <t>Teares antigos e amostras têxteis. Ter-Sáb 10h-13h / 14h-18h. Contacto: (+351) 249 329 864.</t>
  </si>
  <si>
    <t>Ofício artesanal de 'Etnografia e Artesanato' em 2300-592 Tomar, raro em Portugal. Expressão do património imaterial português, transmitida por mestres e comunidades locais com décadas de tradição.</t>
  </si>
  <si>
    <t>Centro Interpretativo do Cobertor de Papa — Maçainhas</t>
  </si>
  <si>
    <t>Têxteis e Tecelagem</t>
  </si>
  <si>
    <t>Rua do Barrocal, Maçainhas, 6300-555 Guarda</t>
  </si>
  <si>
    <t>Seg-Sex 9h-12h30 / 14h-17h30</t>
  </si>
  <si>
    <t>Cobertor em tear manual com lã bordalesa. Seg-Sex 9h-12h30 / 14h-17h30. Demonstrações ao vivo com marcação. Junta de Freguesia de Maçainhas.</t>
  </si>
  <si>
    <t>Tecelagem de 6300-555 Guarda, tradicional. Teares manuais que produzem linho, lã e burel com padrões únicos da tradição têxtil portuguesa.</t>
  </si>
  <si>
    <t>Museu de Lanifícios UBI — Real Fábrica de Panos</t>
  </si>
  <si>
    <t>Património Industrial</t>
  </si>
  <si>
    <t>Calçada Fonte do Lameiro, 6200-000 Covilhã</t>
  </si>
  <si>
    <t>Ter-Dom 10h-13h / 14h-18h</t>
  </si>
  <si>
    <t>3 núcleos. Ter-Dom 10h-13h / 14h-18h. Contacto: (+351) 275 242 026. Visitas guiadas com marcação.</t>
  </si>
  <si>
    <t>Ofício artesanal de 'Património Industrial' em 6200-000 Covilhã, tradicional. Expressão do património imaterial português, transmitida por mestres e comunidades locais com décadas de tradição.</t>
  </si>
  <si>
    <t>Burel Factory — Manteigas</t>
  </si>
  <si>
    <t>Estrada Nacional 18, 6200-091 Manteigas</t>
  </si>
  <si>
    <t>Seg-Sáb 10h-19h</t>
  </si>
  <si>
    <t>Processo do burel ao vivo (lavagem da lã → tecido final). Visita gratuita. Loja e restauração. Seg-Sáb 10h-19h. Contacto: (+351) 275 098 112.</t>
  </si>
  <si>
    <t>Tecelagem de 6200-091 Manteigas, tradicional. Teares manuais que produzem linho, lã e burel com padrões únicos da tradição têxtil portuguesa.</t>
  </si>
  <si>
    <t>Centro de Interpretação do Bordado de Castelo Branco</t>
  </si>
  <si>
    <t>Bordados e Rendas</t>
  </si>
  <si>
    <t>Rua Bartolomeu da Costa, 6000-281 Castelo Branco</t>
  </si>
  <si>
    <t>Ter-Dom 10h-18h</t>
  </si>
  <si>
    <t>Inaugurado 2019. Entrada gratuita. Bordadeiras ao vivo. Workshops regulares. Ter-Dom 10h-18h. Contacto: (+351) 272 348 170.</t>
  </si>
  <si>
    <t>Bordado artesanal de 6000-281 Castelo Branco, tradicional. Padrões únicos transmitidos de geração em geração, documentados no Inventário do Património Cultural Imaterial de Portugal.</t>
  </si>
  <si>
    <t>Fábrica Progresso — Chita de Alcobaça</t>
  </si>
  <si>
    <t>Rua da Fábrica 30, 2460-090 Alcobaça</t>
  </si>
  <si>
    <t>Fundada 1904. Única estamparia manual de Portugal. +2000 padrões. Visitas guiadas com marcação. Cafetaria e loja. Contacto: (+351) 262 098 910.</t>
  </si>
  <si>
    <t>Tecelagem de 2460-090 Alcobaça, tradicional. Teares manuais que produzem linho, lã e burel com padrões únicos da tradição têxtil portuguesa.</t>
  </si>
  <si>
    <t>Rota da Olaria de Barro Preto — Molelos, Tondela</t>
  </si>
  <si>
    <t>Freguesia de Molelos, Tondela, Viseu</t>
  </si>
  <si>
    <t>Percurso por várias oficinas de oleiros. Olaria do Fernando (Rua da Olaria); Olaria do Manuel Nunes (Rua Principal). Mapa no Posto de Turismo de Tondela.</t>
  </si>
  <si>
    <t>Olaria e cerâmica de Viseu, tradicional. Mestres que torneiam e pintam peças com identidade regional única, da louça utilitária à arte decorativa.</t>
  </si>
  <si>
    <t>Espaço Cá da Terra — Sardoal</t>
  </si>
  <si>
    <t>Av. D. João III, Centro Cultural, 2230-135 Sardoal</t>
  </si>
  <si>
    <t>Contacto: 241 851 144. Artesãs: Conceição Diogo (tecelagem/malas, 926 415 381); Artelinho (linho/vime, 241 855 768). Mostra Saberes e Sabores em setembro (Praça Nova).</t>
  </si>
  <si>
    <t>Ofício artesanal de 'Ofícios Tradicionais' em 2230-135 Sardoal, raro em Portugal. Expressão do património imaterial português, transmitida por mestres e comunidades locais com décadas de tradição.</t>
  </si>
  <si>
    <t>Casa do Tear — Anabela Tavares (Pardilhó, Estarreja)</t>
  </si>
  <si>
    <t>Tv. do Monte de Cima 8, 3860-722 Pardilhó, Estarreja</t>
  </si>
  <si>
    <t>Ter-Sex 12h-20h</t>
  </si>
  <si>
    <t>Experiência imersiva — observar e participar na tecelagem ao vivo. Ter-Sex 12h-20h; Sáb 9h-00h; Dom 9h-20h. Contacto: +351 234 085 606.</t>
  </si>
  <si>
    <t>Tecelagem de Estarreja, tradicional. Teares manuais que produzem linho, lã e burel com padrões únicos da tradição têxtil portuguesa.</t>
  </si>
  <si>
    <t>Museu Etnográfico da Murtosa</t>
  </si>
  <si>
    <t>Murtosa, Aveiro</t>
  </si>
  <si>
    <t>Exposições de tecelagem da região de Aveiro (artesãs de Pardilhó/Bunheiro). Verificar programação para exposições temporárias de tecelagem.</t>
  </si>
  <si>
    <t>Ofício artesanal de 'Etnografia e Artesanato' em Aveiro, raro em Portugal. Expressão do património imaterial português, transmitida por mestres e comunidades locais com décadas de tradição.</t>
  </si>
  <si>
    <t>Museu da Renda de Bilros de Peniche</t>
  </si>
  <si>
    <t>Rua Nossa Senhora da Conceição 1, 2520-294 Peniche</t>
  </si>
  <si>
    <t>Inaugurado 2016. Técnica única (palmas viradas para cima). Peça de Josefa de Óbidos. Ter-Dom 10h-18h. Email: museu.rendabilros@cm-peniche.pt</t>
  </si>
  <si>
    <t>Bordado artesanal de 2520-294 Peniche, tradicional. Padrões únicos transmitidos de geração em geração, documentados no Inventário do Património Cultural Imaterial de Portugal.</t>
  </si>
  <si>
    <t>Escola de Rendas de Peniche</t>
  </si>
  <si>
    <t>Rua Alexandre Herculano, 2520 Peniche</t>
  </si>
  <si>
    <t>+500 rendilheiras formadas. Contacto via Câmara Municipal de Peniche.</t>
  </si>
  <si>
    <t>Bordado artesanal de 2520 Peniche, tradicional. Padrões únicos transmitidos de geração em geração, documentados no Inventário do Património Cultural Imaterial de Portugal.</t>
  </si>
  <si>
    <t>Marafonas de Monsanto — Maria Helena Pinheiro</t>
  </si>
  <si>
    <t>Bonecos e Figuras</t>
  </si>
  <si>
    <t>Rua da Fonte Ferreira, Monsanto, Idanha-a-Nova</t>
  </si>
  <si>
    <t>Artesã com +60 anos de ofício. Bonecas sem rosto (símbolo fertilidade). Na rua em época turística. Ímanes 5€; 50cm 30€. Deusa da Fertilidade — afastam trovoadas.</t>
  </si>
  <si>
    <t>Ofício artesanal de 'Bonecos e Figuras' em Idanha-a-Nova, raro em Portugal. Expressão do património imaterial português, transmitida por mestres e comunidades locais com décadas de tradição.</t>
  </si>
  <si>
    <t>Oficina LBP — Barro Preto de Vila Nova de Poiares</t>
  </si>
  <si>
    <t>Olho Marinho, Vila Nova de Poiares, Coimbra</t>
  </si>
  <si>
    <t>Fernando Correia — último artesão de Olho Marinho. Caçoilos para chanfana. Workshops Judite Pereira mediante marcação (ADIP). Fornos comunitários tradicionais no concelho.</t>
  </si>
  <si>
    <t>Olaria e cerâmica de Coimbra, tradicional. Mestres que torneiam e pintam peças com identidade regional única, da louça utilitária à arte decorativa.</t>
  </si>
  <si>
    <t>Museu do Vidro — Marinha Grande</t>
  </si>
  <si>
    <t>Praça Guilherme Stephens, 2430-522 Marinha Grande</t>
  </si>
  <si>
    <t>Único museu de vidro de Portugal. 3 núcleos + Oficina ao vivo. Fecha às 2ªs feiras. Contacto: 244 573 377.</t>
  </si>
  <si>
    <t>Ofício artesanal de 'Património Industrial' em 2430-522 Marinha Grande, tradicional. Expressão do património imaterial português, transmitida por mestres e comunidades locais com décadas de tradição.</t>
  </si>
  <si>
    <t>Berço Vidreiro — Oliveira de Azeméis</t>
  </si>
  <si>
    <t>Casa das Heras, Parque de La Salette, Oliveira de Azeméis</t>
  </si>
  <si>
    <t>Demonstrações ao vivo de criação de vidro. Entrada gratuita. Marcação obrigatória. Contacto: (+351) 256 674 463 | turismo@cm-oaz.pt</t>
  </si>
  <si>
    <t>Ofício artesanal de 'Etnografia e Artesanato' em Oliveira de Azeméis, raro em Portugal. Expressão do património imaterial português, transmitida por mestres e comunidades locais com décadas de tradição.</t>
  </si>
  <si>
    <t>Atelier de Tecelagem de Minde — Manta de Minde</t>
  </si>
  <si>
    <t>Minde, Alcanena, Santarém</t>
  </si>
  <si>
    <t>Marco da Rota de Minde (PR10 ACN/PMS). Manta de Minde em tear manual. Integrado no percurso urbano cultural da vila. Contacto: Câmara Municipal de Alcanena.</t>
  </si>
  <si>
    <t>Tecelagem de Santarém, tradicional. Teares manuais que produzem linho, lã e burel com padrões únicos da tradição têxtil portuguesa.</t>
  </si>
  <si>
    <t>Museu Vivo de Artes e Ofícios — Miranda do Corvo</t>
  </si>
  <si>
    <t>Parque Biológico da Serra da Lousã, Quinta da Paiva, 3220-154 Miranda do Corvo</t>
  </si>
  <si>
    <t>Jun-Set diário 9h30-18h30</t>
  </si>
  <si>
    <t>Oficinas: Tecelagem, Olaria, Vidro, Vime, Cestaria, Empalhamento, Calçado. Jun-Set diário 9h30-18h30; Out-Mai Ter-Dom 10h-17h30. Contacto: +351 239 530 150 | geral@adfp.pt</t>
  </si>
  <si>
    <t>Ofício artesanal de 'Etnografia e Artesanato' em 3220-154 Miranda do Corvo, raro em Portugal. Expressão do património imaterial português, transmitida por mestres e comunidades locais com décadas de tradição.</t>
  </si>
  <si>
    <t xml:space="preserve">  🟩  LISBOA  ·  3 entradas</t>
  </si>
  <si>
    <t>Loja dos Descobrimentos — Azulejos ao Vivo (Lisboa)</t>
  </si>
  <si>
    <t>Campo das Cebolas, Lisboa (junto à Casa dos Bicos)</t>
  </si>
  <si>
    <t>Loja-atelier com azulejos pintados à mão. Workshops pontuais de cerâmica. Painéis Lisboa pré-terramoto 1755, Santo António, Fernando Pessoa, janelas de Alfama.</t>
  </si>
  <si>
    <t>Olaria e cerâmica de Lisboa (junto à Casa dos Bicos), tradicional. Mestres que torneiam e pintam peças com identidade regional única, da louça utilitária à arte decorativa.</t>
  </si>
  <si>
    <t>Authorya — Cerâmica Artesanal Contemporânea (Lisboa)</t>
  </si>
  <si>
    <t>Rua Poiais de São Bento 7, Lisboa</t>
  </si>
  <si>
    <t>Cerâmica feita à mão e obras de arte ecológicas por artistas portugueses. Referência de moradores locais para artesanato contemporâneo português.</t>
  </si>
  <si>
    <t>Olaria e cerâmica de Lisboa, tradicional. Mestres que torneiam e pintam peças com identidade regional única, da louça utilitária à arte decorativa.</t>
  </si>
  <si>
    <t>Fábrica Braço de Prata — Centro Cultural (Lisboa)</t>
  </si>
  <si>
    <t>Centro Cultural</t>
  </si>
  <si>
    <t>Rua da Fábrica do Braço de Prata, Marvila, Lisboa</t>
  </si>
  <si>
    <t>Qua-Sáb 9h-2h</t>
  </si>
  <si>
    <t>Antiga fábrica de material de guerra (séc. XIX). Exposições, música ao vivo, workshops, eventos literários. Qua-Sáb 9h-2h; Dom-Ter 9h-23h. Arte urbana: Vhils, Bordalo II, Shepard Fairey.</t>
  </si>
  <si>
    <t>Ofício artesanal de 'Centro Cultural' em Lisboa, ainda praticado. Expressão do património imaterial português, transmitida por mestres e comunidades locais com décadas de tradição.</t>
  </si>
  <si>
    <t xml:space="preserve">  🟧  ALENTEJO  ·  5 entradas</t>
  </si>
  <si>
    <t>Museu Municipal de Estremoz — Bonecos de Barro</t>
  </si>
  <si>
    <t>Estremoz, Évora</t>
  </si>
  <si>
    <t>Museu mais antigo de Portugal (fundado 1880). Bonecos de Estremoz — UNESCO Património Imaterial. 15 artesãos certificados. Mercado de sábado com velharias e produtos regionais.</t>
  </si>
  <si>
    <t>Ofício artesanal de 'Bonecos e Figuras' em Évora, raro em Portugal. Expressão do património imaterial português, transmitida por mestres e comunidades locais com décadas de tradição.</t>
  </si>
  <si>
    <t>Palácio dos Henriques / da Tocha — Estremoz</t>
  </si>
  <si>
    <t>Palácio séc. XVIII. +4500 azulejos em 36 salas — arte portuguesa da antiga Pérsia à atualidade. Exposições permanentes de artesanato e artes plásticas.</t>
  </si>
  <si>
    <t>Olaria e cerâmica de Évora, tradicional. Mestres que torneiam e pintam peças com identidade regional única, da louça utilitária à arte decorativa.</t>
  </si>
  <si>
    <t>EM Rézio — Bordado de Arraiolos Contemporâneo (Borba)</t>
  </si>
  <si>
    <t>Rua 1.º de Maio 2, Borba, Évora</t>
  </si>
  <si>
    <t>Qua-Dom 10h-13h / 14h-17h</t>
  </si>
  <si>
    <t>Casa Museu Interativa. Obra 'A Talha' de Sara Ratola: bordado de Arraiolos em ponto pé de flor (séc. XVI) com tema da talha de vinho. Qua-Dom 10h-13h / 14h-17h. Contacto: +351 925 076 864 | info@emrezio.pt</t>
  </si>
  <si>
    <t>Bordado artesanal de Évora, tradicional. Padrões únicos transmitidos de geração em geração, documentados no Inventário do Património Cultural Imaterial de Portugal.</t>
  </si>
  <si>
    <t>Rota do Mármore AE — Vila Viçosa</t>
  </si>
  <si>
    <t>Mármore e Pedra</t>
  </si>
  <si>
    <t>Avenida Duques de Bragança 4, 7160-209 Vila Viçosa</t>
  </si>
  <si>
    <t>Ciclo completo do mármore: extração (pedreiras), transformação industrial, utilização arquitectónica. +30 pedreiras em funcionamento. 9h30-14h30. Marcação obrigatória. Contacto: +351 965 087 618 | rotadomarmoreae.com</t>
  </si>
  <si>
    <t>Ofício artesanal de 'Mármore e Pedra' em 7160-209 Vila Viçosa, tradicional. Expressão do património imaterial português, transmitida por mestres e comunidades locais com décadas de tradição.</t>
  </si>
  <si>
    <t>Rota do Artesanato — Viana do Alentejo</t>
  </si>
  <si>
    <t>Cortiça e Couro</t>
  </si>
  <si>
    <t>Viana do Alentejo, Évora</t>
  </si>
  <si>
    <t>Oficinas de cortiça, cerâmica e couro com observação dos artesãos ao vivo. Inclui aldeias de Aguiar e Alcáçovas. Ligação à Rota do Mármore e Aldeias Típicas. Museu da Pedra (visita ~1h, ~3€).</t>
  </si>
  <si>
    <t>Ofício artesanal de 'Cortiça e Couro' em Évora, raro em Portugal. Expressão do património imaterial português, transmitida por mestres e comunidades locais com décadas de tradição.</t>
  </si>
  <si>
    <t xml:space="preserve">  🟥  ALGARVE  ·  3 entradas</t>
  </si>
  <si>
    <t>Telheiro de Santa Catarina — Cerâmica Artesanal Alberto Rocha</t>
  </si>
  <si>
    <t>Santa Catarina, Algarve</t>
  </si>
  <si>
    <t>Manufactura de telhas, tijolos e tijoleiras com barro local. Processo completo ao vivo. Ladrilhos Santa Catarina feitos à mão por mestres há 60 anos. Integra roteiro Manufacturas de Alma Algarvia.</t>
  </si>
  <si>
    <t>Olaria e cerâmica de Algarve, tradicional. Mestres que torneiam e pintam peças com identidade regional única, da louça utilitária à arte decorativa.</t>
  </si>
  <si>
    <t>Porches Pottery — Olaria do Algarve</t>
  </si>
  <si>
    <t>Porches, Lagoa, Faro</t>
  </si>
  <si>
    <t>Fundada 1969 por Patrick Swift e Lima de Freitas. Influências ibéricas, árabes e fenícias. Loiça e azulejos de autor. Destino final do roteiro Manufacturas de Alma Algarvia.</t>
  </si>
  <si>
    <t>Olaria e cerâmica de Faro, tradicional. Mestres que torneiam e pintam peças com identidade regional única, da louça utilitária à arte decorativa.</t>
  </si>
  <si>
    <t>Loulé Criativo — Rede de Oficinas Artesanais</t>
  </si>
  <si>
    <t>Loulé, Faro</t>
  </si>
  <si>
    <t>Rede de oficinas com miniaturas de barcos de pesca, construção de carroças algarvias, ferro forjado. Peças executadas ao vivo e à venda. Loulé Design Lab apoia design aplicado à cultura local.</t>
  </si>
  <si>
    <t>Ofício artesanal de 'Ofícios Tradicionais' em Faro, raro em Portugal. Expressão do património imaterial português, transmitida por mestres e comunidades locais com décadas de tradição.</t>
  </si>
  <si>
    <t xml:space="preserve">  🟫  MADEIRA  ·  1 entradas</t>
  </si>
  <si>
    <t>Artes &amp; Ofícios Tradicionais da Madeira — IVBAM (Funchal)</t>
  </si>
  <si>
    <t>Rua dos Ferreiros 152, Funchal, Madeira</t>
  </si>
  <si>
    <t>Seg-Sex 10h-12h30 / 14h-17h30</t>
  </si>
  <si>
    <t>Espaço IVBAM dedicado ao bordado e artesanato madeirense. Edifício do Cônsul britânico Henry Veitch (recuperado). Seg-Sex 10h-12h30 / 14h-17h30. Encerra Sáb/Dom/feriados. Contacto: +351 291 211 607</t>
  </si>
  <si>
    <t>Bordado artesanal de Madeira, tradicional. Padrões únicos transmitidos de geração em geração, documentados no Inventário do Património Cultural Imaterial de Portugal.</t>
  </si>
  <si>
    <t>🪡  36 entradas  ·  Portugal Vivo</t>
  </si>
  <si>
    <t>Bordados de Vila Franca do Campo</t>
  </si>
  <si>
    <t>Vila Franca do Campo, São Miguel</t>
  </si>
  <si>
    <t>Por marcação</t>
  </si>
  <si>
    <t>Bordados a seda sobre linho com motivos florais únicos dos Açores — distintos dos bordados madeirenses. Certificação IGP. Cooperativa activa desde 1958.</t>
  </si>
  <si>
    <t>Bordado artesanal de São Miguel, tradicional. Padrões únicos transmitidos de geração em geração, documentados no Inventário do Património Cultural Imaterial de Portugal.</t>
  </si>
  <si>
    <t>Cestaria de Vimes — São Miguel</t>
  </si>
  <si>
    <t>Cestaria e Vimes</t>
  </si>
  <si>
    <t>Artesanato em vimes cultivados nos vales húmidos de São Miguel. Cestos, bandejas e mobiliário de verga. Técnica introduzida pelos flamengos no séc. XV.</t>
  </si>
  <si>
    <t>Cestaria artesanal de Açores, raro em Portugal. Artesãos que transformam vimes, palha e junco em peças funcionais com técnicas ancestrais de entrelaçado.</t>
  </si>
  <si>
    <t>Faiança Açoreana — Ponta Delgada</t>
  </si>
  <si>
    <t>Ponta Delgada, São Miguel</t>
  </si>
  <si>
    <t>Seg–Sex 9h–17h</t>
  </si>
  <si>
    <t>Azulejos e faiança açoreana com motivos de hortênsias, baleias e caldeiras vulcânicas. Produção manual na Real Fábrica de Faiança fundada em 1862.</t>
  </si>
  <si>
    <t>Olaria e cerâmica de São Miguel, tradicional. Mestres que torneiam e pintam peças com identidade regional única, da louça utilitária à arte decorativa.</t>
  </si>
  <si>
    <t>Viola da Terra — Lutheria Açoreana</t>
  </si>
  <si>
    <t>Lutheria Tradicional</t>
  </si>
  <si>
    <t>São Miguel / Terceira</t>
  </si>
  <si>
    <t>Viola de 15 cordas duplas em forma de coração — instrumento único no mundo. Só 3 mestres luteiros activos nos Açores. Candidatura ao Patrimônio Imaterial UNESCO.</t>
  </si>
  <si>
    <t>Ofício artesanal de 'Lutheria Tradicional' em Açores, tradicional. Expressão do património imaterial português, transmitida por mestres e comunidades locais com décadas de tradição.</t>
  </si>
  <si>
    <t>Periodicidade</t>
  </si>
  <si>
    <t>Produtos</t>
  </si>
  <si>
    <t>Mercado do Bolhão</t>
  </si>
  <si>
    <t>Porto</t>
  </si>
  <si>
    <t>R. Formosa 322, Porto</t>
  </si>
  <si>
    <t>Seg-Sáb 08h-20h</t>
  </si>
  <si>
    <t>Gourmet / Turismo</t>
  </si>
  <si>
    <t>Mercado de R. Formosa 322 com oferta gourmet e artesanal. Seg-Sáb 08h-20h. Produtos regionais e especialidades culinárias num espaço que combina tradição de mercado com descoberta gastronómica.</t>
  </si>
  <si>
    <t>Mercado de Matosinhos</t>
  </si>
  <si>
    <t>R. França Júnior, Matosinhos</t>
  </si>
  <si>
    <t>Seg-Sáb 06h-18h</t>
  </si>
  <si>
    <t>Peixe Fresco / Bio</t>
  </si>
  <si>
    <t>Mercado de peixe e marisco de R. França Júnior. Seg-Sáb 06h-18h. Um dos mais frescos e autênticos do país, referência da gastronomia local e da tradição atlântica portuguesa.</t>
  </si>
  <si>
    <t>Feira de Custóias</t>
  </si>
  <si>
    <t>Largo do Souto, Custóias</t>
  </si>
  <si>
    <t>Sábados 07h-13h</t>
  </si>
  <si>
    <t>Têxteis e Plantas</t>
  </si>
  <si>
    <t>—</t>
  </si>
  <si>
    <t>Mercado de Largo do Souto com Têxteis e Plantas. Sábados 07h-13h. Espaço de comércio e encontro com raízes profundas na tradição mercantil portuguesa.</t>
  </si>
  <si>
    <t>Feira Sra. da Hora</t>
  </si>
  <si>
    <t>Pq. Dr. João Laranjo</t>
  </si>
  <si>
    <t>Roupa e Frescos</t>
  </si>
  <si>
    <t>Mercado Bom Sucesso</t>
  </si>
  <si>
    <t>Pç. Bom Sucesso, Porto</t>
  </si>
  <si>
    <t>Diário 08h-23h</t>
  </si>
  <si>
    <t>Gastronomia / Lazer</t>
  </si>
  <si>
    <t>Feira de Espinho</t>
  </si>
  <si>
    <t>Rua 19 (Largo da Feira)</t>
  </si>
  <si>
    <t>Segundas 07h-19h</t>
  </si>
  <si>
    <t>Artesanato / Bio</t>
  </si>
  <si>
    <t>Feira de artesanato de Rua 19 (Largo da Feira). Segundas 07h-19h. Artesãos da região com cerâmica, têxteis, madeira e couro feitos à mão segundo técnicas portuguesas tradicionais.</t>
  </si>
  <si>
    <t>Feira Vila do Conde</t>
  </si>
  <si>
    <t>Av. Júlio Graça, V. Conde</t>
  </si>
  <si>
    <t>Sextas 07h-13h</t>
  </si>
  <si>
    <t>Rendas de Bilros</t>
  </si>
  <si>
    <t>Feira de Vandoma</t>
  </si>
  <si>
    <t>Av. 25 de Abril, Porto</t>
  </si>
  <si>
    <t>Velharias / Usados</t>
  </si>
  <si>
    <t>Mercado da Beira-Rio</t>
  </si>
  <si>
    <t>Av. Ramos Pinto, Gaia</t>
  </si>
  <si>
    <t>Diário 10h-23h</t>
  </si>
  <si>
    <t>Petiscos / Vinhos</t>
  </si>
  <si>
    <t>Feira da Maia</t>
  </si>
  <si>
    <t>Cidade da Maia (Centro)</t>
  </si>
  <si>
    <t>Segundas 07h-13h</t>
  </si>
  <si>
    <t>Geral</t>
  </si>
  <si>
    <t>Mercado de Angeiras</t>
  </si>
  <si>
    <t>Marginal de Angeiras, Lavra</t>
  </si>
  <si>
    <t>Ter-Sáb 07h-14h</t>
  </si>
  <si>
    <t>Peixe da Costa</t>
  </si>
  <si>
    <t>Feira de Rio Tinto</t>
  </si>
  <si>
    <t>Av. da Conduta, Rio Tinto</t>
  </si>
  <si>
    <t>Mercado de Ermesinde</t>
  </si>
  <si>
    <t>R. Rodrigues Freitas, Ermesinde</t>
  </si>
  <si>
    <t>Seg-Sáb 07h-14h</t>
  </si>
  <si>
    <t>Frescos</t>
  </si>
  <si>
    <t>Mercado de Gondomar</t>
  </si>
  <si>
    <t>R. de 25 de Abril, Gondomar</t>
  </si>
  <si>
    <t>Seg-Sáb 07h-13h</t>
  </si>
  <si>
    <t>Ourivesaria Artesanal</t>
  </si>
  <si>
    <t>Mercado de Valongo</t>
  </si>
  <si>
    <t>R. Sousa Paupério, Valongo</t>
  </si>
  <si>
    <t>Biscoitos</t>
  </si>
  <si>
    <t>Feira Paços de Ferreira</t>
  </si>
  <si>
    <t>Parque de Lazer, P. Ferreira</t>
  </si>
  <si>
    <t>Dias 7 e 23</t>
  </si>
  <si>
    <t>Móveis / Geral</t>
  </si>
  <si>
    <t>Mercado de Amarante</t>
  </si>
  <si>
    <t>R. de 5 de Outubro, Amarante</t>
  </si>
  <si>
    <t>Quartas e Sábados</t>
  </si>
  <si>
    <t>Doçaria Conventual</t>
  </si>
  <si>
    <t>Feira de Lousada</t>
  </si>
  <si>
    <t>Av. Mal. Humberto Delgado</t>
  </si>
  <si>
    <t>Dias 9 e 25</t>
  </si>
  <si>
    <t>Mercado de Penafiel</t>
  </si>
  <si>
    <t>Av. Egas Moniz, Penafiel</t>
  </si>
  <si>
    <t>Diário 07h-14h</t>
  </si>
  <si>
    <t>Regional</t>
  </si>
  <si>
    <t>Feira de Paredes</t>
  </si>
  <si>
    <t>Praça José Guilherme, Paredes</t>
  </si>
  <si>
    <t>Dias 5 e 21</t>
  </si>
  <si>
    <t>Mercado Bio Parque Cidade</t>
  </si>
  <si>
    <t>Núcleo Rural Pq. Cidade, Porto</t>
  </si>
  <si>
    <t>Sábados 09h-14h</t>
  </si>
  <si>
    <t>100% Biológico</t>
  </si>
  <si>
    <t>Mercado de Baião</t>
  </si>
  <si>
    <t>R. Camilo Castelo Branco</t>
  </si>
  <si>
    <t>2ª e 4ª Terça-feira</t>
  </si>
  <si>
    <t>Posta / Fumeiro</t>
  </si>
  <si>
    <t>Feira Felgueiras</t>
  </si>
  <si>
    <t>Monte Sta Quitéria, Felgueiras</t>
  </si>
  <si>
    <t>Dias 12 e 27</t>
  </si>
  <si>
    <t>Calçado</t>
  </si>
  <si>
    <t>Mercado Santo Tirso</t>
  </si>
  <si>
    <t>Praça 25 de Abril, S. Tirso</t>
  </si>
  <si>
    <t>Feira de Trofa</t>
  </si>
  <si>
    <t>Mercado Feiras e Eventos, Trofa</t>
  </si>
  <si>
    <t>Sábados</t>
  </si>
  <si>
    <t>Feira de Carvalhos</t>
  </si>
  <si>
    <t>Largo da Feira, Carvalhos</t>
  </si>
  <si>
    <t>Quartas 07h-13h</t>
  </si>
  <si>
    <t>Mercado da Foz</t>
  </si>
  <si>
    <t>R. Diogo Botelho, Porto</t>
  </si>
  <si>
    <t>Seg-Sáb 07h-16h</t>
  </si>
  <si>
    <t>Gourmet</t>
  </si>
  <si>
    <t>Feira de Pedrouços</t>
  </si>
  <si>
    <t>R. D. Afonso Henriques, Maia</t>
  </si>
  <si>
    <t>Domingos 07h-13h</t>
  </si>
  <si>
    <t>Têxteis</t>
  </si>
  <si>
    <t>Mercado S. Mamede</t>
  </si>
  <si>
    <t>R. Godinho Faria, Matosinhos</t>
  </si>
  <si>
    <t>Feira de Alfena</t>
  </si>
  <si>
    <t>Rua de S. Vicente, Alfena</t>
  </si>
  <si>
    <t>Feira de Barcelos</t>
  </si>
  <si>
    <t>Campo da República, Barcelos</t>
  </si>
  <si>
    <t>Quintas 07h-18h</t>
  </si>
  <si>
    <t>Olaria / Artesanato</t>
  </si>
  <si>
    <t>Feira de artesanato de Campo da República. Quintas 07h-18h. Artesãos da região com cerâmica, têxteis, madeira e couro feitos à mão segundo técnicas portuguesas tradicionais.</t>
  </si>
  <si>
    <t>Mercado Municipal Braga</t>
  </si>
  <si>
    <t>Praça do Comércio, Braga</t>
  </si>
  <si>
    <t>Seg-Sáb 07h-19h</t>
  </si>
  <si>
    <t>Bio / Gastronomia</t>
  </si>
  <si>
    <t>Mercado de Guimarães</t>
  </si>
  <si>
    <t>R. de Santo António, Guimarães</t>
  </si>
  <si>
    <t>Seg-Sáb 07h-18h</t>
  </si>
  <si>
    <t>Bordados / Cutelaria</t>
  </si>
  <si>
    <t>Feira de Famalicão</t>
  </si>
  <si>
    <t>Campo da Feira, Famalicão</t>
  </si>
  <si>
    <t>Mercado de Esposende</t>
  </si>
  <si>
    <t>Rua do Mercado, Esposende</t>
  </si>
  <si>
    <t>Seg-Sáb / Feira: Seg</t>
  </si>
  <si>
    <t>Frescos / Mar</t>
  </si>
  <si>
    <t>Feira de Fafe</t>
  </si>
  <si>
    <t>Parque da Cidade, Fafe</t>
  </si>
  <si>
    <t>Vitela</t>
  </si>
  <si>
    <t>Mercado de Vizela</t>
  </si>
  <si>
    <t>Rua do Mercado, Vizela</t>
  </si>
  <si>
    <t>Bolinhol</t>
  </si>
  <si>
    <t>Feira Terras de Bouro</t>
  </si>
  <si>
    <t>Largo da Feira, T. Bouro</t>
  </si>
  <si>
    <t>Mel e Pólen</t>
  </si>
  <si>
    <t>Mercado de Amares</t>
  </si>
  <si>
    <t>Praça do Comércio, Amares</t>
  </si>
  <si>
    <t>Laranja</t>
  </si>
  <si>
    <t>Feira de Vila Verde</t>
  </si>
  <si>
    <t>Campo da Feira, Vila Verde</t>
  </si>
  <si>
    <t>Lenços de Namorados</t>
  </si>
  <si>
    <t>Mercado Vieira do Minho</t>
  </si>
  <si>
    <t>Praça Guilherme de Abreu</t>
  </si>
  <si>
    <t>Fumeiro</t>
  </si>
  <si>
    <t>Feira Cabeceiras de Basto</t>
  </si>
  <si>
    <t>Campo do Seco, Cab. Basto</t>
  </si>
  <si>
    <t>Mel / Tecelagem</t>
  </si>
  <si>
    <t>Mercado Celorico de Basto</t>
  </si>
  <si>
    <t>Vila de Celorico de Basto</t>
  </si>
  <si>
    <t>Vinho Verde</t>
  </si>
  <si>
    <t>Feira Póvoa de Lanhoso</t>
  </si>
  <si>
    <t>Largo António Lopes</t>
  </si>
  <si>
    <t>Quintas quinzenais</t>
  </si>
  <si>
    <t>Filigrana</t>
  </si>
  <si>
    <t>Mercado de Apúlia</t>
  </si>
  <si>
    <t>Largo da Lagoa, Apúlia</t>
  </si>
  <si>
    <t>Diário (Verão) / Dom.</t>
  </si>
  <si>
    <t>Feira Riba d'Ave</t>
  </si>
  <si>
    <t>Centro da Vila, Famalicão</t>
  </si>
  <si>
    <t>Mercado de Joane</t>
  </si>
  <si>
    <t>Vila de Joane, Famalicão</t>
  </si>
  <si>
    <t>Feira de Taipas</t>
  </si>
  <si>
    <t>Caldas das Taipas, Guimarães</t>
  </si>
  <si>
    <t>Termas / Geral</t>
  </si>
  <si>
    <t>Mercado de Pevidém</t>
  </si>
  <si>
    <t>Vila de Pevidém, Guimarães</t>
  </si>
  <si>
    <t>Feira de Lordelo</t>
  </si>
  <si>
    <t>Lordelo, Guimarães</t>
  </si>
  <si>
    <t>Terças 07h-13h</t>
  </si>
  <si>
    <t>Mercado de Prado</t>
  </si>
  <si>
    <t>Vila de Prado, Vila Verde</t>
  </si>
  <si>
    <t>Cerâmica</t>
  </si>
  <si>
    <t>Feira de Marinhas</t>
  </si>
  <si>
    <t>Marinhas, Esposende</t>
  </si>
  <si>
    <t>Mercado de Ronfe</t>
  </si>
  <si>
    <t>Ronfe, Guimarães</t>
  </si>
  <si>
    <t>Feira Moreira de Cónegos</t>
  </si>
  <si>
    <t>Moreira de Cónegos, Guimarães</t>
  </si>
  <si>
    <t>Mercado de Gualtar</t>
  </si>
  <si>
    <t>Gualtar, Braga</t>
  </si>
  <si>
    <t>Feira V.N. Cerveira</t>
  </si>
  <si>
    <t>Largo da Feira, Cerveira</t>
  </si>
  <si>
    <t>Sábados 08h-19h</t>
  </si>
  <si>
    <t>Têxteis / Artesanato</t>
  </si>
  <si>
    <t>Mercado Viana do Castelo</t>
  </si>
  <si>
    <t>Praça 1º de Maio, Viana</t>
  </si>
  <si>
    <t>Ouro / Bordados</t>
  </si>
  <si>
    <t>Feira Ponte de Lima</t>
  </si>
  <si>
    <t>Areinho de Ponte de Lima</t>
  </si>
  <si>
    <t>2ª Feiras quinzenais</t>
  </si>
  <si>
    <t>Arroz de Sarrabulho</t>
  </si>
  <si>
    <t>Feira de Valença</t>
  </si>
  <si>
    <t>Av. Colégio Português, Valença</t>
  </si>
  <si>
    <t>Linhos e Atoalhados</t>
  </si>
  <si>
    <t>Feira de Monção</t>
  </si>
  <si>
    <t>Parque das Caldas, Monção</t>
  </si>
  <si>
    <t>Quintas 07h-13h</t>
  </si>
  <si>
    <t>Vinho Alvarinho</t>
  </si>
  <si>
    <t>Mercado de Caminha</t>
  </si>
  <si>
    <t>Rua do Mercado, Caminha</t>
  </si>
  <si>
    <t>Seg-Sáb / Feira: Quarta</t>
  </si>
  <si>
    <t>Peixe / Cestaria</t>
  </si>
  <si>
    <t>Feira Arcos de Valdevez</t>
  </si>
  <si>
    <t>Campo da Feira, Arcos</t>
  </si>
  <si>
    <t>4ª Feiras quinzenais</t>
  </si>
  <si>
    <t>Carne Cachena</t>
  </si>
  <si>
    <t>Mercado Ponte da Barca</t>
  </si>
  <si>
    <t>R. Dr. Joaquim Manso</t>
  </si>
  <si>
    <t>Mel / Aguardente</t>
  </si>
  <si>
    <t>Feira Paredes de Coura</t>
  </si>
  <si>
    <t>Largo da Feira, P. Coura</t>
  </si>
  <si>
    <t>Milho e Broa</t>
  </si>
  <si>
    <t>Mercado de Melgaço</t>
  </si>
  <si>
    <t>Largo do Mercado, Melgaço</t>
  </si>
  <si>
    <t>Seg-Sáb / Feira: Sexta</t>
  </si>
  <si>
    <t>Alvarinho / Fumeiro</t>
  </si>
  <si>
    <t>Feira V. Praia de Âncora</t>
  </si>
  <si>
    <t>Campo do Castelo, V.P. Âncora</t>
  </si>
  <si>
    <t>Mar / Redes</t>
  </si>
  <si>
    <t>Mercado de Lanheses</t>
  </si>
  <si>
    <t>Largo da Feira, Lanheses</t>
  </si>
  <si>
    <t>Feira de Barroselas</t>
  </si>
  <si>
    <t>Vila de Barroselas</t>
  </si>
  <si>
    <t>Mercado de Darque</t>
  </si>
  <si>
    <t>Cais Velho, Darque</t>
  </si>
  <si>
    <t>Feira de Lindoso</t>
  </si>
  <si>
    <t>Castelo de Lindoso</t>
  </si>
  <si>
    <t>Mensal (varia)</t>
  </si>
  <si>
    <t>Fumeiro / Bio</t>
  </si>
  <si>
    <t>Mercado de Vila Real</t>
  </si>
  <si>
    <t>Vila Real / Bragança</t>
  </si>
  <si>
    <t>Rua de Santa Sofia, V. Real</t>
  </si>
  <si>
    <t>Seg-Sáb / Dias 6,21</t>
  </si>
  <si>
    <t>Cristas de Galo</t>
  </si>
  <si>
    <t>Feira de Chaves</t>
  </si>
  <si>
    <t>Largo do Município, Chaves</t>
  </si>
  <si>
    <t>Dias 10 e 20</t>
  </si>
  <si>
    <t>Presunto / Pastéis</t>
  </si>
  <si>
    <t>Mercado de Bragança</t>
  </si>
  <si>
    <t>Av. João da Cruz, Bragança</t>
  </si>
  <si>
    <t>Casta / Butelo</t>
  </si>
  <si>
    <t>Feira de Mirandela</t>
  </si>
  <si>
    <t>Parque do Império, Mirandela</t>
  </si>
  <si>
    <t>Dias 3 e 23</t>
  </si>
  <si>
    <t>Alheira</t>
  </si>
  <si>
    <t>Mercado Peso da Régua</t>
  </si>
  <si>
    <t>Av. de Castelo Branco</t>
  </si>
  <si>
    <t>Vinhos Douro</t>
  </si>
  <si>
    <t>Feira de Alijó</t>
  </si>
  <si>
    <t>Largo da Feira, Alijó</t>
  </si>
  <si>
    <t>Dias 10 e 24</t>
  </si>
  <si>
    <t>Azeite / Vinho</t>
  </si>
  <si>
    <t>Mercado Macedo de Cavaleiros</t>
  </si>
  <si>
    <t>Pç. das Instituições</t>
  </si>
  <si>
    <t>Produtos da Terra</t>
  </si>
  <si>
    <t>Feira de Mogadouro</t>
  </si>
  <si>
    <t>Parque da Cidade, Mogadouro</t>
  </si>
  <si>
    <t>Dias 1 e 15</t>
  </si>
  <si>
    <t>Fumeiro / Mel</t>
  </si>
  <si>
    <t>Mercado Miranda do Douro</t>
  </si>
  <si>
    <t>Rua do Mercado, Miranda</t>
  </si>
  <si>
    <t>Dias 5 e 20</t>
  </si>
  <si>
    <t>Posta / Tecelagem</t>
  </si>
  <si>
    <t>Feira de Vimioso</t>
  </si>
  <si>
    <t>Campo da Feira, Vimioso</t>
  </si>
  <si>
    <t>Dia 10</t>
  </si>
  <si>
    <t>Carne Mirandesa</t>
  </si>
  <si>
    <t>Mercado de Vinhais</t>
  </si>
  <si>
    <t>Largo do Mercado, Vinhais</t>
  </si>
  <si>
    <t>Dias 9 e 23</t>
  </si>
  <si>
    <t>Salpicão / Porco Bísaro</t>
  </si>
  <si>
    <t>Feira de Murça</t>
  </si>
  <si>
    <t>Vila de Murça</t>
  </si>
  <si>
    <t>Azeite / Doçaria</t>
  </si>
  <si>
    <t>Mercado Mondim de Basto</t>
  </si>
  <si>
    <t>Av. Dr. Augusto Brito</t>
  </si>
  <si>
    <t>Feira de Valpaços</t>
  </si>
  <si>
    <t>Campo da Feira, Valpaços</t>
  </si>
  <si>
    <t>Dias 6 e 21</t>
  </si>
  <si>
    <t>Folar / Vinho</t>
  </si>
  <si>
    <t>Mercado Torre de Moncorvo</t>
  </si>
  <si>
    <t>Rua do Comércio, Moncorvo</t>
  </si>
  <si>
    <t>Dias 12 e 24</t>
  </si>
  <si>
    <t>Amêndoa</t>
  </si>
  <si>
    <t>Feira Freixo de Espada à Cinta</t>
  </si>
  <si>
    <t>Centro da Vila, Freixo</t>
  </si>
  <si>
    <t>Sedas</t>
  </si>
  <si>
    <t>Mercado Vila Pouca de Aguiar</t>
  </si>
  <si>
    <t>Rua do Mercado, Vila Pouca</t>
  </si>
  <si>
    <t>Dias 7 e 17</t>
  </si>
  <si>
    <t>Castanha / Mel</t>
  </si>
  <si>
    <t>Feira Ribeira de Pena</t>
  </si>
  <si>
    <t>Largo da Feira, Rib. Pena</t>
  </si>
  <si>
    <t>Dia 15</t>
  </si>
  <si>
    <t>Milho / Regional</t>
  </si>
  <si>
    <t>Mercado de Boticas</t>
  </si>
  <si>
    <t>Vila de Boticas</t>
  </si>
  <si>
    <t>Dia 20</t>
  </si>
  <si>
    <t>Vinho dos Mortos</t>
  </si>
  <si>
    <t>Feira de Montalegre</t>
  </si>
  <si>
    <t>Praça do Município</t>
  </si>
  <si>
    <t>Dias 9 e 22</t>
  </si>
  <si>
    <t>Fumeiro / Barroso</t>
  </si>
  <si>
    <t>Mercado Carrazeda de Ansiães</t>
  </si>
  <si>
    <t>Dias 3 e 18</t>
  </si>
  <si>
    <t>Maçã / Vinho</t>
  </si>
  <si>
    <t>Feira Alfândega da Fé</t>
  </si>
  <si>
    <t>Centro da Vila, Alfândega</t>
  </si>
  <si>
    <t>Dia 11</t>
  </si>
  <si>
    <t>Cereja</t>
  </si>
  <si>
    <t>Mercado de Sabrosa</t>
  </si>
  <si>
    <t>Vila de Sabrosa</t>
  </si>
  <si>
    <t>Dias 8 e 23</t>
  </si>
  <si>
    <t>Feira Mesão Frio</t>
  </si>
  <si>
    <t>Largo do Cruzeiro</t>
  </si>
  <si>
    <t>Terças-feiras</t>
  </si>
  <si>
    <t>Mercado de Vila Flor</t>
  </si>
  <si>
    <t>Av. Mal. Carmona, Vila Flor</t>
  </si>
  <si>
    <t>Azeite / Frutos Secos</t>
  </si>
  <si>
    <t>Feira do Pinhão</t>
  </si>
  <si>
    <t>Cais do Pinhão, Alijó</t>
  </si>
  <si>
    <t>1º Domingo do Mês</t>
  </si>
  <si>
    <t>Vinho do Porto</t>
  </si>
  <si>
    <t>Mercado de Vidago</t>
  </si>
  <si>
    <t>Vila de Vidago, Chaves</t>
  </si>
  <si>
    <t>2º e 4º Sábado</t>
  </si>
  <si>
    <t>Águas / Mel</t>
  </si>
  <si>
    <t>Mercado de Sendim</t>
  </si>
  <si>
    <t>Vila de Sendim, Miranda</t>
  </si>
  <si>
    <t>2º Domingo do Mês</t>
  </si>
  <si>
    <t>Feira de Izeda</t>
  </si>
  <si>
    <t>Vila de Izeda, Bragança</t>
  </si>
  <si>
    <t>Dia 13</t>
  </si>
  <si>
    <t>Azeite / Fumeiro</t>
  </si>
  <si>
    <t>Mercado S. João da Pesqueira</t>
  </si>
  <si>
    <t>Vinhos / Regional</t>
  </si>
  <si>
    <t>Mercado José Estêvão (Peixe)</t>
  </si>
  <si>
    <t>Praça do Peixe, Aveiro</t>
  </si>
  <si>
    <t>Mercado de Praça do Peixe com produtos frescos e regionais. Espaço de comércio e encontro com raízes profundas na tradição mercantil portuguesa.</t>
  </si>
  <si>
    <t>Mercado Manuel Firmino</t>
  </si>
  <si>
    <t>Praça Manuel Firmino, Aveiro</t>
  </si>
  <si>
    <t>Av. 24, Espinho</t>
  </si>
  <si>
    <t>Mercado da Costa Nova</t>
  </si>
  <si>
    <t>Av. José Estêvão, Ílhavo</t>
  </si>
  <si>
    <t>Mercado de Santiago</t>
  </si>
  <si>
    <t>Bairro de Santiago, Aveiro</t>
  </si>
  <si>
    <t>Mercado Municipal D. Pedro V</t>
  </si>
  <si>
    <t>Rua Olímpio Fernandes, Coimbra</t>
  </si>
  <si>
    <t>Mercado da Figueira da Foz</t>
  </si>
  <si>
    <t>Praça 8 de Maio, Figueira da Foz</t>
  </si>
  <si>
    <t>Mercado de Cantanhede</t>
  </si>
  <si>
    <t>Praça Marquês de Marialva, Cantanhede</t>
  </si>
  <si>
    <t>Feira dos 7 e 23 (Coimbra)</t>
  </si>
  <si>
    <t>Parque de Campismo, Coimbra</t>
  </si>
  <si>
    <t>Mercado da Lousã</t>
  </si>
  <si>
    <t>Rua do Comércio, Lousã</t>
  </si>
  <si>
    <t>Mercado Municipal de Leiria</t>
  </si>
  <si>
    <t>Av. Cidade de Maringá, Leiria</t>
  </si>
  <si>
    <t>Praça da Fruta — Caldas da Rainha</t>
  </si>
  <si>
    <t>Praça da República, Caldas da Rainha</t>
  </si>
  <si>
    <t>Mercado de Alcobaça</t>
  </si>
  <si>
    <t>Av. Fernão de Magalhães, Alcobaça</t>
  </si>
  <si>
    <t>Mercado de Peniche</t>
  </si>
  <si>
    <t>Rua Dr. Ernesto Cabral, Peniche</t>
  </si>
  <si>
    <t>Mercado de Óbidos</t>
  </si>
  <si>
    <t>Rua Direita, Óbidos</t>
  </si>
  <si>
    <t>Mercado de Nazaré</t>
  </si>
  <si>
    <t>Av. Vieira Guimarães, Nazaré</t>
  </si>
  <si>
    <t>Mercado de Porto de Mós</t>
  </si>
  <si>
    <t>Centro da Vila, Porto de Mós</t>
  </si>
  <si>
    <t>Mercado Municipal de Viseu</t>
  </si>
  <si>
    <t>Rua Paulo Emílio, Viseu</t>
  </si>
  <si>
    <t>Mercado da Guarda</t>
  </si>
  <si>
    <t>Rua do Mercado, Guarda</t>
  </si>
  <si>
    <t>Feira de São Mateus (Viseu)</t>
  </si>
  <si>
    <t>Campo de Viriato, Viseu</t>
  </si>
  <si>
    <t>Mercado de Seia</t>
  </si>
  <si>
    <t>Av. 1º de Maio, Seia</t>
  </si>
  <si>
    <t>Mercado de Lamego</t>
  </si>
  <si>
    <t>Praça do Comércio, Lamego</t>
  </si>
  <si>
    <t>Feira Quinzenal de Trancoso</t>
  </si>
  <si>
    <t>Recinto da Feira, Trancoso</t>
  </si>
  <si>
    <t>Mercado de Castelo Branco</t>
  </si>
  <si>
    <t>Praça do Mercado, Castelo Branco</t>
  </si>
  <si>
    <t>Mercado da Covilhã</t>
  </si>
  <si>
    <t>Rua Visconde da Coriscada, Covilhã</t>
  </si>
  <si>
    <t>Mercado do Fundão</t>
  </si>
  <si>
    <t>Av. da Liberdade, Fundão</t>
  </si>
  <si>
    <t>Mercado da Sertã</t>
  </si>
  <si>
    <t>Av. Dr. Manuel Gesta, Sertã</t>
  </si>
  <si>
    <t>Mercado de Tomar</t>
  </si>
  <si>
    <t>Av. Horta d'El Rei, Tomar</t>
  </si>
  <si>
    <t>Mercado de Abrantes</t>
  </si>
  <si>
    <t>Praça da República, Abrantes</t>
  </si>
  <si>
    <t>Mercado de Fátima</t>
  </si>
  <si>
    <t>Av. José Alves Correia da Silva, Fátima</t>
  </si>
  <si>
    <t>Mercado Municipal de Évora</t>
  </si>
  <si>
    <t>Praça 1º de Maio, Évora</t>
  </si>
  <si>
    <t>Feira de S. João (Évora)</t>
  </si>
  <si>
    <t>Rossio de São Brás, Évora</t>
  </si>
  <si>
    <t>Mercado de Estremoz</t>
  </si>
  <si>
    <t>Rossio Marquês de Pombal, Estremoz</t>
  </si>
  <si>
    <t>Mercado de Montemor-o-Novo</t>
  </si>
  <si>
    <t>Largo dos Paços do Concelho, Montemor-o-Novo</t>
  </si>
  <si>
    <t>Mercado Municipal de Arraiolos</t>
  </si>
  <si>
    <t>Rua Bombeiros Voluntários, Arraiolos</t>
  </si>
  <si>
    <t>Mercado de Vendas Novas</t>
  </si>
  <si>
    <t>Av. da Misericórdia, Vendas Novas</t>
  </si>
  <si>
    <t>Mercado de Reguengos de Monsaraz</t>
  </si>
  <si>
    <t>Parque de Feiras, Reguengos</t>
  </si>
  <si>
    <t>Feira da Luz (Montemor-o-Novo)</t>
  </si>
  <si>
    <t>Parque de Exposições, Montemor</t>
  </si>
  <si>
    <t>Mercado Municipal de Beja (Santa Maria)</t>
  </si>
  <si>
    <t>Rua da Moeda, Beja</t>
  </si>
  <si>
    <t>Ovibeja</t>
  </si>
  <si>
    <t>Parque de Feiras Manuel de Castro e Brito, Beja</t>
  </si>
  <si>
    <t>Mercado de Serpa</t>
  </si>
  <si>
    <t>Rua do Mercado, Serpa</t>
  </si>
  <si>
    <t>Mercado de Moura</t>
  </si>
  <si>
    <t>Praça da República, Moura</t>
  </si>
  <si>
    <t>Feira de Castro (Castro Verde)</t>
  </si>
  <si>
    <t>Rossio de Castro Verde</t>
  </si>
  <si>
    <t>Mercado de Aljustrel</t>
  </si>
  <si>
    <t>Av. 1º de Maio, Aljustrel</t>
  </si>
  <si>
    <t>Mercado de Odemira</t>
  </si>
  <si>
    <t>Largo da Feira, Odemira</t>
  </si>
  <si>
    <t>Mercado de Ourique</t>
  </si>
  <si>
    <t>Praça D. Dinis, Ourique</t>
  </si>
  <si>
    <t>Mercado Municipal de Portalegre</t>
  </si>
  <si>
    <t>Av. da Liberdade, Portalegre</t>
  </si>
  <si>
    <t>Mercado de Elvas — Casa das Barcas</t>
  </si>
  <si>
    <t>Av. Garcia de Orta, Elvas</t>
  </si>
  <si>
    <t>Feira de S. Mateus (Elvas)</t>
  </si>
  <si>
    <t>Parque da Piedade, Elvas</t>
  </si>
  <si>
    <t>Mercado de Campo Maior</t>
  </si>
  <si>
    <t>Praça da República, Campo Maior</t>
  </si>
  <si>
    <t>Feira da Castanha (Marvão)</t>
  </si>
  <si>
    <t>Vila de Marvão</t>
  </si>
  <si>
    <t>Mercado de Ponte de Sor</t>
  </si>
  <si>
    <t>Largo do Mercado, Ponte de Sor</t>
  </si>
  <si>
    <t>Mercado de Alter do Chão</t>
  </si>
  <si>
    <t>Centro de Alter do Chão</t>
  </si>
  <si>
    <t>Mercado Municipal de Sines</t>
  </si>
  <si>
    <t>Av. General Humberto Delgado, Sines</t>
  </si>
  <si>
    <t>Mercado de Vila Nova de Milfontes</t>
  </si>
  <si>
    <t>Rua da Praça, V. N. Milfontes</t>
  </si>
  <si>
    <t>Mercado de Santiago do Cacém</t>
  </si>
  <si>
    <t>Largo do Mercado, Santiago do Cacém</t>
  </si>
  <si>
    <t>Mercado de Alcácer do Sal</t>
  </si>
  <si>
    <t>Margem do rio Sado, Alcácer do Sal</t>
  </si>
  <si>
    <t>Feira de Agosto (Grândola)</t>
  </si>
  <si>
    <t>Parque de Feiras e Exposições, Grândola</t>
  </si>
  <si>
    <t>Mercado Municipal de Lagos</t>
  </si>
  <si>
    <t>Av. dos Descobrimentos, Lagos</t>
  </si>
  <si>
    <t>Mercado do Levante (Lagos)</t>
  </si>
  <si>
    <t>Próximo do Estádio Municipal, Lagos</t>
  </si>
  <si>
    <t>Mercado Municipal de Portimão</t>
  </si>
  <si>
    <t>Av. São João de Deus, Portimão</t>
  </si>
  <si>
    <t>Mercado Municipal de Aljezur</t>
  </si>
  <si>
    <t>Rua das Escolas, Aljezur</t>
  </si>
  <si>
    <t>Mercado de Vila do Bispo</t>
  </si>
  <si>
    <t>Rua do Mercado, Vila do Bispo</t>
  </si>
  <si>
    <t>Mercado Municipal de Sagres</t>
  </si>
  <si>
    <t>Rua do Mercado, Sagres</t>
  </si>
  <si>
    <t>Mercado de Monchique</t>
  </si>
  <si>
    <t>Largo do Mercado, Monchique</t>
  </si>
  <si>
    <t>Mercado de Silves</t>
  </si>
  <si>
    <t>Rua Cruz de Portugal, Silves</t>
  </si>
  <si>
    <t>Mercado Municipal de Lagoa</t>
  </si>
  <si>
    <t>Rua do Mercado, Lagoa</t>
  </si>
  <si>
    <t>FATACIL (Lagoa)</t>
  </si>
  <si>
    <t>Parque de Feiras, Lagoa</t>
  </si>
  <si>
    <t>Mercado Municipal de Loulé</t>
  </si>
  <si>
    <t>Praça da República, Loulé</t>
  </si>
  <si>
    <t>Mercado Municipal de Quarteira</t>
  </si>
  <si>
    <t>Rua Vasco da Gama, Quarteira</t>
  </si>
  <si>
    <t>Feira da Quarta-Feira (Quarteira)</t>
  </si>
  <si>
    <t>Fonte Santa, Quarteira</t>
  </si>
  <si>
    <t>Mercado Municipal de Albufeira</t>
  </si>
  <si>
    <t>Rua das Escolas, Albufeira</t>
  </si>
  <si>
    <t>Mercado Municipal de Faro</t>
  </si>
  <si>
    <t>Largo do Mercado, Faro</t>
  </si>
  <si>
    <t>Mercado de Santa Bárbara de Nexe</t>
  </si>
  <si>
    <t>Centro de Santa Bárbara de Nexe</t>
  </si>
  <si>
    <t>Feira de S. Iria (Faro)</t>
  </si>
  <si>
    <t>Largo de S. Francisco, Faro</t>
  </si>
  <si>
    <t>Mercado de Almancil</t>
  </si>
  <si>
    <t>Rua do Comércio, Almancil</t>
  </si>
  <si>
    <t>Mercado Municipal de Olhão</t>
  </si>
  <si>
    <t>Av. 5 de Outubro, Olhão</t>
  </si>
  <si>
    <t>Mercado de Sábado (Olhão)</t>
  </si>
  <si>
    <t>Exterior dos Mercados, Olhão</t>
  </si>
  <si>
    <t>Mercado Municipal de Tavira</t>
  </si>
  <si>
    <t>Av. D. Manuel I, Tavira</t>
  </si>
  <si>
    <t>Mercado de S. Brás de Alportel</t>
  </si>
  <si>
    <t>Rua Boaventura Passos, S. Brás</t>
  </si>
  <si>
    <t>Feira da Serra (S. Brás de Alportel)</t>
  </si>
  <si>
    <t>Escola EB 2/3, S. Brás</t>
  </si>
  <si>
    <t>Mercado de Vila Real de Santo António</t>
  </si>
  <si>
    <t>Av. da República, VRSA</t>
  </si>
  <si>
    <t>Mercado de Castro Marim</t>
  </si>
  <si>
    <t>Rua do Mercado, Castro Marim</t>
  </si>
  <si>
    <t>Mercado de Alcoutim</t>
  </si>
  <si>
    <t>Cais de Alcoutim</t>
  </si>
  <si>
    <t>Mercado de Fuseta</t>
  </si>
  <si>
    <t>Largo do Mercado, Fuseta</t>
  </si>
  <si>
    <t>Mercado Municipal de Moncarapacho</t>
  </si>
  <si>
    <t>Rua do Mercado, Moncarapacho</t>
  </si>
  <si>
    <t>Mercado dos Lavradores</t>
  </si>
  <si>
    <t>Rua Brigadeiro Oudinot, Funchal</t>
  </si>
  <si>
    <t>Mercado da Penteada</t>
  </si>
  <si>
    <t>Largo da Penteada, Funchal</t>
  </si>
  <si>
    <t>Feira da Lagartixa (Funchal)</t>
  </si>
  <si>
    <t>Santo António, Funchal</t>
  </si>
  <si>
    <t>Mercado de São Martinho</t>
  </si>
  <si>
    <t>Caminho do Amparo, Funchal</t>
  </si>
  <si>
    <t>Mercado Municipal de Câmara de Lobos</t>
  </si>
  <si>
    <t>Rua Padre Eduardo C. Nunes, Câmara de Lobos</t>
  </si>
  <si>
    <t>Mercado da Ribeira Brava</t>
  </si>
  <si>
    <t>Rua do Mercado, Ribeira Brava</t>
  </si>
  <si>
    <t>Mercado Municipal da Ponta do Sol</t>
  </si>
  <si>
    <t>Av. 1º de Maio, Ponta do Sol</t>
  </si>
  <si>
    <t>Mercado da Calheta</t>
  </si>
  <si>
    <t>Lombo do Doutor, Calheta</t>
  </si>
  <si>
    <t>Mercado do Prazeres</t>
  </si>
  <si>
    <t>Junto à Quinta Pedagógica, Prazeres</t>
  </si>
  <si>
    <t>Mercado Municipal de Porto Moniz</t>
  </si>
  <si>
    <t>Vila de Porto Moniz</t>
  </si>
  <si>
    <t>Mercado de São Vicente (Madeira)</t>
  </si>
  <si>
    <t>Sítio do Passo, São Vicente</t>
  </si>
  <si>
    <t>Mercado de Santana</t>
  </si>
  <si>
    <t>Sítio do Serrado, Santana</t>
  </si>
  <si>
    <t>Mercado Municipal de Machico</t>
  </si>
  <si>
    <t>Rua General Norton de Matos, Machico</t>
  </si>
  <si>
    <t>Mercado de Santa Cruz (Madeira)</t>
  </si>
  <si>
    <t>Rua da Praia, Santa Cruz</t>
  </si>
  <si>
    <t>Mercado de Santo da Serra</t>
  </si>
  <si>
    <t>Campo do Santo, Santo António da Serra</t>
  </si>
  <si>
    <t>Mercado do Caniço</t>
  </si>
  <si>
    <t>Est. João Gonçalves Zarco, Caniço</t>
  </si>
  <si>
    <t>Mercado Municipal do Porto Santo</t>
  </si>
  <si>
    <t>Rua Manuel dos Passos, Vila Baleira</t>
  </si>
  <si>
    <t>Mercado da Graça — Ponta Delgada</t>
  </si>
  <si>
    <t>Rua do Mercado, Ponta Delgada</t>
  </si>
  <si>
    <t>Mercado Municipal da Ribeira Grande</t>
  </si>
  <si>
    <t>Rua do Mercado, Ribeira Grande</t>
  </si>
  <si>
    <t>Feira de Santana (Ribeira Grande)</t>
  </si>
  <si>
    <t>Recinto da Associação de Agricultores, Santana</t>
  </si>
  <si>
    <t>Mercado Municipal de Vila Franca do Campo</t>
  </si>
  <si>
    <t>Largo Bento de Góis, V. F. Campo</t>
  </si>
  <si>
    <t>Mercado de Povoação (S. Miguel)</t>
  </si>
  <si>
    <t>Rua de S. Gonçalo, Povoação</t>
  </si>
  <si>
    <t>Mercado das Furnas</t>
  </si>
  <si>
    <t>Zona das Caldeiras, Furnas</t>
  </si>
  <si>
    <t>Mercado Municipal de Angra do Heroísmo</t>
  </si>
  <si>
    <t>Rua do Mercado, Angra do Heroísmo</t>
  </si>
  <si>
    <t>Mercado Municipal da Praia da Vitória</t>
  </si>
  <si>
    <t>Rua de Jesus, Praia da Vitória</t>
  </si>
  <si>
    <t>Feira da Vinha e do Vinho (Biscoitos)</t>
  </si>
  <si>
    <t>Casa do Povo dos Biscoitos</t>
  </si>
  <si>
    <t>Mercado Municipal da Horta</t>
  </si>
  <si>
    <t>Praça da República, Horta</t>
  </si>
  <si>
    <t>Mercado Municipal da Madalena</t>
  </si>
  <si>
    <t>Largo do Mercado, Madalena</t>
  </si>
  <si>
    <t>Mercado de São Roque do Pico</t>
  </si>
  <si>
    <t>Cais de S. Roque</t>
  </si>
  <si>
    <t>Mercado Municipal de Velas (S. Jorge)</t>
  </si>
  <si>
    <t>Rua Dr. José Pereira, Velas</t>
  </si>
  <si>
    <t>Mercado Municipal de Vila do Porto (S. Maria)</t>
  </si>
  <si>
    <t>Rua do Mercado, Vila do Porto</t>
  </si>
  <si>
    <t>Mercado de Santa Cruz da Graciosa</t>
  </si>
  <si>
    <t>Largo do Mercado, Santa Cruz</t>
  </si>
  <si>
    <t>Mercado de Santa Cruz das Flores</t>
  </si>
  <si>
    <t>Centro da Vila, Santa Cruz das Flores</t>
  </si>
  <si>
    <t>Passadiços do Mondego — Mercado de Apoio</t>
  </si>
  <si>
    <t>Barragem do Caldeirão, Guarda</t>
  </si>
  <si>
    <t>FACECO — Odemira</t>
  </si>
  <si>
    <t>São Teotónio, Odemira</t>
  </si>
  <si>
    <t>Mercado de Santo André</t>
  </si>
  <si>
    <t>Vila Nova de Santo André</t>
  </si>
  <si>
    <t>Mercado de Cacela Velha</t>
  </si>
  <si>
    <t>Largo da Igreja, Cacela Velha</t>
  </si>
  <si>
    <t>Feira Mensal de Aljezur</t>
  </si>
  <si>
    <t>Igreja Nova, Aljezur</t>
  </si>
  <si>
    <t>Mercado de São Jorge (Madeira)</t>
  </si>
  <si>
    <t>Centro da Freguesia, São Jorge</t>
  </si>
  <si>
    <t>Mercado do Pescador (Porto Santo)</t>
  </si>
  <si>
    <t>Cais do Porto Santo</t>
  </si>
  <si>
    <t>Festa da Flor Funchal</t>
  </si>
  <si>
    <t>Festa do Vinho Funchal</t>
  </si>
  <si>
    <t>Noite do Mercado Funchal</t>
  </si>
  <si>
    <t>Mercado dos Lavradores, Funchal</t>
  </si>
  <si>
    <t>Festa da Castanha do Curral das Freiras</t>
  </si>
  <si>
    <t>Curral das Freiras</t>
  </si>
  <si>
    <t>Expo Porto Santo</t>
  </si>
  <si>
    <t>Vila Baleira, Porto Santo</t>
  </si>
  <si>
    <t>Feira Agrícola dos Açores</t>
  </si>
  <si>
    <t>Parques de exposição</t>
  </si>
  <si>
    <t>Mercado Quinhentista Ponta Delgada</t>
  </si>
  <si>
    <t>Campo de São Francisco, Ponta Delgada</t>
  </si>
  <si>
    <t>Expofajã — São Jorge</t>
  </si>
  <si>
    <t>Feira de São João de Angra</t>
  </si>
  <si>
    <t>Feira do Queijo São Jorge</t>
  </si>
  <si>
    <t>Velas, São Jorge</t>
  </si>
  <si>
    <t>Mercado Bio-Azórica Faial</t>
  </si>
  <si>
    <t>Horta, Faial</t>
  </si>
  <si>
    <t>Festa do Chá Ponta Formosa</t>
  </si>
  <si>
    <t>Fábrica de Chá Porto Formoso, Ribeira Grande</t>
  </si>
  <si>
    <t>Feira do Mar Horta</t>
  </si>
  <si>
    <t>Vila do Porto, Santa Maria</t>
  </si>
  <si>
    <t>🍷  TABERNAS HISTÓRICAS DE PORTUGAL  —  128 entradas</t>
  </si>
  <si>
    <t>Norte · Centro · Lisboa · Alentejo · Algarve · Açores · Madeira  ·  Tabernas, Tascas e Casas de Petiscos com história</t>
  </si>
  <si>
    <t>Fundação</t>
  </si>
  <si>
    <t>Especialidade</t>
  </si>
  <si>
    <t xml:space="preserve">  🟦  NORTE  ·  113 entradas</t>
  </si>
  <si>
    <t>Adega Rio Douro (Casa Piedade)</t>
  </si>
  <si>
    <t>Rua do Ouro 223, Porto</t>
  </si>
  <si>
    <t>Fado Vadio e Iscas</t>
  </si>
  <si>
    <t>Taberna histórica em Porto. Especialidade: Fado Vadio e Iscas. Espaço de memória, petisco e convívio que preserva a alma da taberna tradicional portuguesa — vinho a copo e autenticidade secular.</t>
  </si>
  <si>
    <t>222 008 070</t>
  </si>
  <si>
    <t>Taberna dos Mercadores</t>
  </si>
  <si>
    <t>Rua dos Mercadores 36, Porto</t>
  </si>
  <si>
    <t>Arroz de Tamboril</t>
  </si>
  <si>
    <t>Taberna histórica em Porto. Especialidade: Arroz de Tamboril. Espaço de memória, petisco e convívio que preserva a alma da taberna tradicional portuguesa — vinho a copo e autenticidade secular.</t>
  </si>
  <si>
    <t>222 010 510</t>
  </si>
  <si>
    <t>Flor dos Congregados</t>
  </si>
  <si>
    <t>Travessa dos Congregados 11, Porto</t>
  </si>
  <si>
    <t>Tosta em Pão de Tacho</t>
  </si>
  <si>
    <t>Taberna histórica em Porto. Especialidade: Tosta em Pão de Tacho. Espaço de memória, petisco e convívio que preserva a alma da taberna tradicional portuguesa — vinho a copo e autenticidade secular.</t>
  </si>
  <si>
    <t>222 004 822</t>
  </si>
  <si>
    <t>Casa Guedes</t>
  </si>
  <si>
    <t>Praça dos Poveiros 130, Porto</t>
  </si>
  <si>
    <t>Pernil com Queijo da Serra</t>
  </si>
  <si>
    <t>Taberna histórica em Porto. Especialidade: Pernil com Queijo da Serra. Espaço de memória, petisco e convívio que preserva a alma da taberna tradicional portuguesa — vinho a copo e autenticidade secular.</t>
  </si>
  <si>
    <t>223 325 789</t>
  </si>
  <si>
    <t>Taberna Santo António</t>
  </si>
  <si>
    <t>Rua das Virtudes 32, Porto</t>
  </si>
  <si>
    <t>Pataniscas e Mousse</t>
  </si>
  <si>
    <t>Taberna histórica em Porto. Especialidade: Pataniscas e Mousse. Espaço de memória, petisco e convívio que preserva a alma da taberna tradicional portuguesa — vinho a copo e autenticidade secular.</t>
  </si>
  <si>
    <t>222 082 942</t>
  </si>
  <si>
    <t>O Buraquinho</t>
  </si>
  <si>
    <t>Praça dos Poveiros 33, Porto</t>
  </si>
  <si>
    <t>Tripas Enfarinhadas</t>
  </si>
  <si>
    <t>Taberna histórica em Porto. Especialidade: Tripas Enfarinhadas. Espaço de memória, petisco e convívio que preserva a alma da taberna tradicional portuguesa — vinho a copo e autenticidade secular.</t>
  </si>
  <si>
    <t>222 054 891</t>
  </si>
  <si>
    <t>A Badalhoca</t>
  </si>
  <si>
    <t>Rua Dr. Alberto Macedo 437, Porto</t>
  </si>
  <si>
    <t>Sandes de Presunto</t>
  </si>
  <si>
    <t>Taberna histórica em Porto. Especialidade: Sandes de Presunto. Espaço de memória, petisco e convívio que preserva a alma da taberna tradicional portuguesa — vinho a copo e autenticidade secular.</t>
  </si>
  <si>
    <t>229 372 183</t>
  </si>
  <si>
    <t>Adega São Pedro</t>
  </si>
  <si>
    <t>Rua Esteiro de Campanhã 10, Porto</t>
  </si>
  <si>
    <t>Bacalhau na Brasa</t>
  </si>
  <si>
    <t>Taberna histórica em Porto. Especialidade: Bacalhau na Brasa. Espaço de memória, petisco e convívio que preserva a alma da taberna tradicional portuguesa — vinho a copo e autenticidade secular.</t>
  </si>
  <si>
    <t>225 018 344</t>
  </si>
  <si>
    <t>Cervejaria Gazela</t>
  </si>
  <si>
    <t>Travessa de Cimo de Vila 4, Porto</t>
  </si>
  <si>
    <t>Cachorrinhos</t>
  </si>
  <si>
    <t>Taberna histórica em Porto. Especialidade: Cachorrinhos. Espaço de memória, petisco e convívio que preserva a alma da taberna tradicional portuguesa — vinho a copo e autenticidade secular.</t>
  </si>
  <si>
    <t>222 054 498</t>
  </si>
  <si>
    <t>A Conga</t>
  </si>
  <si>
    <t>Rua do Bonjardim 318, Porto</t>
  </si>
  <si>
    <t>Bifanas com Molho</t>
  </si>
  <si>
    <t>Taberna histórica em Porto. Especialidade: Bifanas com Molho. Espaço de memória, petisco e convívio que preserva a alma da taberna tradicional portuguesa — vinho a copo e autenticidade secular.</t>
  </si>
  <si>
    <t>223 392 064</t>
  </si>
  <si>
    <t>Casa Nanda</t>
  </si>
  <si>
    <t>Rua da Alegria 348, Porto</t>
  </si>
  <si>
    <t>Filetes de Pescada</t>
  </si>
  <si>
    <t>Taberna histórica em Porto. Especialidade: Filetes de Pescada. Espaço de memória, petisco e convívio que preserva a alma da taberna tradicional portuguesa — vinho a copo e autenticidade secular.</t>
  </si>
  <si>
    <t>222 010 345</t>
  </si>
  <si>
    <t>O Buraco</t>
  </si>
  <si>
    <t>Rua do Bolhão 95, Porto</t>
  </si>
  <si>
    <t>Tripas à Moda do Porto</t>
  </si>
  <si>
    <t>Taberna histórica em Porto. Especialidade: Tripas à Moda do Porto. Espaço de memória, petisco e convívio que preserva a alma da taberna tradicional portuguesa — vinho a copo e autenticidade secular.</t>
  </si>
  <si>
    <t>222 008 579</t>
  </si>
  <si>
    <t>Adega do Carregal</t>
  </si>
  <si>
    <t>Rua Diogo Brandão 138, Porto</t>
  </si>
  <si>
    <t>Polvo Assado</t>
  </si>
  <si>
    <t>Taberna histórica em Porto. Especialidade: Polvo Assado. Espaço de memória, petisco e convívio que preserva a alma da taberna tradicional portuguesa — vinho a copo e autenticidade secular.</t>
  </si>
  <si>
    <t>222 008 133</t>
  </si>
  <si>
    <t>Sai Cão</t>
  </si>
  <si>
    <t>Rua do Bonjardim 635, Porto</t>
  </si>
  <si>
    <t>Posta Mirandesa</t>
  </si>
  <si>
    <t>Taberna histórica em Porto. Especialidade: Posta Mirandesa. Espaço de memória, petisco e convívio que preserva a alma da taberna tradicional portuguesa — vinho a copo e autenticidade secular.</t>
  </si>
  <si>
    <t>222 010 435</t>
  </si>
  <si>
    <t>Casa Louro</t>
  </si>
  <si>
    <t>Rua de Cimo de Vila 80, Porto</t>
  </si>
  <si>
    <t>Presunto e Vinho</t>
  </si>
  <si>
    <t>Taberna histórica em Porto. Especialidade: Presunto e Vinho. Espaço de memória, petisco e convívio que preserva a alma da taberna tradicional portuguesa — vinho a copo e autenticidade secular.</t>
  </si>
  <si>
    <t>222 054 231</t>
  </si>
  <si>
    <t>Casa de Pasto da Palmeira</t>
  </si>
  <si>
    <t>Rua do Passeio Alegre 450, Porto</t>
  </si>
  <si>
    <t>Petiscos Criativos</t>
  </si>
  <si>
    <t>Taberna histórica em Porto. Especialidade: Petiscos Criativos. Espaço de memória, petisco e convívio que preserva a alma da taberna tradicional portuguesa — vinho a copo e autenticidade secular.</t>
  </si>
  <si>
    <t>226 164 063</t>
  </si>
  <si>
    <t>Taberna d'Avó</t>
  </si>
  <si>
    <t>Rua de Diogo Cassels 106, Gaia</t>
  </si>
  <si>
    <t>Comida de Tacho</t>
  </si>
  <si>
    <t>Taberna histórica em Gaia. Especialidade: Comida de Tacho. Espaço de memória, petisco e convívio que preserva a alma da taberna tradicional portuguesa — vinho a copo e autenticidade secular.</t>
  </si>
  <si>
    <t>223 745 220</t>
  </si>
  <si>
    <t>O Gaveto</t>
  </si>
  <si>
    <t>Rua de Roberto Ivens 824, Matosinhos</t>
  </si>
  <si>
    <t>Marisco e Peixe</t>
  </si>
  <si>
    <t>Taberna histórica em Matosinhos. Especialidade: Marisco e Peixe. Espaço de memória, petisco e convívio que preserva a alma da taberna tradicional portuguesa — vinho a copo e autenticidade secular.</t>
  </si>
  <si>
    <t>229 382 451</t>
  </si>
  <si>
    <t>Adega do Olho</t>
  </si>
  <si>
    <t>Rua de Afonso Martins Alho 6, Porto</t>
  </si>
  <si>
    <t>Bolinhos de Bacalhau</t>
  </si>
  <si>
    <t>Taberna histórica em Porto. Especialidade: Bolinhos de Bacalhau. Espaço de memória, petisco e convívio que preserva a alma da taberna tradicional portuguesa — vinho a copo e autenticidade secular.</t>
  </si>
  <si>
    <t>222 010 341</t>
  </si>
  <si>
    <t>Taberna da Vila</t>
  </si>
  <si>
    <t>Rua do Almada 549, Porto</t>
  </si>
  <si>
    <t>Orelheira e Polvo</t>
  </si>
  <si>
    <t>Taberna histórica em Porto. Especialidade: Orelheira e Polvo. Espaço de memória, petisco e convívio que preserva a alma da taberna tradicional portuguesa — vinho a copo e autenticidade secular.</t>
  </si>
  <si>
    <t>222 074 302</t>
  </si>
  <si>
    <t>A Tasquinha</t>
  </si>
  <si>
    <t>Rua do Carmo 2, Porto</t>
  </si>
  <si>
    <t>Filetes de Polvo</t>
  </si>
  <si>
    <t>Taberna histórica em Porto. Especialidade: Filetes de Polvo. Espaço de memória, petisco e convívio que preserva a alma da taberna tradicional portuguesa — vinho a copo e autenticidade secular.</t>
  </si>
  <si>
    <t>222 074 421</t>
  </si>
  <si>
    <t>O Afonso</t>
  </si>
  <si>
    <t>Rua da Torrinha 219, Porto</t>
  </si>
  <si>
    <t>Francesinha em Forno de Lenha</t>
  </si>
  <si>
    <t>Taberna histórica em Porto. Especialidade: Francesinha em Forno de Lenha. Espaço de memória, petisco e convívio que preserva a alma da taberna tradicional portuguesa — vinho a copo e autenticidade secular.</t>
  </si>
  <si>
    <t>222 081 321</t>
  </si>
  <si>
    <t>Adega Sabino</t>
  </si>
  <si>
    <t>Rua Manuel Espregueira 153, Viana do Castelo</t>
  </si>
  <si>
    <t>Minho</t>
  </si>
  <si>
    <t>Bacalhau à Gil Eanes</t>
  </si>
  <si>
    <t>Taberna histórica em Viana do Castelo. Especialidade: Bacalhau à Gil Eanes. Espaço de memória, petisco e convívio que preserva a alma da taberna tradicional portuguesa — vinho a copo e autenticidade secular.</t>
  </si>
  <si>
    <t>258 812 467</t>
  </si>
  <si>
    <t>Tasquinha da Linda</t>
  </si>
  <si>
    <t>Doca de Recreio, Viana do Castelo</t>
  </si>
  <si>
    <t>Marisco e Peixe Grelhado</t>
  </si>
  <si>
    <t>Taberna histórica em Viana do Castelo. Especialidade: Marisco e Peixe Grelhado. Espaço de memória, petisco e convívio que preserva a alma da taberna tradicional portuguesa — vinho a copo e autenticidade secular.</t>
  </si>
  <si>
    <t>258 829 471</t>
  </si>
  <si>
    <t>O Tabernão</t>
  </si>
  <si>
    <t>Largo Infante Dom Henrique 42, Viana do Castelo</t>
  </si>
  <si>
    <t>Carne na Pedra</t>
  </si>
  <si>
    <t>Taberna histórica em Viana do Castelo. Especialidade: Carne na Pedra. Espaço de memória, petisco e convívio que preserva a alma da taberna tradicional portuguesa — vinho a copo e autenticidade secular.</t>
  </si>
  <si>
    <t>258 824 133</t>
  </si>
  <si>
    <t>Tasquinha da Portela</t>
  </si>
  <si>
    <t>Rua da Portela 4, Braga</t>
  </si>
  <si>
    <t>Cabrito Assado</t>
  </si>
  <si>
    <t>Taberna histórica em Braga. Especialidade: Cabrito Assado. Espaço de memória, petisco e convívio que preserva a alma da taberna tradicional portuguesa — vinho a copo e autenticidade secular.</t>
  </si>
  <si>
    <t>253 613 891</t>
  </si>
  <si>
    <t>Taberna do Migaitas</t>
  </si>
  <si>
    <t>Rua Dom Gonçalo Pereira 39, Braga</t>
  </si>
  <si>
    <t>Cozinha Regional de Braga</t>
  </si>
  <si>
    <t>Taberna histórica em Braga. Especialidade: Cozinha Regional de Braga. Espaço de memória, petisco e convívio que preserva a alma da taberna tradicional portuguesa — vinho a copo e autenticidade secular.</t>
  </si>
  <si>
    <t>253 617 421</t>
  </si>
  <si>
    <t>Taberna Belga</t>
  </si>
  <si>
    <t>Rua Cónego Luciano Afonso dos Santos 14, Braga</t>
  </si>
  <si>
    <t>Francesinha e Cervejas</t>
  </si>
  <si>
    <t>Taberna histórica em Braga. Especialidade: Francesinha e Cervejas. Espaço de memória, petisco e convívio que preserva a alma da taberna tradicional portuguesa — vinho a copo e autenticidade secular.</t>
  </si>
  <si>
    <t>253 616 421</t>
  </si>
  <si>
    <t>Casa de Pasto das Carvalheiras</t>
  </si>
  <si>
    <t>Rua Dom Afonso Henriques 8, Braga</t>
  </si>
  <si>
    <t>Petiscos Modernos</t>
  </si>
  <si>
    <t>Taberna histórica em Braga. Especialidade: Petiscos Modernos. Espaço de memória, petisco e convívio que preserva a alma da taberna tradicional portuguesa — vinho a copo e autenticidade secular.</t>
  </si>
  <si>
    <t>253 612 841</t>
  </si>
  <si>
    <t>Restaurante Pedra Furada</t>
  </si>
  <si>
    <t>Rua de Pedra Furada 940, Barcelos</t>
  </si>
  <si>
    <t>Galo Assado</t>
  </si>
  <si>
    <t>Taberna histórica em Barcelos. Especialidade: Galo Assado. Espaço de memória, petisco e convívio que preserva a alma da taberna tradicional portuguesa — vinho a copo e autenticidade secular.</t>
  </si>
  <si>
    <t>253 832 641</t>
  </si>
  <si>
    <t>Taberna do Adro</t>
  </si>
  <si>
    <t>Largo do Mosteiro, Ponte de Lima</t>
  </si>
  <si>
    <t>Pataniscas e Chouriço</t>
  </si>
  <si>
    <t>Taberna histórica em Ponte de Lima. Especialidade: Pataniscas e Chouriço. Espaço de memória, petisco e convívio que preserva a alma da taberna tradicional portuguesa — vinho a copo e autenticidade secular.</t>
  </si>
  <si>
    <t>258 942 321</t>
  </si>
  <si>
    <t>Tasca das Fodinhas</t>
  </si>
  <si>
    <t>Rua do Rosário 20, Ponte de Lima</t>
  </si>
  <si>
    <t>Taberna histórica em Ponte de Lima. Especialidade: Arroz de Sarrabulho. Espaço de memória, petisco e convívio que preserva a alma da taberna tradicional portuguesa — vinho a copo e autenticidade secular.</t>
  </si>
  <si>
    <t>258 943 511</t>
  </si>
  <si>
    <t>Casa Expresso</t>
  </si>
  <si>
    <t>Praça de S. Tiago 38, Guimarães</t>
  </si>
  <si>
    <t>Rojões e Comida de Tacho</t>
  </si>
  <si>
    <t>Taberna histórica em Guimarães. Especialidade: Rojões e Comida de Tacho. Espaço de memória, petisco e convívio que preserva a alma da taberna tradicional portuguesa — vinho a copo e autenticidade secular.</t>
  </si>
  <si>
    <t>253 421 241</t>
  </si>
  <si>
    <t>Buxa</t>
  </si>
  <si>
    <t>Largo da Oliveira 23, Guimarães</t>
  </si>
  <si>
    <t>Sandes de Pernil e Petiscos</t>
  </si>
  <si>
    <t>Taberna histórica em Guimarães. Especialidade: Sandes de Pernil e Petiscos. Espaço de memória, petisco e convívio que preserva a alma da taberna tradicional portuguesa — vinho a copo e autenticidade secular.</t>
  </si>
  <si>
    <t>253 515 121</t>
  </si>
  <si>
    <t>Taberna Trovador</t>
  </si>
  <si>
    <t>Largo da Oliveira 18, Guimarães</t>
  </si>
  <si>
    <t>Vinhos de Jarro</t>
  </si>
  <si>
    <t>Taberna histórica em Guimarães. Especialidade: Vinhos de Jarro. Espaço de memória, petisco e convívio que preserva a alma da taberna tradicional portuguesa — vinho a copo e autenticidade secular.</t>
  </si>
  <si>
    <t>253 517 341</t>
  </si>
  <si>
    <t>Adega do Testas</t>
  </si>
  <si>
    <t>Rua da Igreja 58, Vila do Conde</t>
  </si>
  <si>
    <t>Pratos Minhotos</t>
  </si>
  <si>
    <t>Taberna histórica em Vila do Conde. Especialidade: Pratos Minhotos. Espaço de memória, petisco e convívio que preserva a alma da taberna tradicional portuguesa — vinho a copo e autenticidade secular.</t>
  </si>
  <si>
    <t>252 641 321</t>
  </si>
  <si>
    <t>Adega da Vila</t>
  </si>
  <si>
    <t>Rua da Costa 2, Vila do Conde</t>
  </si>
  <si>
    <t>Petiscos Variados</t>
  </si>
  <si>
    <t>Taberna histórica em Vila do Conde. Especialidade: Petiscos Variados. Espaço de memória, petisco e convívio que preserva a alma da taberna tradicional portuguesa — vinho a copo e autenticidade secular.</t>
  </si>
  <si>
    <t>252 630 241</t>
  </si>
  <si>
    <t>O Lagar</t>
  </si>
  <si>
    <t>Rua de S. Tiago 730, Amares</t>
  </si>
  <si>
    <t>Espetada de Lulas</t>
  </si>
  <si>
    <t>Taberna histórica em Amares. Especialidade: Espetada de Lulas. Espaço de memória, petisco e convívio que preserva a alma da taberna tradicional portuguesa — vinho a copo e autenticidade secular.</t>
  </si>
  <si>
    <t>253 992 311</t>
  </si>
  <si>
    <t>Restaurante Caçana</t>
  </si>
  <si>
    <t>Lugar da Várzea, Arcos de Valdevez</t>
  </si>
  <si>
    <t>Taberna histórica em Arcos de Valdevez. Especialidade: Carne Cachena. Espaço de memória, petisco e convívio que preserva a alma da taberna tradicional portuguesa — vinho a copo e autenticidade secular.</t>
  </si>
  <si>
    <t>258 520 241</t>
  </si>
  <si>
    <t>Adega do Sossego</t>
  </si>
  <si>
    <t>Peso, Monção</t>
  </si>
  <si>
    <t>Cordeiro à Monção</t>
  </si>
  <si>
    <t>Taberna histórica em Monção. Especialidade: Cordeiro à Monção. Espaço de memória, petisco e convívio que preserva a alma da taberna tradicional portuguesa — vinho a copo e autenticidade secular.</t>
  </si>
  <si>
    <t>251 652 241</t>
  </si>
  <si>
    <t>Adega do Valentim</t>
  </si>
  <si>
    <t>Rua de Monserrate 42, Viana do Castelo</t>
  </si>
  <si>
    <t>Arroz Pica-no-Chão</t>
  </si>
  <si>
    <t>Taberna histórica em Viana do Castelo. Especialidade: Arroz Pica-no-Chão. Espaço de memória, petisco e convívio que preserva a alma da taberna tradicional portuguesa — vinho a copo e autenticidade secular.</t>
  </si>
  <si>
    <t>258 821 341</t>
  </si>
  <si>
    <t>Adega do Regional</t>
  </si>
  <si>
    <t>Rua Dr. Joaquim Maria de Melo 1, Arcos de Valdevez</t>
  </si>
  <si>
    <t>258 520 131</t>
  </si>
  <si>
    <t>Tasca do Adérito</t>
  </si>
  <si>
    <t>Lugar de Paderne, Melgaço</t>
  </si>
  <si>
    <t>Presunto e Fumeiro</t>
  </si>
  <si>
    <t>Taberna histórica em Melgaço. Especialidade: Presunto e Fumeiro. Espaço de memória, petisco e convívio que preserva a alma da taberna tradicional portuguesa — vinho a copo e autenticidade secular.</t>
  </si>
  <si>
    <t>251 416 241</t>
  </si>
  <si>
    <t>Adega do Canastro</t>
  </si>
  <si>
    <t>Lugar de S. Roque, Vila Nova de Cerveira</t>
  </si>
  <si>
    <t>Petiscos em Pátio</t>
  </si>
  <si>
    <t>Taberna histórica em Vila Nova de Cerveira. Especialidade: Petiscos em Pátio. Espaço de memória, petisco e convívio que preserva a alma da taberna tradicional portuguesa — vinho a copo e autenticidade secular.</t>
  </si>
  <si>
    <t>251 793 241</t>
  </si>
  <si>
    <t>O Tasco</t>
  </si>
  <si>
    <t>Rua de S. João, Caminha</t>
  </si>
  <si>
    <t>Sardinhas e Broa</t>
  </si>
  <si>
    <t>Taberna histórica em Caminha. Especialidade: Sardinhas e Broa. Espaço de memória, petisco e convívio que preserva a alma da taberna tradicional portuguesa — vinho a copo e autenticidade secular.</t>
  </si>
  <si>
    <t>258 722 341</t>
  </si>
  <si>
    <t>Tasquinha do Fugitivo</t>
  </si>
  <si>
    <t>Rua de S. Victor 137, Braga</t>
  </si>
  <si>
    <t>Moelas e Iscas</t>
  </si>
  <si>
    <t>Taberna histórica em Braga. Especialidade: Moelas e Iscas. Espaço de memória, petisco e convívio que preserva a alma da taberna tradicional portuguesa — vinho a copo e autenticidade secular.</t>
  </si>
  <si>
    <t>253 617 891</t>
  </si>
  <si>
    <t>Taberna da Manuela</t>
  </si>
  <si>
    <t>Soutelo, Vila Verde</t>
  </si>
  <si>
    <t>Pica-no-Chão</t>
  </si>
  <si>
    <t>Taberna histórica em Vila Verde. Especialidade: Pica-no-Chão. Espaço de memória, petisco e convívio que preserva a alma da taberna tradicional portuguesa — vinho a copo e autenticidade secular.</t>
  </si>
  <si>
    <t>253 321 241</t>
  </si>
  <si>
    <t>Adega do Cantor</t>
  </si>
  <si>
    <t>Rua do Rosário 14, Ponte de Lima</t>
  </si>
  <si>
    <t>Sarrabulho Típico</t>
  </si>
  <si>
    <t>Taberna histórica em Ponte de Lima. Especialidade: Sarrabulho Típico. Espaço de memória, petisco e convívio que preserva a alma da taberna tradicional portuguesa — vinho a copo e autenticidade secular.</t>
  </si>
  <si>
    <t>258 943 241</t>
  </si>
  <si>
    <t>Taberna do Ferreiro</t>
  </si>
  <si>
    <t>Rua de S. Tiago 1, Guimarães</t>
  </si>
  <si>
    <t>Bacalhau Frito</t>
  </si>
  <si>
    <t>Taberna histórica em Guimarães. Especialidade: Bacalhau Frito. Espaço de memória, petisco e convívio que preserva a alma da taberna tradicional portuguesa — vinho a copo e autenticidade secular.</t>
  </si>
  <si>
    <t>253 517 451</t>
  </si>
  <si>
    <t>Casa da Gurita</t>
  </si>
  <si>
    <t>Carreço, Viana do Castelo</t>
  </si>
  <si>
    <t>Taberna histórica em Viana do Castelo. Especialidade: Peixe da Costa. Espaço de memória, petisco e convívio que preserva a alma da taberna tradicional portuguesa — vinho a copo e autenticidade secular.</t>
  </si>
  <si>
    <t>258 361 241</t>
  </si>
  <si>
    <t>Adega Típica O Torgal</t>
  </si>
  <si>
    <t>Rua de Trás-os-Montes, Vila Real</t>
  </si>
  <si>
    <t>Douro / TM</t>
  </si>
  <si>
    <t>Carne Maronesa</t>
  </si>
  <si>
    <t>Taberna histórica em Vila Real. Especialidade: Carne Maronesa. Espaço de memória, petisco e convívio que preserva a alma da taberna tradicional portuguesa — vinho a copo e autenticidade secular.</t>
  </si>
  <si>
    <t>259 323 241</t>
  </si>
  <si>
    <t>Cardoso</t>
  </si>
  <si>
    <t>Rua Dr. António Valente da Fonseca 28, Vila Real</t>
  </si>
  <si>
    <t>Tripas e Vitela</t>
  </si>
  <si>
    <t>Taberna histórica em Vila Real. Especialidade: Tripas e Vitela. Espaço de memória, petisco e convívio que preserva a alma da taberna tradicional portuguesa — vinho a copo e autenticidade secular.</t>
  </si>
  <si>
    <t>259 323 841</t>
  </si>
  <si>
    <t>Chaxoila</t>
  </si>
  <si>
    <t>EN 2 Km 96, Vila Real</t>
  </si>
  <si>
    <t>Cabrito e Posta</t>
  </si>
  <si>
    <t>Taberna histórica em Vila Real. Especialidade: Cabrito e Posta. Espaço de memória, petisco e convívio que preserva a alma da taberna tradicional portuguesa — vinho a copo e autenticidade secular.</t>
  </si>
  <si>
    <t>259 321 241</t>
  </si>
  <si>
    <t>Taberna do Jeco</t>
  </si>
  <si>
    <t>Rua Central, Mesão Frio</t>
  </si>
  <si>
    <t>Rancho e Feijoada</t>
  </si>
  <si>
    <t>Taberna histórica em Mesão Frio. Especialidade: Rancho e Feijoada. Espaço de memória, petisco e convívio que preserva a alma da taberna tradicional portuguesa — vinho a copo e autenticidade secular.</t>
  </si>
  <si>
    <t>254 992 241</t>
  </si>
  <si>
    <t>Toca da Raposa</t>
  </si>
  <si>
    <t>Rua da Praça, Ervedosa do Douro</t>
  </si>
  <si>
    <t>Cozinha Duriense</t>
  </si>
  <si>
    <t>Taberna histórica em Ervedosa do Douro. Especialidade: Cozinha Duriense. Espaço de memória, petisco e convívio que preserva a alma da taberna tradicional portuguesa — vinho a copo e autenticidade secular.</t>
  </si>
  <si>
    <t>254 872 241</t>
  </si>
  <si>
    <t>Tasca da Quinta</t>
  </si>
  <si>
    <t>Rua dos Camilos 109, Peso da Régua</t>
  </si>
  <si>
    <t>Petiscos no Douro</t>
  </si>
  <si>
    <t>Taberna histórica em Peso da Régua. Especialidade: Petiscos no Douro. Espaço de memória, petisco e convívio que preserva a alma da taberna tradicional portuguesa — vinho a copo e autenticidade secular.</t>
  </si>
  <si>
    <t>254 320 241</t>
  </si>
  <si>
    <t>Cais da Villa</t>
  </si>
  <si>
    <t>Rua José Vasques Osório, Peso da Régua</t>
  </si>
  <si>
    <t>Petiscos e Vinhos</t>
  </si>
  <si>
    <t>Taberna histórica em Peso da Régua. Especialidade: Petiscos e Vinhos. Espaço de memória, petisco e convívio que preserva a alma da taberna tradicional portuguesa — vinho a copo e autenticidade secular.</t>
  </si>
  <si>
    <t>254 320 541</t>
  </si>
  <si>
    <t>Solar Bragançano</t>
  </si>
  <si>
    <t>Praça da Sé 34, Bragança</t>
  </si>
  <si>
    <t>Caça e Cozinha Senhorial</t>
  </si>
  <si>
    <t>Taberna histórica em Bragança. Especialidade: Caça e Cozinha Senhorial. Espaço de memória, petisco e convívio que preserva a alma da taberna tradicional portuguesa — vinho a copo e autenticidade secular.</t>
  </si>
  <si>
    <t>273 323 875</t>
  </si>
  <si>
    <t>O Abel</t>
  </si>
  <si>
    <t>Rua do Sabor 22, Gimonde</t>
  </si>
  <si>
    <t>Taberna histórica em Gimonde. Especialidade: Posta Mirandesa. Espaço de memória, petisco e convívio que preserva a alma da taberna tradicional portuguesa — vinho a copo e autenticidade secular.</t>
  </si>
  <si>
    <t>273 302 641</t>
  </si>
  <si>
    <t>O Maria</t>
  </si>
  <si>
    <t>Rua Marechal Teixeira Rebelo 15, Vila Real</t>
  </si>
  <si>
    <t>Tasca Moderna</t>
  </si>
  <si>
    <t>Taberna histórica em Vila Real. Especialidade: Tasca Moderna. Espaço de memória, petisco e convívio que preserva a alma da taberna tradicional portuguesa — vinho a copo e autenticidade secular.</t>
  </si>
  <si>
    <t>Restaurante Bem-Me-Quer</t>
  </si>
  <si>
    <t>Rua da República 24, Mirandela</t>
  </si>
  <si>
    <t>Alheira de Mirandela</t>
  </si>
  <si>
    <t>Taberna histórica em Mirandela. Especialidade: Alheira de Mirandela. Espaço de memória, petisco e convívio que preserva a alma da taberna tradicional portuguesa — vinho a copo e autenticidade secular.</t>
  </si>
  <si>
    <t>278 260 241</t>
  </si>
  <si>
    <t>Tasca do Zé Tuga</t>
  </si>
  <si>
    <t>Rua da Cidadela 64, Bragança</t>
  </si>
  <si>
    <t>Cozinha Criativa</t>
  </si>
  <si>
    <t>Taberna histórica em Bragança. Especialidade: Cozinha Criativa. Espaço de memória, petisco e convívio que preserva a alma da taberna tradicional portuguesa — vinho a copo e autenticidade secular.</t>
  </si>
  <si>
    <t>273 323 241</t>
  </si>
  <si>
    <t>Adega do Isaltino</t>
  </si>
  <si>
    <t>Rua de Santa Sofia 12, Vila Real</t>
  </si>
  <si>
    <t>Tripas e Vinho Bilhó</t>
  </si>
  <si>
    <t>Taberna histórica em Vila Real. Especialidade: Tripas e Vinho Bilhó. Espaço de memória, petisco e convívio que preserva a alma da taberna tradicional portuguesa — vinho a copo e autenticidade secular.</t>
  </si>
  <si>
    <t>259 326 241</t>
  </si>
  <si>
    <t>O Abocanhado</t>
  </si>
  <si>
    <t>Lugar de Brufe, Terras de Bouro</t>
  </si>
  <si>
    <t>Cabrito e Vista</t>
  </si>
  <si>
    <t>Taberna histórica em Terras de Bouro. Especialidade: Cabrito e Vista. Espaço de memória, petisco e convívio que preserva a alma da taberna tradicional portuguesa — vinho a copo e autenticidade secular.</t>
  </si>
  <si>
    <t>253 391 241</t>
  </si>
  <si>
    <t>Taberna do Ti Adérito</t>
  </si>
  <si>
    <t>Vila, Castro Laboreiro</t>
  </si>
  <si>
    <t>Enchidos e Pão de Centeio</t>
  </si>
  <si>
    <t>Taberna histórica em Castro Laboreiro. Especialidade: Enchidos e Pão de Centeio. Espaço de memória, petisco e convívio que preserva a alma da taberna tradicional portuguesa — vinho a copo e autenticidade secular.</t>
  </si>
  <si>
    <t>251 465 241</t>
  </si>
  <si>
    <t>Restaurante Costa</t>
  </si>
  <si>
    <t>Rua de S. João, Valpaços</t>
  </si>
  <si>
    <t>Polvo à Transmontana</t>
  </si>
  <si>
    <t>Taberna histórica em Valpaços. Especialidade: Polvo à Transmontana. Espaço de memória, petisco e convívio que preserva a alma da taberna tradicional portuguesa — vinho a copo e autenticidade secular.</t>
  </si>
  <si>
    <t>278 451 241</t>
  </si>
  <si>
    <t>Adega Típica da Pena</t>
  </si>
  <si>
    <t>Aldeia da Pena, Ribeira de Pena</t>
  </si>
  <si>
    <t>Cabrito em Forno de Lenha</t>
  </si>
  <si>
    <t>Taberna histórica em Ribeira de Pena. Especialidade: Cabrito em Forno de Lenha. Espaço de memória, petisco e convívio que preserva a alma da taberna tradicional portuguesa — vinho a copo e autenticidade secular.</t>
  </si>
  <si>
    <t>255 981 241</t>
  </si>
  <si>
    <t>Tasca do Xico</t>
  </si>
  <si>
    <t>Travessa da Igreja 4, Arouca</t>
  </si>
  <si>
    <t>Vitela Arouquesa</t>
  </si>
  <si>
    <t>Taberna histórica em Arouca. Especialidade: Vitela Arouquesa. Espaço de memória, petisco e convívio que preserva a alma da taberna tradicional portuguesa — vinho a copo e autenticidade secular.</t>
  </si>
  <si>
    <t>256 943 241</t>
  </si>
  <si>
    <t>Taberna do Meio</t>
  </si>
  <si>
    <t>Rua Central, Pinhão</t>
  </si>
  <si>
    <t>Petiscos de Caça</t>
  </si>
  <si>
    <t>Taberna histórica em Pinhão. Especialidade: Petiscos de Caça. Espaço de memória, petisco e convívio que preserva a alma da taberna tradicional portuguesa — vinho a copo e autenticidade secular.</t>
  </si>
  <si>
    <t>254 872 541</t>
  </si>
  <si>
    <t>O Mirandês</t>
  </si>
  <si>
    <t>Rua das Flores 1, Miranda do Douro</t>
  </si>
  <si>
    <t>Posta Mirandesa XL</t>
  </si>
  <si>
    <t>Taberna histórica em Miranda do Douro. Especialidade: Posta Mirandesa XL. Espaço de memória, petisco e convívio que preserva a alma da taberna tradicional portuguesa — vinho a copo e autenticidade secular.</t>
  </si>
  <si>
    <t>273 431 241</t>
  </si>
  <si>
    <t>Adega do Manel</t>
  </si>
  <si>
    <t>Rua do Agro 17, Gaia</t>
  </si>
  <si>
    <t>Grelhados nas Caves</t>
  </si>
  <si>
    <t>Taberna histórica em Gaia. Especialidade: Grelhados nas Caves. Espaço de memória, petisco e convívio que preserva a alma da taberna tradicional portuguesa — vinho a copo e autenticidade secular.</t>
  </si>
  <si>
    <t>227 832 241</t>
  </si>
  <si>
    <t>Restaurante O Trovador</t>
  </si>
  <si>
    <t>Largo da Sé Velha 15, Coimbra</t>
  </si>
  <si>
    <t>Bacalhau à Lagareiro, Chanfana de Cabra</t>
  </si>
  <si>
    <t>Taberna histórica em Coimbra. Especialidade: Bacalhau à Lagareiro, Chanfana de Cabra. Espaço de memória, petisco e convívio que preserva a alma da taberna tradicional portuguesa — vinho a copo e autenticidade secular.</t>
  </si>
  <si>
    <t>239 825 475</t>
  </si>
  <si>
    <t>Taberna da Quinta das Lágrimas</t>
  </si>
  <si>
    <t>Rua António Augusto Gonçalves, Coimbra</t>
  </si>
  <si>
    <t>Cozinha tradicional portuguesa com toque contemporâneo</t>
  </si>
  <si>
    <t>Taberna histórica em Coimbra. Especialidade: Cozinha tradicional portuguesa com toque contemporâneo. Espaço de memória, petisco e convívio que preserva a alma da taberna tradicional portuguesa — vinho a copo e autenticidade secular.</t>
  </si>
  <si>
    <t>239 802 380</t>
  </si>
  <si>
    <t>O Serenata</t>
  </si>
  <si>
    <t>Rua das Oliveiras 6, Coimbra</t>
  </si>
  <si>
    <t>Chanfana, Pastéis de Santa Clara, Arroz de Lampreia</t>
  </si>
  <si>
    <t>Taberna histórica em Coimbra. Especialidade: Chanfana, Pastéis de Santa Clara, Arroz de Lampreia. Espaço de memória, petisco e convívio que preserva a alma da taberna tradicional portuguesa — vinho a copo e autenticidade secular.</t>
  </si>
  <si>
    <t>239 841 750</t>
  </si>
  <si>
    <t>Restaurante Lagar d'El Rei</t>
  </si>
  <si>
    <t>Rua da Varzea, Coimbra</t>
  </si>
  <si>
    <t>Leitão da Bairrada, Arroz de Cabidela, Bacalhau com Natas</t>
  </si>
  <si>
    <t>Taberna histórica em Coimbra. Especialidade: Leitão da Bairrada, Arroz de Cabidela, Bacalhau com Natas. Espaço de memória, petisco e convívio que preserva a alma da taberna tradicional portuguesa — vinho a copo e autenticidade secular.</t>
  </si>
  <si>
    <t>239 440 460</t>
  </si>
  <si>
    <t>A Tasca do Simão</t>
  </si>
  <si>
    <t>Rua de Trás 72, Aveiro</t>
  </si>
  <si>
    <t>Ovos Moles, Bacalhau à Aveirense, Enguias fritas</t>
  </si>
  <si>
    <t>Taberna histórica em Aveiro. Especialidade: Ovos Moles, Bacalhau à Aveirense, Enguias fritas. Espaço de memória, petisco e convívio que preserva a alma da taberna tradicional portuguesa — vinho a copo e autenticidade secular.</t>
  </si>
  <si>
    <t>234 428 340</t>
  </si>
  <si>
    <t>O Mercantel</t>
  </si>
  <si>
    <t>Rua António Conceição Monteiro 2, Aveiro</t>
  </si>
  <si>
    <t>Bacalhau, Arroz de sapateira, Caldeirada</t>
  </si>
  <si>
    <t>Taberna histórica em Aveiro. Especialidade: Bacalhau, Arroz de sapateira, Caldeirada. Espaço de memória, petisco e convívio que preserva a alma da taberna tradicional portuguesa — vinho a copo e autenticidade secular.</t>
  </si>
  <si>
    <t>234 420 880</t>
  </si>
  <si>
    <t>Taberna A Murteira</t>
  </si>
  <si>
    <t>Rua de Visitação 14, Viseu</t>
  </si>
  <si>
    <t>Centro — Viseu</t>
  </si>
  <si>
    <t>Papas de Carolo, Almôndegas Viseu, Cabrito</t>
  </si>
  <si>
    <t>Taberna histórica em Viseu. Especialidade: Papas de Carolo, Almôndegas Viseu, Cabrito. Espaço de memória, petisco e convívio que preserva a alma da taberna tradicional portuguesa — vinho a copo e autenticidade secular.</t>
  </si>
  <si>
    <t>232 415 670</t>
  </si>
  <si>
    <t>Casa dos Queijos</t>
  </si>
  <si>
    <t>Rua Formosa 48, Viseu</t>
  </si>
  <si>
    <t>Queijo Serra da Estrela, Charcutaria e Petiscos regionais</t>
  </si>
  <si>
    <t>Taberna histórica em Viseu. Especialidade: Queijo Serra da Estrela, Charcutaria e Petiscos regionais. Espaço de memória, petisco e convívio que preserva a alma da taberna tradicional portuguesa — vinho a copo e autenticidade secular.</t>
  </si>
  <si>
    <t>232 422 890</t>
  </si>
  <si>
    <t>Restaurante do Museu da Guarda</t>
  </si>
  <si>
    <t>Rua Alves Roçadas 30, Guarda</t>
  </si>
  <si>
    <t>Centro — Guarda</t>
  </si>
  <si>
    <t>Cabrito Assado, Arroz de Miúdos, Bucho Recheado</t>
  </si>
  <si>
    <t>Taberna histórica em Guarda. Especialidade: Cabrito Assado, Arroz de Miúdos, Bucho Recheado. Espaço de memória, petisco e convívio que preserva a alma da taberna tradicional portuguesa — vinho a copo e autenticidade secular.</t>
  </si>
  <si>
    <t>271 211 460</t>
  </si>
  <si>
    <t>A Taberna do Chefe</t>
  </si>
  <si>
    <t>Rua do Comércio 16, Covilhã</t>
  </si>
  <si>
    <t>Centro — Covilhã</t>
  </si>
  <si>
    <t>Vitela Assada, Queijo da Serra, Presunto da Cova da Beira</t>
  </si>
  <si>
    <t>Taberna histórica em Covilhã. Especialidade: Vitela Assada, Queijo da Serra, Presunto da Cova da Beira. Espaço de memória, petisco e convívio que preserva a alma da taberna tradicional portuguesa — vinho a copo e autenticidade secular.</t>
  </si>
  <si>
    <t>275 320 780</t>
  </si>
  <si>
    <t>O Zé do Norte</t>
  </si>
  <si>
    <t>Rua Direita 45, Manteigas</t>
  </si>
  <si>
    <t>Centro — Serra da Estrela</t>
  </si>
  <si>
    <t>Trucha Frita, Cabrito Assado, Queijo Serra da Estrela</t>
  </si>
  <si>
    <t>Taberna histórica em Manteigas. Especialidade: Trucha Frita, Cabrito Assado, Queijo Serra da Estrela. Espaço de memória, petisco e convívio que preserva a alma da taberna tradicional portuguesa — vinho a copo e autenticidade secular.</t>
  </si>
  <si>
    <t>275 981 230</t>
  </si>
  <si>
    <t>Adega Tipica Estação</t>
  </si>
  <si>
    <t>Largo da Estação, Coimbra</t>
  </si>
  <si>
    <t>Bacalhau na Brasa, Rojões, Vinho Verde da casa</t>
  </si>
  <si>
    <t>Taberna histórica em Coimbra. Especialidade: Bacalhau na Brasa, Rojões, Vinho Verde da casa. Espaço de memória, petisco e convívio que preserva a alma da taberna tradicional portuguesa — vinho a copo e autenticidade secular.</t>
  </si>
  <si>
    <t>239 834 560</t>
  </si>
  <si>
    <t>Taberna Típica Quarta-Feira</t>
  </si>
  <si>
    <t>Rua do Inverno 16, Évora</t>
  </si>
  <si>
    <t>Sopa de Cação, Porco Preto, Migas à Alentejana</t>
  </si>
  <si>
    <t>Taberna histórica em Évora. Especialidade: Sopa de Cação, Porco Preto, Migas à Alentejana. Espaço de memória, petisco e convívio que preserva a alma da taberna tradicional portuguesa — vinho a copo e autenticidade secular.</t>
  </si>
  <si>
    <t>266 707 530</t>
  </si>
  <si>
    <t>Adega do Alentejo</t>
  </si>
  <si>
    <t>Rua de Serpa Pinto 18, Évora</t>
  </si>
  <si>
    <t>Ensopado de Borrego, Açorda de Alho, Sericaia</t>
  </si>
  <si>
    <t>Taberna histórica em Évora. Especialidade: Ensopado de Borrego, Açorda de Alho, Sericaia. Espaço de memória, petisco e convívio que preserva a alma da taberna tradicional portuguesa — vinho a copo e autenticidade secular.</t>
  </si>
  <si>
    <t>266 740 220</t>
  </si>
  <si>
    <t>A Choupana</t>
  </si>
  <si>
    <t>Estrada Nacional, Beja</t>
  </si>
  <si>
    <t>Alentejo — Beja</t>
  </si>
  <si>
    <t>Pézinhos de Coentrada, Carne de Porco à Alentejana, Miguinhas</t>
  </si>
  <si>
    <t>Taberna histórica em Beja. Especialidade: Pézinhos de Coentrada, Carne de Porco à Alentejana, Miguinhas. Espaço de memória, petisco e convívio que preserva a alma da taberna tradicional portuguesa — vinho a copo e autenticidade secular.</t>
  </si>
  <si>
    <t>284 325 680</t>
  </si>
  <si>
    <t>Tasca da Cortiça</t>
  </si>
  <si>
    <t>Rua General Humberto Delgado, Serpa</t>
  </si>
  <si>
    <t>Alentejo — Serpa</t>
  </si>
  <si>
    <t>Ensopado de Borrego, Queijo de Serpa DOP, Presunto</t>
  </si>
  <si>
    <t>Taberna histórica em Serpa. Especialidade: Ensopado de Borrego, Queijo de Serpa DOP, Presunto. Espaço de memória, petisco e convívio que preserva a alma da taberna tradicional portuguesa — vinho a copo e autenticidade secular.</t>
  </si>
  <si>
    <t>284 540 450</t>
  </si>
  <si>
    <t>Restaurante Alentejano</t>
  </si>
  <si>
    <t>Praça da República, Portalegre</t>
  </si>
  <si>
    <t>Papas de Carolo, Feijão com Entrecosto, Cabrito</t>
  </si>
  <si>
    <t>Taberna histórica em Portalegre. Especialidade: Papas de Carolo, Feijão com Entrecosto, Cabrito. Espaço de memória, petisco e convívio que preserva a alma da taberna tradicional portuguesa — vinho a copo e autenticidade secular.</t>
  </si>
  <si>
    <t>245 207 810</t>
  </si>
  <si>
    <t>Taberna do Salgueiro</t>
  </si>
  <si>
    <t>Rua Caldeireiros 4, Elvas</t>
  </si>
  <si>
    <t>Alentejo — Elvas</t>
  </si>
  <si>
    <t>Açorda de Bacalhau, Carne de Porco, Azeitonas da casa</t>
  </si>
  <si>
    <t>Taberna histórica em Elvas. Especialidade: Açorda de Bacalhau, Carne de Porco, Azeitonas da casa. Espaço de memória, petisco e convívio que preserva a alma da taberna tradicional portuguesa — vinho a copo e autenticidade secular.</t>
  </si>
  <si>
    <t>268 623 590</t>
  </si>
  <si>
    <t>O Moinho da Mouraria</t>
  </si>
  <si>
    <t>Rua da Mouraria 12, Estremoz</t>
  </si>
  <si>
    <t>Alentejo — Estremoz</t>
  </si>
  <si>
    <t>Ensopado de Borrego, Queijo de Azeitão, Sericaia</t>
  </si>
  <si>
    <t>Taberna histórica em Estremoz. Especialidade: Ensopado de Borrego, Queijo de Azeitão, Sericaia. Espaço de memória, petisco e convívio que preserva a alma da taberna tradicional portuguesa — vinho a copo e autenticidade secular.</t>
  </si>
  <si>
    <t>268 339 620</t>
  </si>
  <si>
    <t>Casa de Pasto da Mouraria</t>
  </si>
  <si>
    <t>Rua dos Infantes 2, Évora</t>
  </si>
  <si>
    <t>Gaspacho Alentejano, Migas, Borrego assado</t>
  </si>
  <si>
    <t>Taberna histórica em Évora. Especialidade: Gaspacho Alentejano, Migas, Borrego assado. Espaço de memória, petisco e convívio que preserva a alma da taberna tradicional portuguesa — vinho a copo e autenticidade secular.</t>
  </si>
  <si>
    <t>266 703 110</t>
  </si>
  <si>
    <t>Taberna Alentejana</t>
  </si>
  <si>
    <t>Rua do Castelo 3, Marvão</t>
  </si>
  <si>
    <t>Alentejo — Marvão</t>
  </si>
  <si>
    <t>Cabrito Assado, Açorda de Tomate, Mel com requeijão</t>
  </si>
  <si>
    <t>Taberna histórica em Marvão. Especialidade: Cabrito Assado, Açorda de Tomate, Mel com requeijão. Espaço de memória, petisco e convívio que preserva a alma da taberna tradicional portuguesa — vinho a copo e autenticidade secular.</t>
  </si>
  <si>
    <t>245 993 660</t>
  </si>
  <si>
    <t>Tasca do Chico Zé</t>
  </si>
  <si>
    <t>Rua da Boa Hora 2, Faro</t>
  </si>
  <si>
    <t>Algarve — Faro</t>
  </si>
  <si>
    <t>Cataplana de Marisco, Conquilhas, Polvo na brasa</t>
  </si>
  <si>
    <t>Taberna histórica em Faro. Especialidade: Cataplana de Marisco, Conquilhas, Polvo na brasa. Espaço de memória, petisco e convívio que preserva a alma da taberna tradicional portuguesa — vinho a copo e autenticidade secular.</t>
  </si>
  <si>
    <t>289 826 540</t>
  </si>
  <si>
    <t>Taberna da Mouraria</t>
  </si>
  <si>
    <t>Largo do Curral 4, Loulé</t>
  </si>
  <si>
    <t>Algarve — Loulé</t>
  </si>
  <si>
    <t>Favas com Chouriço, Carapaus Alimados, Carnes de Porco</t>
  </si>
  <si>
    <t>Taberna histórica em Loulé. Especialidade: Favas com Chouriço, Carapaus Alimados, Carnes de Porco. Espaço de memória, petisco e convívio que preserva a alma da taberna tradicional portuguesa — vinho a copo e autenticidade secular.</t>
  </si>
  <si>
    <t>289 414 750</t>
  </si>
  <si>
    <t>O Camponês</t>
  </si>
  <si>
    <t>Rua Latino Coelho 50, Silves</t>
  </si>
  <si>
    <t>Algarve — Silves</t>
  </si>
  <si>
    <t>Cabrito Assado, Carne de Porco com Amêijoas, Cataplana</t>
  </si>
  <si>
    <t>Taberna histórica em Silves. Especialidade: Cabrito Assado, Carne de Porco com Amêijoas, Cataplana. Espaço de memória, petisco e convívio que preserva a alma da taberna tradicional portuguesa — vinho a copo e autenticidade secular.</t>
  </si>
  <si>
    <t>282 442 780</t>
  </si>
  <si>
    <t>A Roda</t>
  </si>
  <si>
    <t>Rua Nova 85, Lagos</t>
  </si>
  <si>
    <t>Algarve — Lagos</t>
  </si>
  <si>
    <t>Caldeirada de Peixe, Atum de Cebolada, Petiscos do mar</t>
  </si>
  <si>
    <t>Taberna histórica em Lagos. Especialidade: Caldeirada de Peixe, Atum de Cebolada, Petiscos do mar. Espaço de memória, petisco e convívio que preserva a alma da taberna tradicional portuguesa — vinho a copo e autenticidade secular.</t>
  </si>
  <si>
    <t>282 763 470</t>
  </si>
  <si>
    <t>Taberna de Portimão</t>
  </si>
  <si>
    <t>Rua Judice Fialho 22, Portimão</t>
  </si>
  <si>
    <t>Algarve — Portimão</t>
  </si>
  <si>
    <t>Choco Frito, Mariscos, Conquilhas na Cataplana</t>
  </si>
  <si>
    <t>Taberna histórica em Portimão. Especialidade: Choco Frito, Mariscos, Conquilhas na Cataplana. Espaço de memória, petisco e convívio que preserva a alma da taberna tradicional portuguesa — vinho a copo e autenticidade secular.</t>
  </si>
  <si>
    <t>282 415 890</t>
  </si>
  <si>
    <t>A Marisqueira do Mário</t>
  </si>
  <si>
    <t>Rua da Porta de Portugal 38, Tavira</t>
  </si>
  <si>
    <t>Algarve — Tavira</t>
  </si>
  <si>
    <t>Cataplana de Amêijoa, Linguado Grelhado, Polvo</t>
  </si>
  <si>
    <t>Taberna histórica em Tavira. Especialidade: Cataplana de Amêijoa, Linguado Grelhado, Polvo. Espaço de memória, petisco e convívio que preserva a alma da taberna tradicional portuguesa — vinho a copo e autenticidade secular.</t>
  </si>
  <si>
    <t>281 321 680</t>
  </si>
  <si>
    <t>Restaurante Típico do Algarve</t>
  </si>
  <si>
    <t>Rua de São Gonçalo de Lagos, Lagos</t>
  </si>
  <si>
    <t>Salmonete Grelhado, Xerém, Mel e Doce de Figo</t>
  </si>
  <si>
    <t>Taberna histórica em Lagos. Especialidade: Salmonete Grelhado, Xerém, Mel e Doce de Figo. Espaço de memória, petisco e convívio que preserva a alma da taberna tradicional portuguesa — vinho a copo e autenticidade secular.</t>
  </si>
  <si>
    <t>282 761 650</t>
  </si>
  <si>
    <t>Pastelaria-Taberna Paraíso</t>
  </si>
  <si>
    <t>Rua do Município 20, Olhão</t>
  </si>
  <si>
    <t>Algarve — Olhão</t>
  </si>
  <si>
    <t>Conquilhas, Sapateira, Atum de Caldeirada</t>
  </si>
  <si>
    <t>Taberna histórica em Olhão. Especialidade: Conquilhas, Sapateira, Atum de Caldeirada. Espaço de memória, petisco e convívio que preserva a alma da taberna tradicional portuguesa — vinho a copo e autenticidade secular.</t>
  </si>
  <si>
    <t>289 715 660</t>
  </si>
  <si>
    <t>O Meu Algarve</t>
  </si>
  <si>
    <t>Rua Porta de Portugal 4, Albufeira</t>
  </si>
  <si>
    <t>Algarve — Albufeira</t>
  </si>
  <si>
    <t>Grelhados do mar, Cataplana, Caracóis de Verão</t>
  </si>
  <si>
    <t>Taberna histórica em Albufeira. Especialidade: Grelhados do mar, Cataplana, Caracóis de Verão. Espaço de memória, petisco e convívio que preserva a alma da taberna tradicional portuguesa — vinho a copo e autenticidade secular.</t>
  </si>
  <si>
    <t>289 513 780</t>
  </si>
  <si>
    <t>Canto da Doca</t>
  </si>
  <si>
    <t>Rua Canto da Doca, Horta, Faial</t>
  </si>
  <si>
    <t>Açores — Faial</t>
  </si>
  <si>
    <t>Alcatra, Peixe Espada Preto, Amêijoas dos Açores</t>
  </si>
  <si>
    <t>Taberna histórica em Faial. Especialidade: Alcatra, Peixe Espada Preto, Amêijoas dos Açores. Espaço de memória, petisco e convívio que preserva a alma da taberna tradicional portuguesa — vinho a copo e autenticidade secular.</t>
  </si>
  <si>
    <t>292 292 444</t>
  </si>
  <si>
    <t>Tasca Peter Café Sport</t>
  </si>
  <si>
    <t>Rua Conselheiro Medeiros 9, Horta, Faial</t>
  </si>
  <si>
    <t>Atum Açoriano, Petiscos de mar, Gin de Faial</t>
  </si>
  <si>
    <t>Taberna histórica em Faial. Especialidade: Atum Açoriano, Petiscos de mar, Gin de Faial. Espaço de memória, petisco e convívio que preserva a alma da taberna tradicional portuguesa — vinho a copo e autenticidade secular.</t>
  </si>
  <si>
    <t>292 292 327</t>
  </si>
  <si>
    <t>Taberna do Martelos</t>
  </si>
  <si>
    <t>Rua do Martelos 4, Angra do Heroísmo</t>
  </si>
  <si>
    <t>Alcatra de Terceira DOP, Vinho Biscoitos, Doces locais</t>
  </si>
  <si>
    <t>Taberna histórica em Angra do Heroísmo. Especialidade: Alcatra de Terceira DOP, Vinho Biscoitos, Doces locais. Espaço de memória, petisco e convívio que preserva a alma da taberna tradicional portuguesa — vinho a copo e autenticidade secular.</t>
  </si>
  <si>
    <t>295 216 780</t>
  </si>
  <si>
    <t>Adega A Tasca</t>
  </si>
  <si>
    <t>Rua do Outeiro 2, Angra do Heroísmo</t>
  </si>
  <si>
    <t>Espetada de Vaca, Alheira dos Açores, Peixe Fresco</t>
  </si>
  <si>
    <t>Taberna histórica em Angra do Heroísmo. Especialidade: Espetada de Vaca, Alheira dos Açores, Peixe Fresco. Espaço de memória, petisco e convívio que preserva a alma da taberna tradicional portuguesa — vinho a copo e autenticidade secular.</t>
  </si>
  <si>
    <t>295 214 560</t>
  </si>
  <si>
    <t>Tasca da Tia Amélia</t>
  </si>
  <si>
    <t>Rua da Esperança 4, Ponta Delgada</t>
  </si>
  <si>
    <t>Cozido das Furnas, Lapas Grelhadas, Pudim de Maracujá</t>
  </si>
  <si>
    <t>Taberna histórica em Ponta Delgada. Especialidade: Cozido das Furnas, Lapas Grelhadas, Pudim de Maracujá. Espaço de memória, petisco e convívio que preserva a alma da taberna tradicional portuguesa — vinho a copo e autenticidade secular.</t>
  </si>
  <si>
    <t>296 285 310</t>
  </si>
  <si>
    <t>Restaurante Aldeia</t>
  </si>
  <si>
    <t>Rua do Mar 8, Ribeira Grande, São Miguel</t>
  </si>
  <si>
    <t>Polvo guisado, Espetada de Atum, Alcatra</t>
  </si>
  <si>
    <t>Taberna histórica em São Miguel. Especialidade: Polvo guisado, Espetada de Atum, Alcatra. Espaço de memória, petisco e convívio que preserva a alma da taberna tradicional portuguesa — vinho a copo e autenticidade secular.</t>
  </si>
  <si>
    <t>296 472 680</t>
  </si>
  <si>
    <t>Taberna Literária — Funchal</t>
  </si>
  <si>
    <t>Rua Carlos I 32, Funchal</t>
  </si>
  <si>
    <t>Madeira — Funchal</t>
  </si>
  <si>
    <t>Espetada Madeirense, Bolo do Caco, Peixe Espada com Banana</t>
  </si>
  <si>
    <t>Taberna histórica em Funchal. Especialidade: Espetada Madeirense, Bolo do Caco, Peixe Espada com Banana. Espaço de memória, petisco e convívio que preserva a alma da taberna tradicional portuguesa — vinho a copo e autenticidade secular.</t>
  </si>
  <si>
    <t>291 222 880</t>
  </si>
  <si>
    <t>Adega A Recolha</t>
  </si>
  <si>
    <t>Rua dos Ferreiros 28, Funchal</t>
  </si>
  <si>
    <t>Espetada em Pau de Louro, Milho Frito, Poncha da casa</t>
  </si>
  <si>
    <t>Taberna histórica em Funchal. Especialidade: Espetada em Pau de Louro, Milho Frito, Poncha da casa. Espaço de memória, petisco e convívio que preserva a alma da taberna tradicional portuguesa — vinho a copo e autenticidade secular.</t>
  </si>
  <si>
    <t>291 225 650</t>
  </si>
  <si>
    <t>O Jango</t>
  </si>
  <si>
    <t>Rua de Santa Maria 166, Funchal</t>
  </si>
  <si>
    <t>Bacalhau à Moda da Madeira, Lapas, Bolo do Caco</t>
  </si>
  <si>
    <t>Taberna histórica em Funchal. Especialidade: Bacalhau à Moda da Madeira, Lapas, Bolo do Caco. Espaço de memória, petisco e convívio que preserva a alma da taberna tradicional portuguesa — vinho a copo e autenticidade secular.</t>
  </si>
  <si>
    <t>291 221 280</t>
  </si>
  <si>
    <t>Taberna do Bom Jesus</t>
  </si>
  <si>
    <t>Beco São João 4, Funchal</t>
  </si>
  <si>
    <t>Carne de Vinha d'Alhos, Milho Frito, Doce de Castanha</t>
  </si>
  <si>
    <t>Taberna histórica em Funchal. Especialidade: Carne de Vinha d'Alhos, Milho Frito, Doce de Castanha. Espaço de memória, petisco e convívio que preserva a alma da taberna tradicional portuguesa — vinho a copo e autenticidade secular.</t>
  </si>
  <si>
    <t>291 223 780</t>
  </si>
  <si>
    <t>O Pescador</t>
  </si>
  <si>
    <t>Rua Dr. João Abel de Freitas 16, Câmara de Lobos</t>
  </si>
  <si>
    <t>Madeira — Câmara de Lobos</t>
  </si>
  <si>
    <t>Espada Preta Grelhada, Polvo à lagareiro, Lapas na brasa</t>
  </si>
  <si>
    <t>Taberna histórica em Câmara de Lobos. Especialidade: Espada Preta Grelhada, Polvo à lagareiro, Lapas na brasa. Espaço de memória, petisco e convívio que preserva a alma da taberna tradicional portuguesa — vinho a copo e autenticidade secular.</t>
  </si>
  <si>
    <t>291 941 540</t>
  </si>
  <si>
    <t>Restaurante Típico Santana</t>
  </si>
  <si>
    <t>Sítio da Fajã dos Cardos, Santana</t>
  </si>
  <si>
    <t>Madeira — Santana</t>
  </si>
  <si>
    <t>Espetada no Pau de Louro, Milho Frito, Bolo do Caco</t>
  </si>
  <si>
    <t>Taberna histórica em Santana. Especialidade: Espetada no Pau de Louro, Milho Frito, Bolo do Caco. Espaço de memória, petisco e convívio que preserva a alma da taberna tradicional portuguesa — vinho a copo e autenticidade secular.</t>
  </si>
  <si>
    <t>291 570 350</t>
  </si>
  <si>
    <t xml:space="preserve">  🟩  LISBOA  ·  12 entradas</t>
  </si>
  <si>
    <t>Tasca do Chico</t>
  </si>
  <si>
    <t>Rua do Diário de Notícias 39, Lisboa</t>
  </si>
  <si>
    <t>LVT — Lisboa Alfama</t>
  </si>
  <si>
    <t>Pica-Pau, Ameijoas à Bulhão Pato, Fado ao vivo</t>
  </si>
  <si>
    <t>Taberna histórica em Lisboa. Especialidade: Pica-Pau, Ameijoas à Bulhão Pato, Fado ao vivo. Espaço de memória, petisco e convívio que preserva a alma da taberna tradicional portuguesa — vinho a copo e autenticidade secular.</t>
  </si>
  <si>
    <t>961 339 696</t>
  </si>
  <si>
    <t>A Cevicheria</t>
  </si>
  <si>
    <t>Rua Dom Pedro V 129, Lisboa</t>
  </si>
  <si>
    <t>LVT — Lisboa Príncipe Real</t>
  </si>
  <si>
    <t>Ceviche à portuguesa, Polvo, Carapau de Escabeche</t>
  </si>
  <si>
    <t>Taberna histórica em Lisboa. Especialidade: Ceviche à portuguesa, Polvo, Carapau de Escabeche. Espaço de memória, petisco e convívio que preserva a alma da taberna tradicional portuguesa — vinho a copo e autenticidade secular.</t>
  </si>
  <si>
    <t>218 038 815</t>
  </si>
  <si>
    <t>Taberna da Rua das Flores</t>
  </si>
  <si>
    <t>Rua das Flores 103, Lisboa</t>
  </si>
  <si>
    <t>LVT — Lisboa Chiado</t>
  </si>
  <si>
    <t>Migas à Alentejana, Ameijoas, Petiscos do mar</t>
  </si>
  <si>
    <t>Taberna histórica em Lisboa. Especialidade: Migas à Alentejana, Ameijoas, Petiscos do mar. Espaço de memória, petisco e convívio que preserva a alma da taberna tradicional portuguesa — vinho a copo e autenticidade secular.</t>
  </si>
  <si>
    <t>213 479 418</t>
  </si>
  <si>
    <t>Zé da Mouraria</t>
  </si>
  <si>
    <t>Rua João do Outeiro 24, Lisboa</t>
  </si>
  <si>
    <t>LVT — Lisboa Mouraria</t>
  </si>
  <si>
    <t>Caldo Verde, Dobrada, Feijoada à Portuguesa</t>
  </si>
  <si>
    <t>Taberna histórica em Lisboa. Especialidade: Caldo Verde, Dobrada, Feijoada à Portuguesa. Espaço de memória, petisco e convívio que preserva a alma da taberna tradicional portuguesa — vinho a copo e autenticidade secular.</t>
  </si>
  <si>
    <t>218 874 320</t>
  </si>
  <si>
    <t>O Solar dos Presuntos</t>
  </si>
  <si>
    <t>Rua das Portas de Santo Antão 150, Lisboa</t>
  </si>
  <si>
    <t>LVT — Lisboa Baixa</t>
  </si>
  <si>
    <t>Presunto de Barrancos, Cabrito do Barroso, Perdiz</t>
  </si>
  <si>
    <t>Taberna histórica em Lisboa. Especialidade: Presunto de Barrancos, Cabrito do Barroso, Perdiz. Espaço de memória, petisco e convívio que preserva a alma da taberna tradicional portuguesa — vinho a copo e autenticidade secular.</t>
  </si>
  <si>
    <t>213 424 253</t>
  </si>
  <si>
    <t>Tascardoso</t>
  </si>
  <si>
    <t>Rua de São Cristóvão 3, Lisboa</t>
  </si>
  <si>
    <t>Bacalhau Espiritual, Pato confitado, Petiscos</t>
  </si>
  <si>
    <t>Taberna histórica em Lisboa. Especialidade: Bacalhau Espiritual, Pato confitado, Petiscos. Espaço de memória, petisco e convívio que preserva a alma da taberna tradicional portuguesa — vinho a copo e autenticidade secular.</t>
  </si>
  <si>
    <t>218 862 350</t>
  </si>
  <si>
    <t>Taberna Sal Grosso</t>
  </si>
  <si>
    <t>Rua da Madalena 1, Lisboa</t>
  </si>
  <si>
    <t>Sardinha Assada, Ameijoas, Polvo à lagareiro</t>
  </si>
  <si>
    <t>Taberna histórica em Lisboa. Especialidade: Sardinha Assada, Ameijoas, Polvo à lagareiro. Espaço de memória, petisco e convívio que preserva a alma da taberna tradicional portuguesa — vinho a copo e autenticidade secular.</t>
  </si>
  <si>
    <t>213 470 650</t>
  </si>
  <si>
    <t>A Travessa</t>
  </si>
  <si>
    <t>Travessa do Convento das Bernardas 12, Lisboa</t>
  </si>
  <si>
    <t>LVT — Lisboa Santos</t>
  </si>
  <si>
    <t>Bacalhau com broa, Leitão, Carta sazonal</t>
  </si>
  <si>
    <t>Taberna histórica em Lisboa. Especialidade: Bacalhau com broa, Leitão, Carta sazonal. Espaço de memória, petisco e convívio que preserva a alma da taberna tradicional portuguesa — vinho a copo e autenticidade secular.</t>
  </si>
  <si>
    <t>213 902 034</t>
  </si>
  <si>
    <t>Taberna do Grémio</t>
  </si>
  <si>
    <t>Rua Saraiva de Carvalho 117, Lisboa</t>
  </si>
  <si>
    <t>LVT — Lisboa Estrela</t>
  </si>
  <si>
    <t>Tripas à Moda do Porto, Chispe, Cozido à Portuguesa</t>
  </si>
  <si>
    <t>Taberna histórica em Lisboa. Especialidade: Tripas à Moda do Porto, Chispe, Cozido à Portuguesa. Espaço de memória, petisco e convívio que preserva a alma da taberna tradicional portuguesa — vinho a copo e autenticidade secular.</t>
  </si>
  <si>
    <t>213 977 650</t>
  </si>
  <si>
    <t>Tasca da Esquina</t>
  </si>
  <si>
    <t>Rua Domingos Sequeira 41, Lisboa</t>
  </si>
  <si>
    <t>Chouriço assado na brasa, Migas, Polvo com batata a murro</t>
  </si>
  <si>
    <t>Taberna histórica em Lisboa. Especialidade: Chouriço assado na brasa, Migas, Polvo com batata a murro. Espaço de memória, petisco e convívio que preserva a alma da taberna tradicional portuguesa — vinho a copo e autenticidade secular.</t>
  </si>
  <si>
    <t>210 993 939</t>
  </si>
  <si>
    <t>O Frade</t>
  </si>
  <si>
    <t>Rua Rodrigues Faria 103, Lisboa</t>
  </si>
  <si>
    <t>LVT — Lisboa Alcântara</t>
  </si>
  <si>
    <t>Sapateira recheada, Açorda de marisco, Caldeirada</t>
  </si>
  <si>
    <t>Taberna histórica em Lisboa. Especialidade: Sapateira recheada, Açorda de marisco, Caldeirada. Espaço de memória, petisco e convívio que preserva a alma da taberna tradicional portuguesa — vinho a copo e autenticidade secular.</t>
  </si>
  <si>
    <t>213 952 360</t>
  </si>
  <si>
    <t>Taberna O Corvo</t>
  </si>
  <si>
    <t>Rua do Corvo 1, Lisboa</t>
  </si>
  <si>
    <t>LVT — Lisboa Graça</t>
  </si>
  <si>
    <t>Carnes frias, Petiscos variados, Vinhos naturais</t>
  </si>
  <si>
    <t>Taberna histórica em Lisboa. Especialidade: Carnes frias, Petiscos variados, Vinhos naturais. Espaço de memória, petisco e convívio que preserva a alma da taberna tradicional portuguesa — vinho a copo e autenticidade secular.</t>
  </si>
  <si>
    <t>218 821 160</t>
  </si>
  <si>
    <t>Adega Quim</t>
  </si>
  <si>
    <t>Rua da Madeira 194, Porto</t>
  </si>
  <si>
    <t>Sandes de Pernil</t>
  </si>
  <si>
    <t>Taberna histórica em Porto. Especialidade: Sandes de Pernil. Espaço de memória, petisco e convívio que preserva a alma da taberna tradicional portuguesa — vinho a copo e autenticidade secular.</t>
  </si>
  <si>
    <t>222 054 251</t>
  </si>
  <si>
    <t>O Rápido</t>
  </si>
  <si>
    <t>Tripas e Cozinha Tradicional</t>
  </si>
  <si>
    <t>Taberna histórica em Porto. Especialidade: Tripas e Cozinha Tradicional. Espaço de memória, petisco e convívio que preserva a alma da taberna tradicional portuguesa — vinho a copo e autenticidade secular.</t>
  </si>
  <si>
    <t>222 008 431</t>
  </si>
  <si>
    <t>Adega Viseu no Porto</t>
  </si>
  <si>
    <t>Rua da Madeira 212, Porto</t>
  </si>
  <si>
    <t>Bifanas e Iscas</t>
  </si>
  <si>
    <t>Taberna histórica em Porto. Especialidade: Bifanas e Iscas. Espaço de memória, petisco e convívio que preserva a alma da taberna tradicional portuguesa — vinho a copo e autenticidade secular.</t>
  </si>
  <si>
    <t>222 054 241</t>
  </si>
  <si>
    <t>🍷  128 entradas  ·  Portugal Vivo — Base de Dados de Turismo Cultural  ·  TABERNAS HISTÓRICAS DE PORTUGAL</t>
  </si>
  <si>
    <t>🏛️  MUSEUS DE PORTUGAL  —  390 entradas</t>
  </si>
  <si>
    <t>Norte · Centro · Lisboa · Alentejo · Algarve · Açores · Madeira  ·  Museus, Centros Interpretativos e Colecções</t>
  </si>
  <si>
    <t>Morada / Cidade</t>
  </si>
  <si>
    <t>Cód. Postal</t>
  </si>
  <si>
    <t>Tipologia</t>
  </si>
  <si>
    <t xml:space="preserve">  🟦  NORTE  ·  97 entradas</t>
  </si>
  <si>
    <t>Museu Municipal de Viana do Castelo</t>
  </si>
  <si>
    <t>Largo de São Domingos, 4900-330 Viana do Castelo</t>
  </si>
  <si>
    <t>Municipal</t>
  </si>
  <si>
    <t>Ter-Dom 10h-17h; Fechado 2ª feira</t>
  </si>
  <si>
    <t>Adulto 2€; Muitas vezes Grátis</t>
  </si>
  <si>
    <t>Museu municipal de Largo de São Domingos com colecção histórica, arqueológica e etnográfica da região. Centro de memória e identidade cultural do concelho. Entrada gratuita.</t>
  </si>
  <si>
    <t>Museu do Traje de Viana do Castelo</t>
  </si>
  <si>
    <t>Praça da República, 4900-520 Viana do Castelo</t>
  </si>
  <si>
    <t>Colecção de trajes, bordados e indumentária regional de Praça da República. Testemunho vivo da identidade cultural e das tradições têxteis portuguesas. Entrada gratuita.</t>
  </si>
  <si>
    <t>Museu de Arte e Arqueologia de Viana do Castelo</t>
  </si>
  <si>
    <t>Navio Gil Eannes — Núcleo Museológico</t>
  </si>
  <si>
    <t>Cais do Gil Eannes, 4900-000 Viana do Castelo</t>
  </si>
  <si>
    <t>Adulto 5€; Grátis dom</t>
  </si>
  <si>
    <t>Acervo marítimo e de navegação em Cais do Gil Eannes. Embarcações históricas, instrumentos náuticos e identidade atlântica portuguesa. Entrada gratuita.</t>
  </si>
  <si>
    <t>Museu do Brinquedo Português</t>
  </si>
  <si>
    <t>Rua Conselheiro Miguel Dantas, 4990-062 Ponte de Lima</t>
  </si>
  <si>
    <t>Colecção de brinquedos e jogos portugueses dos séculos XIX-XX em Rua Conselheiro Miguel Dantas. Memória da infância e da indústria lúdica nacional. Entrada gratuita.</t>
  </si>
  <si>
    <t>Museu dos Terceiros</t>
  </si>
  <si>
    <t>Rua Cardeal Saraiva, 4990-152 Ponte de Lima</t>
  </si>
  <si>
    <t>Museu municipal de Rua Cardeal Saraiva com colecção histórica, arqueológica e etnográfica da região. Centro de memória e identidade cultural do concelho. Entrada gratuita.</t>
  </si>
  <si>
    <t>Centro de Interpretação do Território</t>
  </si>
  <si>
    <t>Arcozelo, 4990-000 Ponte de Lima</t>
  </si>
  <si>
    <t>Museu municipal de Arcozelo com colecção histórica, arqueológica e etnográfica da região. Centro de memória e identidade cultural do concelho. Entrada gratuita.</t>
  </si>
  <si>
    <t>Museu Municipal de Caminha</t>
  </si>
  <si>
    <t>Rua Direita, 4910-122 Caminha</t>
  </si>
  <si>
    <t>Museu municipal de Rua Direita com colecção histórica, arqueológica e etnográfica da região. Centro de memória e identidade cultural do concelho. Entrada gratuita.</t>
  </si>
  <si>
    <t>Núcleo Museológico da Torre do Relógio</t>
  </si>
  <si>
    <t>Museu Municipal de Vila Nova de Cerveira</t>
  </si>
  <si>
    <t>Rua Queirós Ribeiro, 4920-290 Vila Nova de Cerveira</t>
  </si>
  <si>
    <t>Museu municipal de Rua Queirós Ribeiro com colecção histórica, arqueológica e etnográfica da região. Centro de memória e identidade cultural do concelho. Entrada gratuita.</t>
  </si>
  <si>
    <t>Bienal de Cerveira — Núcleo Museológico</t>
  </si>
  <si>
    <t>Praça da Liberdade, 4920-000 Vila Nova de Cerveira</t>
  </si>
  <si>
    <t>Museu de Fundação em Praça da Liberdade. Espaço de descoberta, memória e identidade que preserva o espólio representativo da região portuguesa. Entrada gratuita.</t>
  </si>
  <si>
    <t>Museu Municipal de Valença</t>
  </si>
  <si>
    <t>Av. Miguel Dantas, 4930-678 Valença</t>
  </si>
  <si>
    <t>Museu municipal de Av. Miguel Dantas com colecção histórica, arqueológica e etnográfica da região. Centro de memória e identidade cultural do concelho. Entrada gratuita.</t>
  </si>
  <si>
    <t>Núcleo Museológico da Fortaleza de Valença</t>
  </si>
  <si>
    <t>Fortaleza de Valença, 4930-678 Valença</t>
  </si>
  <si>
    <t>Museu municipal de Fortaleza de Valença com colecção histórica, arqueológica e etnográfica da região. Centro de memória e identidade cultural do concelho. Entrada gratuita.</t>
  </si>
  <si>
    <t>Museu Municipal de Monção</t>
  </si>
  <si>
    <t>Rua Eng. Duarte Pacheco, 4950-457 Monção</t>
  </si>
  <si>
    <t>Museu municipal de Rua Eng. Duarte Pacheco com colecção histórica, arqueológica e etnográfica da região. Centro de memória e identidade cultural do concelho. Entrada gratuita.</t>
  </si>
  <si>
    <t>Museu do Alvarinho</t>
  </si>
  <si>
    <t>Rua Dr. Alfredo Valadão, 4950-457 Monção</t>
  </si>
  <si>
    <t>Museu municipal de Rua Dr. Alfredo Valadão com colecção histórica, arqueológica e etnográfica da região. Centro de memória e identidade cultural do concelho. Entrada gratuita.</t>
  </si>
  <si>
    <t>Museu Municipal de Melgaço</t>
  </si>
  <si>
    <t>Rua do Castelo, 4960-534 Melgaço</t>
  </si>
  <si>
    <t>Museu municipal de Rua do Castelo com colecção histórica, arqueológica e etnográfica da região. Centro de memória e identidade cultural do concelho. Entrada gratuita.</t>
  </si>
  <si>
    <t>Museu do Cinema de Melgaço</t>
  </si>
  <si>
    <t>Rua da Calçada, 4960-534 Melgaço</t>
  </si>
  <si>
    <t>Museu municipal de Rua da Calçada com colecção histórica, arqueológica e etnográfica da região. Centro de memória e identidade cultural do concelho. Entrada gratuita.</t>
  </si>
  <si>
    <t>Museu Municipal de Arcos de Valdevez</t>
  </si>
  <si>
    <t>Praça Municipal, 4970-432 Arcos de Valdevez</t>
  </si>
  <si>
    <t>Museu municipal de Praça Municipal com colecção histórica, arqueológica e etnográfica da região. Centro de memória e identidade cultural do concelho. Entrada gratuita.</t>
  </si>
  <si>
    <t>Paço de Giela — Núcleo Museológico</t>
  </si>
  <si>
    <t>Paço de Giela, 4970-000 Arcos de Valdevez</t>
  </si>
  <si>
    <t>Museu municipal de Paço de Giela com colecção histórica, arqueológica e etnográfica da região. Centro de memória e identidade cultural do concelho. Entrada gratuita.</t>
  </si>
  <si>
    <t>Museu da Água ao Ar Livre</t>
  </si>
  <si>
    <t>Lugar de Sistelo, 4970-645 Arcos de Valdevez</t>
  </si>
  <si>
    <t>Museu municipal de Lugar de Sistelo com colecção histórica, arqueológica e etnográfica da região. Centro de memória e identidade cultural do concelho. Entrada gratuita.</t>
  </si>
  <si>
    <t>Museu Municipal de Paredes de Coura</t>
  </si>
  <si>
    <t>Praça da República, 4940-522 Paredes de Coura</t>
  </si>
  <si>
    <t>Museu municipal de Praça da República com colecção histórica, arqueológica e etnográfica da região. Centro de memória e identidade cultural do concelho. Entrada gratuita.</t>
  </si>
  <si>
    <t>Museu do Abade de Baçal</t>
  </si>
  <si>
    <t>Largo de São João, 5300-263 Bragança</t>
  </si>
  <si>
    <t>Nacional</t>
  </si>
  <si>
    <t>Ter-Dom 10h-18h; Fechado 2ª feira</t>
  </si>
  <si>
    <t>Adulto 6€; Grátis dom até 14h</t>
  </si>
  <si>
    <t>Museu de Nacional em Largo de São João. Espaço de descoberta, memória e identidade que preserva o espólio representativo da região portuguesa. Entrada gratuita.</t>
  </si>
  <si>
    <t>Museu de Olaria</t>
  </si>
  <si>
    <t>Av. Dr. Mário Soares, 5300-263 Bragança</t>
  </si>
  <si>
    <t>Museu municipal de Av. Dr. Mário Soares com colecção histórica, arqueológica e etnográfica da região. Centro de memória e identidade cultural do concelho. Entrada gratuita.</t>
  </si>
  <si>
    <t>Museu Ibérico da Máscara e do Traje</t>
  </si>
  <si>
    <t>Rua Abílio Beça 27, 5300-011 Bragança</t>
  </si>
  <si>
    <t>Colecção de trajes, bordados e indumentária regional de Rua Abílio Beça 27. Testemunho vivo da identidade cultural e das tradições têxteis portuguesas. Entrada gratuita.</t>
  </si>
  <si>
    <t>Museu Municipal de Mirandela</t>
  </si>
  <si>
    <t>Rua da República, 5370-347 Mirandela</t>
  </si>
  <si>
    <t>Museu municipal de Rua da República com colecção histórica, arqueológica e etnográfica da região. Centro de memória e identidade cultural do concelho. Entrada gratuita.</t>
  </si>
  <si>
    <t>Centro Interpretativo do Vale do Tua</t>
  </si>
  <si>
    <t>Av. dos Combatentes da Grande Guerra, 5370-202 Mirandela</t>
  </si>
  <si>
    <t>Intermunicipal</t>
  </si>
  <si>
    <t>Museu municipal de Av. dos Combatentes da Grande Guerra com colecção histórica, arqueológica e etnográfica da região. Centro de memória e identidade cultural do concelho. Entrada gratuita.</t>
  </si>
  <si>
    <t>Museu Municipal de Macedo de Cavaleiros</t>
  </si>
  <si>
    <t>Rua Pereira Charula, 5340-278 Macedo de Cavaleiros</t>
  </si>
  <si>
    <t>Museu municipal de Rua Pereira Charula com colecção histórica, arqueológica e etnográfica da região. Centro de memória e identidade cultural do concelho. Entrada gratuita.</t>
  </si>
  <si>
    <t>Museu da Terra de Miranda</t>
  </si>
  <si>
    <t>Rua da Costanilha, 5210-190 Miranda do Douro</t>
  </si>
  <si>
    <t>Museu municipal de Rua da Costanilha com colecção histórica, arqueológica e etnográfica da região. Centro de memória e identidade cultural do concelho. Entrada gratuita.</t>
  </si>
  <si>
    <t>Centro de Interpretação da Língua Mirandesa</t>
  </si>
  <si>
    <t>Museu Municipal de Mogadouro</t>
  </si>
  <si>
    <t>Rua Frei António das Chagas, 5200-218 Mogadouro</t>
  </si>
  <si>
    <t>Museu municipal de Rua Frei António das Chagas com colecção histórica, arqueológica e etnográfica da região. Centro de memória e identidade cultural do concelho. Entrada gratuita.</t>
  </si>
  <si>
    <t>Museu Municipal de Vila Flor</t>
  </si>
  <si>
    <t>Rua Dr. António José de Almeida, 5360-304 Vila Flor</t>
  </si>
  <si>
    <t>Museu municipal de Rua Dr. António José de Almeida com colecção histórica, arqueológica e etnográfica da região. Centro de memória e identidade cultural do concelho. Entrada gratuita.</t>
  </si>
  <si>
    <t>Museu Municipal de Carrazeda de Ansiães</t>
  </si>
  <si>
    <t>Rua da República, 5140-069 Carrazeda de Ansiães</t>
  </si>
  <si>
    <t>Museu da Memória Rural</t>
  </si>
  <si>
    <t>Rua da Igreja, 5140-000 Carrazeda de Ansiães</t>
  </si>
  <si>
    <t>Museu municipal de Rua da Igreja com colecção histórica, arqueológica e etnográfica da região. Centro de memória e identidade cultural do concelho. Entrada gratuita.</t>
  </si>
  <si>
    <t>Museu Municipal de Alfândega da Fé</t>
  </si>
  <si>
    <t>Praça do Município, 5350-007 Alfândega da Fé</t>
  </si>
  <si>
    <t>Museu municipal de Praça do Município com colecção histórica, arqueológica e etnográfica da região. Centro de memória e identidade cultural do concelho. Entrada gratuita.</t>
  </si>
  <si>
    <t>Museu Municipal de Vimioso</t>
  </si>
  <si>
    <t>Praça do Município, 5230-000 Vimioso</t>
  </si>
  <si>
    <t>Museu Municipal de Vinhais</t>
  </si>
  <si>
    <t>Largo do Arrabalde, 5320-325 Vinhais</t>
  </si>
  <si>
    <t>Museu municipal de Largo do Arrabalde com colecção histórica, arqueológica e etnográfica da região. Centro de memória e identidade cultural do concelho. Entrada gratuita.</t>
  </si>
  <si>
    <t>Ecomuseu de Vinhais</t>
  </si>
  <si>
    <t>Vários locais, 5320-000 Vinhais</t>
  </si>
  <si>
    <t>Museu municipal de Vários locais com colecção histórica, arqueológica e etnográfica da região. Centro de memória e identidade cultural do concelho. Entrada gratuita.</t>
  </si>
  <si>
    <t>Museu Municipal de Vale de Cambra</t>
  </si>
  <si>
    <t>3730-240</t>
  </si>
  <si>
    <t>História</t>
  </si>
  <si>
    <t>Museu municipal de Vale de Cambra com colecção histórica, arqueológica e etnográfica da região. Centro de memória e identidade cultural do concelho. Entrada gratuita.</t>
  </si>
  <si>
    <t>Centro de Interpretação da Cultura Local</t>
  </si>
  <si>
    <t>3730-000</t>
  </si>
  <si>
    <t>Cultura</t>
  </si>
  <si>
    <t>Museu Municipal de Arouca</t>
  </si>
  <si>
    <t>4540-194</t>
  </si>
  <si>
    <t>Museu municipal de Arouca com colecção histórica, arqueológica e etnográfica da região. Centro de memória e identidade cultural do concelho. Entrada gratuita.</t>
  </si>
  <si>
    <t>Núcleo Museológico do Mosteiro de Arouca</t>
  </si>
  <si>
    <t>4540-195</t>
  </si>
  <si>
    <t>Arte Sacra</t>
  </si>
  <si>
    <t>Diocesano</t>
  </si>
  <si>
    <t>Adulto 6€; &lt;18 Grátis; Dom manhã Grátis</t>
  </si>
  <si>
    <t>Museu de arte em Arouca com colecção de pintura, escultura e artes decorativas portuguesas. Espaço de cultura e memória visual do território. Entrada gratuita.</t>
  </si>
  <si>
    <t>Casa das Pedras Parideiras — Centro de Interpretação</t>
  </si>
  <si>
    <t>4540-257</t>
  </si>
  <si>
    <t>Museu de geologia e paleontologia em Arouca com fósseis e minerais da região. Registo da história geológica do território português. Entrada gratuita.</t>
  </si>
  <si>
    <t>Museu Municipal de Baião</t>
  </si>
  <si>
    <t>4640-147</t>
  </si>
  <si>
    <t>Museu municipal de Baião com colecção histórica, arqueológica e etnográfica da região. Centro de memória e identidade cultural do concelho. Entrada gratuita.</t>
  </si>
  <si>
    <t>Núcleo Museológico do Douro Verde</t>
  </si>
  <si>
    <t>Casa do Lavrador</t>
  </si>
  <si>
    <t>4640-000</t>
  </si>
  <si>
    <t>Etnografia</t>
  </si>
  <si>
    <t>Museu etnográfico de Baião que preserva ferramentas, trajes e objectos do quotidiano da cultura popular portuguesa da região. Entrada gratuita.</t>
  </si>
  <si>
    <t>Museu Municipal de Amarante</t>
  </si>
  <si>
    <t>4600-000</t>
  </si>
  <si>
    <t>Museu municipal de Amarante com colecção histórica, arqueológica e etnográfica da região. Centro de memória e identidade cultural do concelho. Entrada gratuita.</t>
  </si>
  <si>
    <t>Museu Municipal Amadeo de Souza-Cardoso</t>
  </si>
  <si>
    <t>4600-038</t>
  </si>
  <si>
    <t>Arte</t>
  </si>
  <si>
    <t>Museu de arte em Amarante com colecção de pintura, escultura e artes decorativas portuguesas. Espaço de cultura e memória visual do território. Entrada gratuita.</t>
  </si>
  <si>
    <t>Centro Interpretativo do Milénio</t>
  </si>
  <si>
    <t>4615-658</t>
  </si>
  <si>
    <t>Museu Municipal de Marco de Canaveses</t>
  </si>
  <si>
    <t>4630-200</t>
  </si>
  <si>
    <t>Museu municipal de Marco de Canaveses com colecção histórica, arqueológica e etnográfica da região. Centro de memória e identidade cultural do concelho. Entrada gratuita.</t>
  </si>
  <si>
    <t>Museu Carmen Miranda</t>
  </si>
  <si>
    <t>4630-206</t>
  </si>
  <si>
    <t>Música</t>
  </si>
  <si>
    <t>Museu Municipal de Felgueiras</t>
  </si>
  <si>
    <t>Felgueiras</t>
  </si>
  <si>
    <t>4610-116</t>
  </si>
  <si>
    <t>Museu municipal de Felgueiras com colecção histórica, arqueológica e etnográfica da região. Centro de memória e identidade cultural do concelho. Entrada gratuita.</t>
  </si>
  <si>
    <t>Museu do Pão de Ló de Margaride</t>
  </si>
  <si>
    <t>4610-000</t>
  </si>
  <si>
    <t>Privado</t>
  </si>
  <si>
    <t>Seg-Dom 10h-18h; Variável</t>
  </si>
  <si>
    <t>Adulto 8-15€; Variável</t>
  </si>
  <si>
    <t>Museu de Privado em Felgueiras. Espaço de descoberta, memória e identidade que preserva o espólio representativo da região portuguesa.</t>
  </si>
  <si>
    <t>Museu Municipal de Lousada</t>
  </si>
  <si>
    <t>4620-000</t>
  </si>
  <si>
    <t>Museu municipal de Lousada com colecção histórica, arqueológica e etnográfica da região. Centro de memória e identidade cultural do concelho. Entrada gratuita.</t>
  </si>
  <si>
    <t>Núcleo Arqueológico de Lousada</t>
  </si>
  <si>
    <t>Arqueologia</t>
  </si>
  <si>
    <t>Museu arqueológico de Lousada com espólio de períodos romano, medieval e pré-histórico. Janela sobre milénios de ocupação humana da região. Entrada gratuita.</t>
  </si>
  <si>
    <t>Museu Municipal de Paços de Ferreira</t>
  </si>
  <si>
    <t>4590-506</t>
  </si>
  <si>
    <t>Museu municipal de Paços de Ferreira com colecção histórica, arqueológica e etnográfica da região. Centro de memória e identidade cultural do concelho. Entrada gratuita.</t>
  </si>
  <si>
    <t>Museu Arqueológico da Citânia de Sanfins</t>
  </si>
  <si>
    <t>4590-000</t>
  </si>
  <si>
    <t>Museu arqueológico de Paços de Ferreira com espólio de períodos romano, medieval e pré-histórico. Janela sobre milénios de ocupação humana da região. Entrada gratuita.</t>
  </si>
  <si>
    <t>Museu Municipal de Vizela</t>
  </si>
  <si>
    <t>Vizela</t>
  </si>
  <si>
    <t>4815-000</t>
  </si>
  <si>
    <t>Museu municipal de Vizela com colecção histórica, arqueológica e etnográfica da região. Centro de memória e identidade cultural do concelho. Entrada gratuita.</t>
  </si>
  <si>
    <t>Museu Municipal de Guimarães</t>
  </si>
  <si>
    <t>4810-001</t>
  </si>
  <si>
    <t>Museu municipal de Guimarães com colecção histórica, arqueológica e etnográfica da região. Centro de memória e identidade cultural do concelho. Entrada gratuita.</t>
  </si>
  <si>
    <t>Museu Alberto Sampaio</t>
  </si>
  <si>
    <t>4810-431</t>
  </si>
  <si>
    <t>Museu de arte em Guimarães com colecção de pintura, escultura e artes decorativas portuguesas. Espaço de cultura e memória visual do território. Entrada gratuita.</t>
  </si>
  <si>
    <t>Centro Internacional das Artes José de Guimarães</t>
  </si>
  <si>
    <t>4810-000</t>
  </si>
  <si>
    <t>Arte Contemporânea</t>
  </si>
  <si>
    <t>Núcleo Museológico da Citânia de Briteiros</t>
  </si>
  <si>
    <t>4800-000</t>
  </si>
  <si>
    <t>Adulto 5€; Grátis dom até 14h</t>
  </si>
  <si>
    <t>Museu arqueológico de Guimarães com espólio de períodos romano, medieval e pré-histórico. Janela sobre milénios de ocupação humana da região. Entrada gratuita.</t>
  </si>
  <si>
    <t>Casa-Museu Camilo Castelo Branco</t>
  </si>
  <si>
    <t>Vila Nova de Famalicão</t>
  </si>
  <si>
    <t>4770-469</t>
  </si>
  <si>
    <t>Museu municipal de Vila Nova de Famalicão com colecção histórica, arqueológica e etnográfica da região. Centro de memória e identidade cultural do concelho. Entrada gratuita.</t>
  </si>
  <si>
    <t>Museu da Indústria Têxtil</t>
  </si>
  <si>
    <t>4760-000</t>
  </si>
  <si>
    <t>Indústria</t>
  </si>
  <si>
    <t>Museu Bernardino Machado</t>
  </si>
  <si>
    <t>4760-114</t>
  </si>
  <si>
    <t>Museu Municipal de Fafe</t>
  </si>
  <si>
    <t>4820-146</t>
  </si>
  <si>
    <t>Museu municipal de Fafe com colecção histórica, arqueológica e etnográfica da região. Centro de memória e identidade cultural do concelho. Entrada gratuita.</t>
  </si>
  <si>
    <t>Núcleo Museológico do Ferro</t>
  </si>
  <si>
    <t>4820-000</t>
  </si>
  <si>
    <t>Museu Municipal de Vieira do Minho</t>
  </si>
  <si>
    <t>Vieira do Minho</t>
  </si>
  <si>
    <t>4850-000</t>
  </si>
  <si>
    <t>Museu municipal de Vieira do Minho com colecção histórica, arqueológica e etnográfica da região. Centro de memória e identidade cultural do concelho. Entrada gratuita.</t>
  </si>
  <si>
    <t>Museu Municipal de Cabeceiras de Basto</t>
  </si>
  <si>
    <t>4860-355</t>
  </si>
  <si>
    <t>Museu municipal de Cabeceiras de Basto com colecção histórica, arqueológica e etnográfica da região. Centro de memória e identidade cultural do concelho. Entrada gratuita.</t>
  </si>
  <si>
    <t>Núcleo Museológico do Castelo de Arnoia</t>
  </si>
  <si>
    <t>4860-000</t>
  </si>
  <si>
    <t>Museu arqueológico de Cabeceiras de Basto com espólio de períodos romano, medieval e pré-histórico. Janela sobre milénios de ocupação humana da região. Entrada gratuita.</t>
  </si>
  <si>
    <t>Museu Municipal de Mondim de Basto</t>
  </si>
  <si>
    <t>4880-232</t>
  </si>
  <si>
    <t>Museu municipal de Mondim de Basto com colecção histórica, arqueológica e etnográfica da região. Centro de memória e identidade cultural do concelho. Entrada gratuita.</t>
  </si>
  <si>
    <t>Museu Municipal de Boticas</t>
  </si>
  <si>
    <t>Boticas</t>
  </si>
  <si>
    <t>5460-304</t>
  </si>
  <si>
    <t>Museu municipal de Boticas com colecção histórica, arqueológica e etnográfica da região. Centro de memória e identidade cultural do concelho. Entrada gratuita.</t>
  </si>
  <si>
    <t>Centro de Artes Nadir Afonso</t>
  </si>
  <si>
    <t>5400-001</t>
  </si>
  <si>
    <t>Museu de arte em Chaves com colecção de pintura, escultura e artes decorativas portuguesas. Espaço de cultura e memória visual do território. Entrada gratuita.</t>
  </si>
  <si>
    <t>Museu Municipal de Valpaços</t>
  </si>
  <si>
    <t>Valpaços</t>
  </si>
  <si>
    <t>5430-469</t>
  </si>
  <si>
    <t>Museu municipal de Valpaços com colecção histórica, arqueológica e etnográfica da região. Centro de memória e identidade cultural do concelho. Entrada gratuita.</t>
  </si>
  <si>
    <t>Centro de Interpretação da Paisagem Protegida da Albufeira do Azibo</t>
  </si>
  <si>
    <t>5340-000</t>
  </si>
  <si>
    <t>Museu municipal de Macedo de Cavaleiros com colecção histórica, arqueológica e etnográfica da região. Centro de memória e identidade cultural do concelho. Entrada gratuita.</t>
  </si>
  <si>
    <t>Museu Municipal de Alijó</t>
  </si>
  <si>
    <t>5070-013</t>
  </si>
  <si>
    <t>Museu municipal de Alijó com colecção histórica, arqueológica e etnográfica da região. Centro de memória e identidade cultural do concelho. Entrada gratuita.</t>
  </si>
  <si>
    <t>Museu Municipal de Murça</t>
  </si>
  <si>
    <t>Murça</t>
  </si>
  <si>
    <t>5090-138</t>
  </si>
  <si>
    <t>Museu municipal de Murça com colecção histórica, arqueológica e etnográfica da região. Centro de memória e identidade cultural do concelho. Entrada gratuita.</t>
  </si>
  <si>
    <t>Museu Municipal de Sabrosa</t>
  </si>
  <si>
    <t>Sabrosa</t>
  </si>
  <si>
    <t>5060-000</t>
  </si>
  <si>
    <t>Museu municipal de Sabrosa com colecção histórica, arqueológica e etnográfica da região. Centro de memória e identidade cultural do concelho. Entrada gratuita.</t>
  </si>
  <si>
    <t>Museu Municipal de Mesão Frio</t>
  </si>
  <si>
    <t>5040-302</t>
  </si>
  <si>
    <t>Museu municipal de Mesão Frio com colecção histórica, arqueológica e etnográfica da região. Centro de memória e identidade cultural do concelho. Entrada gratuita.</t>
  </si>
  <si>
    <t>Museu Municipal de Resende</t>
  </si>
  <si>
    <t>Resende</t>
  </si>
  <si>
    <t>4660-206</t>
  </si>
  <si>
    <t>Museu municipal de Resende com colecção histórica, arqueológica e etnográfica da região. Centro de memória e identidade cultural do concelho. Entrada gratuita.</t>
  </si>
  <si>
    <t>Museu Municipal da Trofa</t>
  </si>
  <si>
    <t>Trofa</t>
  </si>
  <si>
    <t>4785-306</t>
  </si>
  <si>
    <t>Museu municipal de Trofa com colecção histórica, arqueológica e etnográfica da região. Centro de memória e identidade cultural do concelho. Entrada gratuita.</t>
  </si>
  <si>
    <t>Núcleo Ferroviário da Trofa</t>
  </si>
  <si>
    <t>4785-000</t>
  </si>
  <si>
    <t>Transporte</t>
  </si>
  <si>
    <t>Museu Municipal de Santo Tirso</t>
  </si>
  <si>
    <t>Santo Tirso</t>
  </si>
  <si>
    <t>4780-364</t>
  </si>
  <si>
    <t>Museu municipal de Santo Tirso com colecção histórica, arqueológica e etnográfica da região. Centro de memória e identidade cultural do concelho. Entrada gratuita.</t>
  </si>
  <si>
    <t>MIEC — Museu Internacional de Escultura Contemporânea</t>
  </si>
  <si>
    <t>4780-386</t>
  </si>
  <si>
    <t>Museu de arte em Santo Tirso com colecção de pintura, escultura e artes decorativas portuguesas. Espaço de cultura e memória visual do território. Entrada gratuita.</t>
  </si>
  <si>
    <t>Núcleo Museológico do Moinho de Cima</t>
  </si>
  <si>
    <t>4780-000</t>
  </si>
  <si>
    <t>Museu etnográfico de Santo Tirso que preserva ferramentas, trajes e objectos do quotidiano da cultura popular portuguesa da região. Entrada gratuita.</t>
  </si>
  <si>
    <t>Museu Municipal de Póvoa de Varzim</t>
  </si>
  <si>
    <t>Póvoa de Varzim</t>
  </si>
  <si>
    <t>4490-589</t>
  </si>
  <si>
    <t>Museu municipal de Póvoa de Varzim com colecção histórica, arqueológica e etnográfica da região. Centro de memória e identidade cultural do concelho. Entrada gratuita.</t>
  </si>
  <si>
    <t>Museu da Póvoa de Varzim</t>
  </si>
  <si>
    <t>4490-000</t>
  </si>
  <si>
    <t>Museu etnográfico de Póvoa de Varzim que preserva ferramentas, trajes e objectos do quotidiano da cultura popular portuguesa da região. Entrada gratuita.</t>
  </si>
  <si>
    <t>Museu Municipal de Vila do Conde</t>
  </si>
  <si>
    <t>Vila do Conde</t>
  </si>
  <si>
    <t>4480-701</t>
  </si>
  <si>
    <t>Museu municipal de Vila do Conde com colecção histórica, arqueológica e etnográfica da região. Centro de memória e identidade cultural do concelho. Entrada gratuita.</t>
  </si>
  <si>
    <t>Museu das Rendas de Bilros</t>
  </si>
  <si>
    <t>4480-754</t>
  </si>
  <si>
    <t>Artesanato</t>
  </si>
  <si>
    <t>Museu de arte em Vila do Conde com colecção de pintura, escultura e artes decorativas portuguesas. Espaço de cultura e memória visual do território. Entrada gratuita.</t>
  </si>
  <si>
    <t>Museu da Alfândega Régia</t>
  </si>
  <si>
    <t>4740-251</t>
  </si>
  <si>
    <t>Marítimo</t>
  </si>
  <si>
    <t>Museu Municipal de Espinho</t>
  </si>
  <si>
    <t>4500-295</t>
  </si>
  <si>
    <t>Museu municipal de Espinho com colecção histórica, arqueológica e etnográfica da região. Centro de memória e identidade cultural do concelho. Entrada gratuita.</t>
  </si>
  <si>
    <t>Museu do Brinquedo de Espinho</t>
  </si>
  <si>
    <t>4500-256</t>
  </si>
  <si>
    <t>Cultura Popular</t>
  </si>
  <si>
    <t>Colecção de brinquedos e jogos portugueses dos séculos XIX-XX em Espinho. Memória da infância e da indústria lúdica nacional. Entrada gratuita.</t>
  </si>
  <si>
    <t>Museu do Papel Terras de Santa Maria</t>
  </si>
  <si>
    <t>4535-186</t>
  </si>
  <si>
    <t>Museu municipal de Santa Maria da Feira com colecção histórica, arqueológica e etnográfica da região. Centro de memória e identidade cultural do concelho. Entrada gratuita.</t>
  </si>
  <si>
    <t>Museu Convento dos Lóios</t>
  </si>
  <si>
    <t>4520-192</t>
  </si>
  <si>
    <t>Museu Regional de Oliveira de Azeméis</t>
  </si>
  <si>
    <t>3720-241</t>
  </si>
  <si>
    <t>Museu etnográfico de Oliveira de Azeméis que preserva ferramentas, trajes e objectos do quotidiano da cultura popular portuguesa da região. Entrada gratuita.</t>
  </si>
  <si>
    <t>Núcleo Museológico da Serra da Cabreira</t>
  </si>
  <si>
    <t>Centro Interpretativo do Alvão</t>
  </si>
  <si>
    <t>4880-000</t>
  </si>
  <si>
    <t>Centro Cultural de Paredes de Coura — Núcleo Museológico</t>
  </si>
  <si>
    <t>Paredes de Coura</t>
  </si>
  <si>
    <t>4940-522</t>
  </si>
  <si>
    <t>Museu municipal de Paredes de Coura com colecção histórica, arqueológica e etnográfica da região. Centro de memória e identidade cultural do concelho. Entrada gratuita.</t>
  </si>
  <si>
    <t xml:space="preserve">  🟨  CENTRO  ·  103 entradas</t>
  </si>
  <si>
    <t>Museu de Aveiro / Santa Joana</t>
  </si>
  <si>
    <t>Av. Santa Joana, Aveiro</t>
  </si>
  <si>
    <t>Museu de arte em Av. Santa Joana com colecção de pintura, escultura e artes decorativas portuguesas. Espaço de cultura e memória visual do território. Entrada gratuita.</t>
  </si>
  <si>
    <t>Museu Marítimo de Ílhavo</t>
  </si>
  <si>
    <t>Av. Dr. Rocha Madaíl, Ílhavo</t>
  </si>
  <si>
    <t>Acervo marítimo e de navegação em Av. Dr. Rocha Madaíl. Embarcações históricas, instrumentos náuticos e identidade atlântica portuguesa. Entrada gratuita.</t>
  </si>
  <si>
    <t>Museu Vista Alegre</t>
  </si>
  <si>
    <t>Lugar da Vista Alegre, Ílhavo</t>
  </si>
  <si>
    <t>Museu de Privado em Lugar da Vista Alegre. Espaço de descoberta, memória e identidade que preserva o espólio representativo da região portuguesa.</t>
  </si>
  <si>
    <t>Museu Ferroviário de Macinhata do Vouga</t>
  </si>
  <si>
    <t>Estação de Macinhata, Águeda</t>
  </si>
  <si>
    <t>Museu de Fundação em Estação de Macinhata. Espaço de descoberta, memória e identidade que preserva o espólio representativo da região portuguesa. Entrada gratuita.</t>
  </si>
  <si>
    <t>Museu do Vinho da Bairrada</t>
  </si>
  <si>
    <t>Rua do Comércio 8, Anadia</t>
  </si>
  <si>
    <t>Enoturismo</t>
  </si>
  <si>
    <t>Museu municipal de Rua do Comércio 8 com colecção histórica, arqueológica e etnográfica da região. Centro de memória e identidade cultural do concelho. Entrada gratuita.</t>
  </si>
  <si>
    <t>Casa-Museu Egas Moniz</t>
  </si>
  <si>
    <t>Av. Egas Moniz 1, Estarreja</t>
  </si>
  <si>
    <t>Ciência</t>
  </si>
  <si>
    <t>Museu de Fundação em Av. Egas Moniz 1. Espaço de descoberta, memória e identidade que preserva o espólio representativo da região portuguesa. Entrada gratuita.</t>
  </si>
  <si>
    <t>Museu Municipal de Ovar</t>
  </si>
  <si>
    <t>Rua Heliodoro Salgado, Ovar</t>
  </si>
  <si>
    <t>Museu municipal de Rua Heliodoro Salgado com colecção histórica, arqueológica e etnográfica da região. Centro de memória e identidade cultural do concelho. Entrada gratuita.</t>
  </si>
  <si>
    <t>Museu Nacional de Machado de Castro</t>
  </si>
  <si>
    <t>Largo Dr. José Rodrigues, Coimbra</t>
  </si>
  <si>
    <t>Museu de arte em Largo Dr. José Rodrigues com colecção de pintura, escultura e artes decorativas portuguesas. Espaço de cultura e memória visual do território. Entrada gratuita.</t>
  </si>
  <si>
    <t>Museu da Ciência da Universidade de Coimbra</t>
  </si>
  <si>
    <t>Laboratório Chimico, Coimbra</t>
  </si>
  <si>
    <t>Universidade</t>
  </si>
  <si>
    <t>Museu de Universidade em Laboratório Chimico. Espaço de descoberta, memória e identidade que preserva o espólio representativo da região portuguesa. Entrada gratuita.</t>
  </si>
  <si>
    <t>Museu Monográfico de Conímbriga</t>
  </si>
  <si>
    <t>Conímbriga, Condeixa-a-Nova</t>
  </si>
  <si>
    <t>Museu arqueológico de Conímbriga com espólio de períodos romano, medieval e pré-histórico. Janela sobre milénios de ocupação humana da região. Entrada gratuita.</t>
  </si>
  <si>
    <t>Ecomuseu da Serra da Lousã</t>
  </si>
  <si>
    <t>Talasnal, Lousã</t>
  </si>
  <si>
    <t>Ecomuseu</t>
  </si>
  <si>
    <t>Museu municipal de Talasnal com colecção histórica, arqueológica e etnográfica da região. Centro de memória e identidade cultural do concelho. Entrada gratuita.</t>
  </si>
  <si>
    <t>Museu Nacional Grão Vasco</t>
  </si>
  <si>
    <t>Adro da Sé, Viseu</t>
  </si>
  <si>
    <t>Museu de arte em Adro da Sé com colecção de pintura, escultura e artes decorativas portuguesas. Espaço de cultura e memória visual do território. Entrada gratuita.</t>
  </si>
  <si>
    <t>Museu do Quartzo</t>
  </si>
  <si>
    <t>Monte de Santa Luzia, Viseu</t>
  </si>
  <si>
    <t>Museu de geologia e paleontologia em Monte de Santa Luzia com fósseis e minerais da região. Registo da história geológica do território português. Entrada gratuita.</t>
  </si>
  <si>
    <t>Museu da Guarda</t>
  </si>
  <si>
    <t>Rua Alves Roçadas, Guarda</t>
  </si>
  <si>
    <t>Museu municipal de Rua Alves Roçadas com colecção histórica, arqueológica e etnográfica da região. Centro de memória e identidade cultural do concelho. Entrada gratuita.</t>
  </si>
  <si>
    <t>Museu de Lanifícios</t>
  </si>
  <si>
    <t>Rua Marquês d'Ávila e Bolama, Covilhã</t>
  </si>
  <si>
    <t>Museu de Universidade em Rua Marquês d'Ávila e Bolama. Espaço de descoberta, memória e identidade que preserva o espólio representativo da região portuguesa. Entrada gratuita.</t>
  </si>
  <si>
    <t>Museu Francisco Tavares Proença Júnior</t>
  </si>
  <si>
    <t>Largo Dr. José Lopes Dias, Castelo Branco</t>
  </si>
  <si>
    <t>Museu arqueológico de Largo Dr. José Lopes Dias com espólio de períodos romano, medieval e pré-histórico. Janela sobre milénios de ocupação humana da região. Entrada gratuita.</t>
  </si>
  <si>
    <t>Museu Cargaleiro</t>
  </si>
  <si>
    <t>Rua dos Cavaleiros, Castelo Branco</t>
  </si>
  <si>
    <t>Museu de arte em Rua dos Cavaleiros com colecção de pintura, escultura e artes decorativas portuguesas. Espaço de cultura e memória visual do território. Entrada gratuita.</t>
  </si>
  <si>
    <t>Museu Municipal de Almeida</t>
  </si>
  <si>
    <t>Fortaleza de Almeida, Almeida</t>
  </si>
  <si>
    <t>Museu municipal de Fortaleza de Almeida com colecção histórica, arqueológica e etnográfica da região. Centro de memória e identidade cultural do concelho. Entrada gratuita.</t>
  </si>
  <si>
    <t>Museu de Leiria</t>
  </si>
  <si>
    <t>Rua Tenente Valadim, Leiria</t>
  </si>
  <si>
    <t>Museu municipal de Rua Tenente Valadim com colecção histórica, arqueológica e etnográfica da região. Centro de memória e identidade cultural do concelho. Entrada gratuita.</t>
  </si>
  <si>
    <t>Centro de Interpretação da Batalha de Aljubarrota</t>
  </si>
  <si>
    <t>S. Jorge, Porto de Mós</t>
  </si>
  <si>
    <t>Museu de Fundação em S. Jorge. Espaço de descoberta, memória e identidade que preserva o espólio representativo da região portuguesa. Entrada gratuita.</t>
  </si>
  <si>
    <t>Museu José Malhoa</t>
  </si>
  <si>
    <t>Parque D. Carlos I, Caldas da Rainha</t>
  </si>
  <si>
    <t>Museu de arte em Parque D. Carlos I com colecção de pintura, escultura e artes decorativas portuguesas. Espaço de cultura e memória visual do território. Entrada gratuita.</t>
  </si>
  <si>
    <t>Museu da Cerâmica</t>
  </si>
  <si>
    <t>Rua Rafael Bordalo Pinheiro, Caldas da Rainha</t>
  </si>
  <si>
    <t>Museu de arte em Rua Rafael Bordalo Pinheiro com colecção de pintura, escultura e artes decorativas portuguesas. Espaço de cultura e memória visual do território. Entrada gratuita.</t>
  </si>
  <si>
    <t>Av. Santa Joana, 3810-329 Aveiro</t>
  </si>
  <si>
    <t>Museu de Nacional em Av. Santa Joana. Espaço de descoberta, memória e identidade que preserva o espólio representativo da região portuguesa. Entrada gratuita.</t>
  </si>
  <si>
    <t>Museu da Cidade de Aveiro</t>
  </si>
  <si>
    <t>Rua João Mendonça, 3800-200 Aveiro</t>
  </si>
  <si>
    <t>Museu municipal de Rua João Mendonça com colecção histórica, arqueológica e etnográfica da região. Centro de memória e identidade cultural do concelho. Entrada gratuita.</t>
  </si>
  <si>
    <t>Ecomuseu Marinha da Troncalhada</t>
  </si>
  <si>
    <t>Marinhas de Sal, 3800-000 Aveiro</t>
  </si>
  <si>
    <t>Museu municipal de Marinhas de Sal com colecção histórica, arqueológica e etnográfica da região. Centro de memória e identidade cultural do concelho. Entrada gratuita.</t>
  </si>
  <si>
    <t>Av. Dr. Rocha Madaíl, 3830-193 Ílhavo</t>
  </si>
  <si>
    <t>Lugar da Vista Alegre, 3830-292 Ílhavo</t>
  </si>
  <si>
    <t>Museu Etnográfico de Vagos</t>
  </si>
  <si>
    <t>Rua da Capela, 3840-453 Vagos</t>
  </si>
  <si>
    <t>Museu municipal de Rua da Capela com colecção histórica, arqueológica e etnográfica da região. Centro de memória e identidade cultural do concelho. Entrada gratuita.</t>
  </si>
  <si>
    <t>Museu Municipal de Águeda</t>
  </si>
  <si>
    <t>Rua Luís de Camões, 3750-159 Águeda</t>
  </si>
  <si>
    <t>Museu municipal de Rua Luís de Camões com colecção histórica, arqueológica e etnográfica da região. Centro de memória e identidade cultural do concelho. Entrada gratuita.</t>
  </si>
  <si>
    <t>Estação de Macinhata, 3740-000 Águeda</t>
  </si>
  <si>
    <t>Museu Municipal de Anadia</t>
  </si>
  <si>
    <t>Rua Dr. Manuel de Arriaga, 3780-200 Anadia</t>
  </si>
  <si>
    <t>Museu municipal de Rua Dr. Manuel de Arriaga com colecção histórica, arqueológica e etnográfica da região. Centro de memória e identidade cultural do concelho. Entrada gratuita.</t>
  </si>
  <si>
    <t>Rua do Comércio 8, 3780-124 Anadia</t>
  </si>
  <si>
    <t>Museu Municipal de Oliveira do Bairro</t>
  </si>
  <si>
    <t>Rua Dr. Manuel Gomes da Silva, 3770-000 Oliveira do Bairro</t>
  </si>
  <si>
    <t>Museu municipal de Rua Dr. Manuel Gomes da Silva com colecção histórica, arqueológica e etnográfica da região. Centro de memória e identidade cultural do concelho. Entrada gratuita.</t>
  </si>
  <si>
    <t>Museu Municipal de Mealhada</t>
  </si>
  <si>
    <t>Rua Dr. José Cerveira Lebre, 3050-000 Mealhada</t>
  </si>
  <si>
    <t>Museu municipal de Rua Dr. José Cerveira Lebre com colecção histórica, arqueológica e etnográfica da região. Centro de memória e identidade cultural do concelho. Entrada gratuita.</t>
  </si>
  <si>
    <t>Museu Municipal de Sever do Vouga</t>
  </si>
  <si>
    <t>Rua do Parque Urbano, 3740-000 Sever do Vouga</t>
  </si>
  <si>
    <t>Museu municipal de Rua do Parque Urbano com colecção histórica, arqueológica e etnográfica da região. Centro de memória e identidade cultural do concelho. Entrada gratuita.</t>
  </si>
  <si>
    <t>Centro de Interpretação das Minas do Braçal</t>
  </si>
  <si>
    <t>Braçal, 3740-000 Sever do Vouga</t>
  </si>
  <si>
    <t>Museu municipal de Braçal com colecção histórica, arqueológica e etnográfica da região. Centro de memória e identidade cultural do concelho. Entrada gratuita.</t>
  </si>
  <si>
    <t>Museu Municipal de Estarreja</t>
  </si>
  <si>
    <t>Rua Dr. José de Almeida, 3860-000 Estarreja</t>
  </si>
  <si>
    <t>Museu municipal de Rua Dr. José de Almeida com colecção histórica, arqueológica e etnográfica da região. Centro de memória e identidade cultural do concelho. Entrada gratuita.</t>
  </si>
  <si>
    <t>Av. Egas Moniz 1, 3860-000 Estarreja</t>
  </si>
  <si>
    <t>Rua Heliodoro Salgado, 3880-232 Ovar</t>
  </si>
  <si>
    <t>Centro de Arte de Ovar</t>
  </si>
  <si>
    <t>Rua Dr. José Falcão, 3880-000 Ovar</t>
  </si>
  <si>
    <t>Museu municipal de Rua Dr. José Falcão com colecção histórica, arqueológica e etnográfica da região. Centro de memória e identidade cultural do concelho. Entrada gratuita.</t>
  </si>
  <si>
    <t>Largo Dr. José Rodrigues, 3000-236 Coimbra</t>
  </si>
  <si>
    <t>Museu de Nacional em Largo Dr. José Rodrigues. Espaço de descoberta, memória e identidade que preserva o espólio representativo da região portuguesa. Entrada gratuita.</t>
  </si>
  <si>
    <t>Laboratório Chimico, 3000-272 Coimbra</t>
  </si>
  <si>
    <t>Museu da Água de Coimbra</t>
  </si>
  <si>
    <t>Av. Mendes Silva, 3000-000 Coimbra</t>
  </si>
  <si>
    <t>Museu municipal de Av. Mendes Silva com colecção histórica, arqueológica e etnográfica da região. Centro de memória e identidade cultural do concelho. Entrada gratuita.</t>
  </si>
  <si>
    <t>Museu Municipal de Coimbra</t>
  </si>
  <si>
    <t>Edifício Chiado, 3000-150 Coimbra</t>
  </si>
  <si>
    <t>Museu municipal de Edifício Chiado com colecção histórica, arqueológica e etnográfica da região. Centro de memória e identidade cultural do concelho. Entrada gratuita.</t>
  </si>
  <si>
    <t>Exploratório — Centro Ciência Viva</t>
  </si>
  <si>
    <t>Parque Verde do Mondego, 3040-255 Coimbra</t>
  </si>
  <si>
    <t>Museu de Fundação em Parque Verde do Mondego. Espaço de descoberta, memória e identidade que preserva o espólio representativo da região portuguesa. Entrada gratuita.</t>
  </si>
  <si>
    <t>Conímbriga, 3150-220 Condeixa-a-Nova</t>
  </si>
  <si>
    <t>Museu de Nacional em Conímbriga. Espaço de descoberta, memória e identidade que preserva o espólio representativo da região portuguesa. Entrada gratuita.</t>
  </si>
  <si>
    <t>Museu Municipal de Montemor-o-Velho</t>
  </si>
  <si>
    <t>Rua Direita, 3140-000 Montemor-o-Velho</t>
  </si>
  <si>
    <t>Museu Municipal de Soure</t>
  </si>
  <si>
    <t>Praça da República, 3130-000 Soure</t>
  </si>
  <si>
    <t>Museu Municipal de Penela</t>
  </si>
  <si>
    <t>Castelo de Penela, 3230-253 Penela</t>
  </si>
  <si>
    <t>Museu municipal de Castelo de Penela com colecção histórica, arqueológica e etnográfica da região. Centro de memória e identidade cultural do concelho. Entrada gratuita.</t>
  </si>
  <si>
    <t>Museu Municipal da Lousã</t>
  </si>
  <si>
    <t>Rua Dr. José Maria Cardoso, 3200-000 Lousã</t>
  </si>
  <si>
    <t>Museu municipal de Rua Dr. José Maria Cardoso com colecção histórica, arqueológica e etnográfica da região. Centro de memória e identidade cultural do concelho. Entrada gratuita.</t>
  </si>
  <si>
    <t>Talasnal, 3200-000 Lousã</t>
  </si>
  <si>
    <t>Museu Municipal de Góis</t>
  </si>
  <si>
    <t>Praça da República, 3330-310 Góis</t>
  </si>
  <si>
    <t>Museu Municipal de Arganil</t>
  </si>
  <si>
    <t>Praça Simões Dias, 3300-011 Arganil</t>
  </si>
  <si>
    <t>Museu municipal de Praça Simões Dias com colecção histórica, arqueológica e etnográfica da região. Centro de memória e identidade cultural do concelho. Entrada gratuita.</t>
  </si>
  <si>
    <t>Museu Municipal de Oliveira do Hospital</t>
  </si>
  <si>
    <t>Largo Ribeiro do Amaral, 3400-000 Oliveira do Hospital</t>
  </si>
  <si>
    <t>Museu municipal de Largo Ribeiro do Amaral com colecção histórica, arqueológica e etnográfica da região. Centro de memória e identidade cultural do concelho. Entrada gratuita.</t>
  </si>
  <si>
    <t>Museu Municipal de Tábua</t>
  </si>
  <si>
    <t>Rua Dr. Francisco Beirão, 3420-000 Tábua</t>
  </si>
  <si>
    <t>Museu municipal de Rua Dr. Francisco Beirão com colecção histórica, arqueológica e etnográfica da região. Centro de memória e identidade cultural do concelho. Entrada gratuita.</t>
  </si>
  <si>
    <t>Museu Municipal de Mira</t>
  </si>
  <si>
    <t>Rua 25 de Abril, 3070-000 Mira</t>
  </si>
  <si>
    <t>Museu municipal de Rua 25 de Abril com colecção histórica, arqueológica e etnográfica da região. Centro de memória e identidade cultural do concelho. Entrada gratuita.</t>
  </si>
  <si>
    <t>Rua Tenente Valadim, 2410-190 Leiria</t>
  </si>
  <si>
    <t>Museu da Imagem em Movimento</t>
  </si>
  <si>
    <t>Rua de Tomar, 2410-186 Leiria</t>
  </si>
  <si>
    <t>Museu municipal de Rua de Tomar com colecção histórica, arqueológica e etnográfica da região. Centro de memória e identidade cultural do concelho. Entrada gratuita.</t>
  </si>
  <si>
    <t>Museu do Moinho de Papel</t>
  </si>
  <si>
    <t>Rua do Moinho de Papel, 2410-000 Leiria</t>
  </si>
  <si>
    <t>Museu municipal de Rua do Moinho de Papel com colecção histórica, arqueológica e etnográfica da região. Centro de memória e identidade cultural do concelho. Entrada gratuita.</t>
  </si>
  <si>
    <t>Museu da Comunidade Concelhia da Batalha</t>
  </si>
  <si>
    <t>Rua da Freiria, 2440-062 Batalha</t>
  </si>
  <si>
    <t>Museu municipal de Rua da Freiria com colecção histórica, arqueológica e etnográfica da região. Centro de memória e identidade cultural do concelho. Entrada gratuita.</t>
  </si>
  <si>
    <t>S. Jorge, 2480-062 Porto de Mós</t>
  </si>
  <si>
    <t>Museu Municipal de Alcobaça</t>
  </si>
  <si>
    <t>Rua Frei Fortunato, 2460-048 Alcobaça</t>
  </si>
  <si>
    <t>Museu municipal de Rua Frei Fortunato com colecção histórica, arqueológica e etnográfica da região. Centro de memória e identidade cultural do concelho. Entrada gratuita.</t>
  </si>
  <si>
    <t>Museu do Vinho de Alcobaça</t>
  </si>
  <si>
    <t>Rua Dr. Brilhante, 2460-000 Alcobaça</t>
  </si>
  <si>
    <t>Museu municipal de Rua Dr. Brilhante com colecção histórica, arqueológica e etnográfica da região. Centro de memória e identidade cultural do concelho. Entrada gratuita.</t>
  </si>
  <si>
    <t>Museu Municipal de Nazaré</t>
  </si>
  <si>
    <t>Rua Mouzinho de Albuquerque, 2450-000 Nazaré</t>
  </si>
  <si>
    <t>Museu municipal de Rua Mouzinho de Albuquerque com colecção histórica, arqueológica e etnográfica da região. Centro de memória e identidade cultural do concelho. Entrada gratuita.</t>
  </si>
  <si>
    <t>Museu Municipal de Caldas da Rainha</t>
  </si>
  <si>
    <t>Rua Dr. Miguel Bombarda, 2500-209 Caldas da Rainha</t>
  </si>
  <si>
    <t>Museu municipal de Rua Dr. Miguel Bombarda com colecção histórica, arqueológica e etnográfica da região. Centro de memória e identidade cultural do concelho. Entrada gratuita.</t>
  </si>
  <si>
    <t>Parque D. Carlos I, 2500-109 Caldas da Rainha</t>
  </si>
  <si>
    <t>Museu de Nacional em Parque D. Carlos I. Espaço de descoberta, memória e identidade que preserva o espólio representativo da região portuguesa. Entrada gratuita.</t>
  </si>
  <si>
    <t>Rua Rafael Bordalo Pinheiro, 2500-000 Caldas da Rainha</t>
  </si>
  <si>
    <t>Museu de Nacional em Rua Rafael Bordalo Pinheiro. Espaço de descoberta, memória e identidade que preserva o espólio representativo da região portuguesa. Entrada gratuita.</t>
  </si>
  <si>
    <t>Museu Municipal de Óbidos</t>
  </si>
  <si>
    <t>Rua Direita, 2510-001 Óbidos</t>
  </si>
  <si>
    <t>Rua dos Cavaleiros, 6000-000 Castelo Branco</t>
  </si>
  <si>
    <t>Museu municipal de Rua dos Cavaleiros com colecção histórica, arqueológica e etnográfica da região. Centro de memória e identidade cultural do concelho. Entrada gratuita.</t>
  </si>
  <si>
    <t>Largo Dr. José Lopes Dias, 6000-462 Castelo Branco</t>
  </si>
  <si>
    <t>Museu de Nacional em Largo Dr. José Lopes Dias. Espaço de descoberta, memória e identidade que preserva o espólio representativo da região portuguesa. Entrada gratuita.</t>
  </si>
  <si>
    <t>Museu Municipal de Idanha-a-Nova</t>
  </si>
  <si>
    <t>Rua de Santa Maria, 6060-000 Idanha-a-Nova</t>
  </si>
  <si>
    <t>Museu municipal de Rua de Santa Maria com colecção histórica, arqueológica e etnográfica da região. Centro de memória e identidade cultural do concelho. Entrada gratuita.</t>
  </si>
  <si>
    <t>Museu Municipal de Penamacor</t>
  </si>
  <si>
    <t>Rua do Castelo, 6090-543 Penamacor</t>
  </si>
  <si>
    <t>Museu Municipal do Fundão</t>
  </si>
  <si>
    <t>Rua do Serrão, 6230-000 Fundão</t>
  </si>
  <si>
    <t>Museu municipal de Rua do Serrão com colecção histórica, arqueológica e etnográfica da região. Centro de memória e identidade cultural do concelho. Entrada gratuita.</t>
  </si>
  <si>
    <t>Centro de Interpretação da Cereja</t>
  </si>
  <si>
    <t>Alcongosta, 6230-000 Fundão</t>
  </si>
  <si>
    <t>Museu municipal de Alcongosta com colecção histórica, arqueológica e etnográfica da região. Centro de memória e identidade cultural do concelho. Entrada gratuita.</t>
  </si>
  <si>
    <t>Museu Municipal da Covilhã</t>
  </si>
  <si>
    <t>Rua António Augusto de Aguiar, 6200-000 Covilhã</t>
  </si>
  <si>
    <t>Museu municipal de Rua António Augusto de Aguiar com colecção histórica, arqueológica e etnográfica da região. Centro de memória e identidade cultural do concelho. Entrada gratuita.</t>
  </si>
  <si>
    <t>Rua Marquês d'Ávila e Bolama, 6201-001 Covilhã</t>
  </si>
  <si>
    <t>Universidade da Beira Interior</t>
  </si>
  <si>
    <t>Museu de Universidade da Beira Interior em Rua Marquês d'Ávila e Bolama. Espaço de descoberta, memória e identidade que preserva o espólio representativo da região portuguesa. Entrada gratuita.</t>
  </si>
  <si>
    <t>Museu Municipal de Oleiros</t>
  </si>
  <si>
    <t>Rua Dr. Barata Relvas, 6160-000 Oleiros</t>
  </si>
  <si>
    <t>Museu municipal de Rua Dr. Barata Relvas com colecção histórica, arqueológica e etnográfica da região. Centro de memória e identidade cultural do concelho. Entrada gratuita.</t>
  </si>
  <si>
    <t>Museu Municipal de Proença-a-Nova</t>
  </si>
  <si>
    <t>Rua do Município, 6150-000 Proença-a-Nova</t>
  </si>
  <si>
    <t>Museu municipal de Rua do Município com colecção histórica, arqueológica e etnográfica da região. Centro de memória e identidade cultural do concelho. Entrada gratuita.</t>
  </si>
  <si>
    <t>Museu Municipal de Vila Velha de Ródão</t>
  </si>
  <si>
    <t>Rua do Município, 6030-000 Vila Velha de Ródão</t>
  </si>
  <si>
    <t>Rua Alves Roçadas, 6300-000 Guarda</t>
  </si>
  <si>
    <t>Museu de Arte Sacra da Guarda</t>
  </si>
  <si>
    <t>Rua do Encontro, 6300-000 Guarda</t>
  </si>
  <si>
    <t>Museu de Diocesano em Rua do Encontro. Espaço de descoberta, memória e identidade que preserva o espólio representativo da região portuguesa. Entrada gratuita.</t>
  </si>
  <si>
    <t>Museu Municipal de Seia</t>
  </si>
  <si>
    <t>Rua Visconde de Seabra, 6270-000 Seia</t>
  </si>
  <si>
    <t>Museu municipal de Rua Visconde de Seabra com colecção histórica, arqueológica e etnográfica da região. Centro de memória e identidade cultural do concelho. Entrada gratuita.</t>
  </si>
  <si>
    <t>Museu do Pão</t>
  </si>
  <si>
    <t>Quinta Fonte do Marrão, 6270-000 Seia</t>
  </si>
  <si>
    <t>Museu de Privado em Quinta Fonte do Marrão. Espaço de descoberta, memória e identidade que preserva o espólio representativo da região portuguesa.</t>
  </si>
  <si>
    <t>Museu Natural da Electricidade</t>
  </si>
  <si>
    <t>Sabugueiro, 6270-000 Seia</t>
  </si>
  <si>
    <t>Museu municipal de Sabugueiro com colecção histórica, arqueológica e etnográfica da região. Centro de memória e identidade cultural do concelho. Entrada gratuita.</t>
  </si>
  <si>
    <t>Museu Municipal de Gouveia</t>
  </si>
  <si>
    <t>Rua 5 de Outubro, 6290-000 Gouveia</t>
  </si>
  <si>
    <t>Museu municipal de Rua 5 de Outubro com colecção histórica, arqueológica e etnográfica da região. Centro de memória e identidade cultural do concelho. Entrada gratuita.</t>
  </si>
  <si>
    <t>Museu Municipal de Manteigas</t>
  </si>
  <si>
    <t>Rua 1º de Maio, 6260-000 Manteigas</t>
  </si>
  <si>
    <t>Museu municipal de Rua 1º de Maio com colecção histórica, arqueológica e etnográfica da região. Centro de memória e identidade cultural do concelho. Entrada gratuita.</t>
  </si>
  <si>
    <t>Museu Municipal de Pinhel</t>
  </si>
  <si>
    <t>Rua da República, 6400-000 Pinhel</t>
  </si>
  <si>
    <t>Fortaleza de Almeida, 6350-000 Almeida</t>
  </si>
  <si>
    <t>Museu Municipal de Trancoso</t>
  </si>
  <si>
    <t>Rua da Corredoura, 6420-000 Trancoso</t>
  </si>
  <si>
    <t>Museu municipal de Rua da Corredoura com colecção histórica, arqueológica e etnográfica da região. Centro de memória e identidade cultural do concelho. Entrada gratuita.</t>
  </si>
  <si>
    <t>Museu Municipal de Figueira de Castelo Rodrigo</t>
  </si>
  <si>
    <t>Rua do Município, 6440-000 Figueira de Castelo Rodrigo</t>
  </si>
  <si>
    <t>Adro da Sé, 3500-195 Viseu</t>
  </si>
  <si>
    <t>Museu de Nacional em Adro da Sé. Espaço de descoberta, memória e identidade que preserva o espólio representativo da região portuguesa. Entrada gratuita.</t>
  </si>
  <si>
    <t>Museu Almeida Moreira</t>
  </si>
  <si>
    <t>Rua do Soar de Cima, 3500-000 Viseu</t>
  </si>
  <si>
    <t>Museu municipal de Rua do Soar de Cima com colecção histórica, arqueológica e etnográfica da região. Centro de memória e identidade cultural do concelho. Entrada gratuita.</t>
  </si>
  <si>
    <t>Monte de Santa Luzia, 3500-000 Viseu</t>
  </si>
  <si>
    <t>Museu municipal de Monte de Santa Luzia com colecção histórica, arqueológica e etnográfica da região. Centro de memória e identidade cultural do concelho. Entrada gratuita.</t>
  </si>
  <si>
    <t>Museu Municipal de Tondela</t>
  </si>
  <si>
    <t>Rua Dr. Simões de Carvalho, 3460-000 Tondela</t>
  </si>
  <si>
    <t>Museu municipal de Rua Dr. Simões de Carvalho com colecção histórica, arqueológica e etnográfica da região. Centro de memória e identidade cultural do concelho. Entrada gratuita.</t>
  </si>
  <si>
    <t>Museu Municipal de Santa Comba Dão</t>
  </si>
  <si>
    <t>Rua do Município, 3440-000 Santa Comba Dão</t>
  </si>
  <si>
    <t>Museu Municipal de Mangualde</t>
  </si>
  <si>
    <t>Rua da Misericórdia, 3530-000 Mangualde</t>
  </si>
  <si>
    <t>Museu municipal de Rua da Misericórdia com colecção histórica, arqueológica e etnográfica da região. Centro de memória e identidade cultural do concelho. Entrada gratuita.</t>
  </si>
  <si>
    <t>Museu Municipal de Nelas</t>
  </si>
  <si>
    <t>Av. João XXIII, 3520-000 Nelas</t>
  </si>
  <si>
    <t>Museu municipal de Av. João XXIII com colecção histórica, arqueológica e etnográfica da região. Centro de memória e identidade cultural do concelho. Entrada gratuita.</t>
  </si>
  <si>
    <t>Museu Municipal de Carregal do Sal</t>
  </si>
  <si>
    <t>Rua Dr. João Soares, 3430-000 Carregal do Sal</t>
  </si>
  <si>
    <t>Museu municipal de Rua Dr. João Soares com colecção histórica, arqueológica e etnográfica da região. Centro de memória e identidade cultural do concelho. Entrada gratuita.</t>
  </si>
  <si>
    <t>Museu Municipal de Penalva do Castelo</t>
  </si>
  <si>
    <t>Rua da Misericórdia, 3550-000 Penalva do Castelo</t>
  </si>
  <si>
    <t>Museu Municipal de Sátão</t>
  </si>
  <si>
    <t>Rua Direita, 3560-000 Sátão</t>
  </si>
  <si>
    <t>Museu Municipal de Moimenta da Beira</t>
  </si>
  <si>
    <t>Rua do Município, 3620-000 Moimenta da Beira</t>
  </si>
  <si>
    <t>Museu Municipal de Sernancelhe</t>
  </si>
  <si>
    <t>Rua do Castelo, 3640-001 Sernancelhe</t>
  </si>
  <si>
    <t>Museu Municipal de Tarouca</t>
  </si>
  <si>
    <t>Rua do Município, 3610-000 Tarouca</t>
  </si>
  <si>
    <t xml:space="preserve">  🟩  LISBOA  ·  53 entradas</t>
  </si>
  <si>
    <t>Museu Nacional de Arte Antiga</t>
  </si>
  <si>
    <t>Rua das Janelas Verdes, Lisboa</t>
  </si>
  <si>
    <t>Museu de arte em Rua das Janelas Verdes com colecção de pintura, escultura e artes decorativas portuguesas. Espaço de cultura e memória visual do território. Entrada gratuita.</t>
  </si>
  <si>
    <t>Museu Nacional do Azulejo</t>
  </si>
  <si>
    <t>Rua da Madre de Deus 4, Lisboa</t>
  </si>
  <si>
    <t>Museu de arte em Rua da Madre de Deus 4 com colecção de pintura, escultura e artes decorativas portuguesas. Espaço de cultura e memória visual do território. Entrada gratuita.</t>
  </si>
  <si>
    <t>Museu Nacional dos Coches</t>
  </si>
  <si>
    <t>Av. da Índia 136, Lisboa</t>
  </si>
  <si>
    <t>Museu de Nacional em Av. da Índia 136. Espaço de descoberta, memória e identidade que preserva o espólio representativo da região portuguesa. Entrada gratuita.</t>
  </si>
  <si>
    <t>Museu Nacional de Arqueologia</t>
  </si>
  <si>
    <t>Praça do Império, Lisboa</t>
  </si>
  <si>
    <t>Museu arqueológico de Praça do Império com espólio de períodos romano, medieval e pré-histórico. Janela sobre milénios de ocupação humana da região. Entrada gratuita.</t>
  </si>
  <si>
    <t>Museu do Fado</t>
  </si>
  <si>
    <t>Largo do Chafariz de Dentro 1, Lisboa</t>
  </si>
  <si>
    <t>Museu municipal de Largo do Chafariz de Dentro 1 com colecção histórica, arqueológica e etnográfica da região. Centro de memória e identidade cultural do concelho. Entrada gratuita.</t>
  </si>
  <si>
    <t>Museu Calouste Gulbenkian</t>
  </si>
  <si>
    <t>Av. de Berna 45A, Lisboa</t>
  </si>
  <si>
    <t>Museu de arte em Av. de Berna 45A com colecção de pintura, escultura e artes decorativas portuguesas. Espaço de cultura e memória visual do território. Entrada gratuita.</t>
  </si>
  <si>
    <t>MAAT — Museu de Arte, Arquitetura e Tecnologia</t>
  </si>
  <si>
    <t>Av. Brasília, Lisboa</t>
  </si>
  <si>
    <t>Museu de arte em Av. Brasília com colecção de pintura, escultura e artes decorativas portuguesas. Espaço de cultura e memória visual do território. Entrada gratuita.</t>
  </si>
  <si>
    <t>Museu do Oriente</t>
  </si>
  <si>
    <t>Cultura Asiática</t>
  </si>
  <si>
    <t>Museu de Fundação em Av. Brasília. Espaço de descoberta, memória e identidade que preserva o espólio representativo da região portuguesa. Entrada gratuita.</t>
  </si>
  <si>
    <t>Museu do Aljube — Resistência e Liberdade</t>
  </si>
  <si>
    <t>Rua Augusto Rosa 42, Lisboa</t>
  </si>
  <si>
    <t>Museu municipal de Rua Augusto Rosa 42 com colecção histórica, arqueológica e etnográfica da região. Centro de memória e identidade cultural do concelho. Entrada gratuita.</t>
  </si>
  <si>
    <t>Museu de Lisboa — Palácio Pimenta</t>
  </si>
  <si>
    <t>Campo Grande 245, Lisboa</t>
  </si>
  <si>
    <t>Museu municipal de Campo Grande 245 com colecção histórica, arqueológica e etnográfica da região. Centro de memória e identidade cultural do concelho. Entrada gratuita.</t>
  </si>
  <si>
    <t>Casa das Histórias Paula Rego</t>
  </si>
  <si>
    <t>Av. da República, Cascais</t>
  </si>
  <si>
    <t>Museu de arte em Av. da República com colecção de pintura, escultura e artes decorativas portuguesas. Espaço de cultura e memória visual do território. Entrada gratuita.</t>
  </si>
  <si>
    <t>Museu do Mar Rei D. Carlos</t>
  </si>
  <si>
    <t>Rua Júlio Pereira de Mello, Cascais</t>
  </si>
  <si>
    <t>Museu municipal de Rua Júlio Pereira de Mello com colecção histórica, arqueológica e etnográfica da região. Centro de memória e identidade cultural do concelho. Entrada gratuita.</t>
  </si>
  <si>
    <t>Rua das Janelas Verdes, 1249-017 Lisboa</t>
  </si>
  <si>
    <t>Museu de Nacional em Rua das Janelas Verdes. Espaço de descoberta, memória e identidade que preserva o espólio representativo da região portuguesa. Entrada gratuita.</t>
  </si>
  <si>
    <t>Rua da Madre de Deus 4, 1900-312 Lisboa</t>
  </si>
  <si>
    <t>Museu de Nacional em Rua da Madre de Deus 4. Espaço de descoberta, memória e identidade que preserva o espólio representativo da região portuguesa. Entrada gratuita.</t>
  </si>
  <si>
    <t>Av. da Índia 136, 1300-300 Lisboa</t>
  </si>
  <si>
    <t>Museu de Nacional em Praça do Império. Espaço de descoberta, memória e identidade que preserva o espólio representativo da região portuguesa. Entrada gratuita.</t>
  </si>
  <si>
    <t>Museu Nacional de História Natural e da Ciência</t>
  </si>
  <si>
    <t>Rua da Escola Politécnica 56, 1250-102 Lisboa</t>
  </si>
  <si>
    <t>Museu de Universidade em Rua da Escola Politécnica 56. Espaço de descoberta, memória e identidade que preserva o espólio representativo da região portuguesa. Entrada gratuita.</t>
  </si>
  <si>
    <t>Campo Grande 245, 1700-091 Lisboa</t>
  </si>
  <si>
    <t>Museu de Lisboa — Teatro Romano</t>
  </si>
  <si>
    <t>Rua de São Mamede 3A, 1100-532 Lisboa</t>
  </si>
  <si>
    <t>Museu municipal de Rua de São Mamede 3A com colecção histórica, arqueológica e etnográfica da região. Centro de memória e identidade cultural do concelho. Entrada gratuita.</t>
  </si>
  <si>
    <t>Largo do Chafariz de Dentro 1, 1100-139 Lisboa</t>
  </si>
  <si>
    <t>Av. de Berna 45A, 1067-001 Lisboa</t>
  </si>
  <si>
    <t>Museu de Fundação em Av. de Berna 45A. Espaço de descoberta, memória e identidade que preserva o espólio representativo da região portuguesa. Entrada gratuita.</t>
  </si>
  <si>
    <t>Centro de Arte Moderna Gulbenkian</t>
  </si>
  <si>
    <t>Rua Dr. Nicolau Bettencourt, 1050-078 Lisboa</t>
  </si>
  <si>
    <t>Museu de Fundação em Rua Dr. Nicolau Bettencourt. Espaço de descoberta, memória e identidade que preserva o espólio representativo da região portuguesa. Entrada gratuita.</t>
  </si>
  <si>
    <t>Museu Coleção Berardo</t>
  </si>
  <si>
    <t>Centro Cultural de Belém, 1449-003 Lisboa</t>
  </si>
  <si>
    <t>Museu de Fundação em Centro Cultural de Belém. Espaço de descoberta, memória e identidade que preserva o espólio representativo da região portuguesa. Entrada gratuita.</t>
  </si>
  <si>
    <t>Museu da Eletricidade</t>
  </si>
  <si>
    <t>Av. Brasília, 1300-598 Lisboa</t>
  </si>
  <si>
    <t>Av. Brasília, 1350-352 Lisboa</t>
  </si>
  <si>
    <t>Museu da Marinha</t>
  </si>
  <si>
    <t>Museu da Presidência da República</t>
  </si>
  <si>
    <t>Praça Afonso de Albuquerque, 1300-004 Lisboa</t>
  </si>
  <si>
    <t>Museu de Nacional em Praça Afonso de Albuquerque. Espaço de descoberta, memória e identidade que preserva o espólio representativo da região portuguesa. Entrada gratuita.</t>
  </si>
  <si>
    <t>Museu da Água</t>
  </si>
  <si>
    <t>Rua do Alviela 12, 1170-012 Lisboa</t>
  </si>
  <si>
    <t>Museu municipal de Rua do Alviela 12 com colecção histórica, arqueológica e etnográfica da região. Centro de memória e identidade cultural do concelho. Entrada gratuita.</t>
  </si>
  <si>
    <t>Museu Bordalo Pinheiro</t>
  </si>
  <si>
    <t>Campo Grande 382, 1700-097 Lisboa</t>
  </si>
  <si>
    <t>Museu municipal de Campo Grande 382 com colecção histórica, arqueológica e etnográfica da região. Centro de memória e identidade cultural do concelho. Entrada gratuita.</t>
  </si>
  <si>
    <t>Rua Augusto Rosa 42, 1100-059 Lisboa</t>
  </si>
  <si>
    <t>Museu Benfica — Cosme Damião</t>
  </si>
  <si>
    <t>Av. Eusébio da Silva Ferreira, 1500-313 Lisboa</t>
  </si>
  <si>
    <t>Museu de Privado em Av. Eusébio da Silva Ferreira. Espaço de descoberta, memória e identidade que preserva o espólio representativo da região portuguesa.</t>
  </si>
  <si>
    <t>Museu Sporting</t>
  </si>
  <si>
    <t>Estádio José Alvalade, 1600-616 Lisboa</t>
  </si>
  <si>
    <t>Museu de Privado em Estádio José Alvalade. Espaço de descoberta, memória e identidade que preserva o espólio representativo da região portuguesa.</t>
  </si>
  <si>
    <t>Museu Arqueológico de São Miguel de Odrinhas</t>
  </si>
  <si>
    <t>Estrada de São Miguel 2, 2705-739 Sintra</t>
  </si>
  <si>
    <t>Museu municipal de Estrada de São Miguel 2 com colecção histórica, arqueológica e etnográfica da região. Centro de memória e identidade cultural do concelho. Entrada gratuita.</t>
  </si>
  <si>
    <t>Museu Municipal de Cascais — Palácio da Cidadela</t>
  </si>
  <si>
    <t>Av. D. Carlos I, 2750-310 Cascais</t>
  </si>
  <si>
    <t>Museu municipal de Av. D. Carlos I com colecção histórica, arqueológica e etnográfica da região. Centro de memória e identidade cultural do concelho. Entrada gratuita.</t>
  </si>
  <si>
    <t>Rua Júlio Pereira de Mello, 2750-412 Cascais</t>
  </si>
  <si>
    <t>Av. da República, 2750-475 Cascais</t>
  </si>
  <si>
    <t>Museu de Fundação em Av. da República. Espaço de descoberta, memória e identidade que preserva o espólio representativo da região portuguesa. Entrada gratuita.</t>
  </si>
  <si>
    <t>Museu Municipal de Almada</t>
  </si>
  <si>
    <t>Rua da Olivença 12, 2800-000 Almada</t>
  </si>
  <si>
    <t>Museu municipal de Rua da Olivença 12 com colecção histórica, arqueológica e etnográfica da região. Centro de memória e identidade cultural do concelho. Entrada gratuita.</t>
  </si>
  <si>
    <t>Museu Municipal do Seixal</t>
  </si>
  <si>
    <t>Rua Paiva Coelho 4, 2840-499 Seixal</t>
  </si>
  <si>
    <t>Museu municipal de Rua Paiva Coelho 4 com colecção histórica, arqueológica e etnográfica da região. Centro de memória e identidade cultural do concelho. Entrada gratuita.</t>
  </si>
  <si>
    <t>Museu Municipal de Setúbal</t>
  </si>
  <si>
    <t>Av. Luísa Todi 162, 2900-451 Setúbal</t>
  </si>
  <si>
    <t>Museu municipal de Av. Luísa Todi 162 com colecção histórica, arqueológica e etnográfica da região. Centro de memória e identidade cultural do concelho. Entrada gratuita.</t>
  </si>
  <si>
    <t>Museu do Trabalho Michel Giacometti</t>
  </si>
  <si>
    <t>Rua dos Trabalhadores do Mar, 2910-000 Setúbal</t>
  </si>
  <si>
    <t>Museu municipal de Rua dos Trabalhadores do Mar com colecção histórica, arqueológica e etnográfica da região. Centro de memória e identidade cultural do concelho. Entrada gratuita.</t>
  </si>
  <si>
    <t>Museu Oceanográfico do Portinho da Arrábida</t>
  </si>
  <si>
    <t>Portinho da Arrábida, 2925-378 Setúbal</t>
  </si>
  <si>
    <t>Institucional</t>
  </si>
  <si>
    <t>Museu de Institucional em Portinho da Arrábida. Espaço de descoberta, memória e identidade que preserva o espólio representativo da região portuguesa. Entrada gratuita.</t>
  </si>
  <si>
    <t>Museu Municipal de Palmela</t>
  </si>
  <si>
    <t>Castelo de Palmela, 2950-214 Palmela</t>
  </si>
  <si>
    <t>Museu municipal de Castelo de Palmela com colecção histórica, arqueológica e etnográfica da região. Centro de memória e identidade cultural do concelho. Entrada gratuita.</t>
  </si>
  <si>
    <t>Museu Municipal de Sesimbra</t>
  </si>
  <si>
    <t>Rua da Fortaleza, 2970-000 Sesimbra</t>
  </si>
  <si>
    <t>Museu municipal de Rua da Fortaleza com colecção histórica, arqueológica e etnográfica da região. Centro de memória e identidade cultural do concelho. Entrada gratuita.</t>
  </si>
  <si>
    <t>Museu Marítimo de Sesimbra</t>
  </si>
  <si>
    <t>Rua Joaquim Brandão, 2970-000 Sesimbra</t>
  </si>
  <si>
    <t>Acervo marítimo e de navegação em Rua Joaquim Brandão. Embarcações históricas, instrumentos náuticos e identidade atlântica portuguesa. Entrada gratuita.</t>
  </si>
  <si>
    <t>Museu Municipal de Santarém</t>
  </si>
  <si>
    <t>Largo do Seminário, 2000-000 Santarém</t>
  </si>
  <si>
    <t>Museu municipal de Largo do Seminário com colecção histórica, arqueológica e etnográfica da região. Centro de memória e identidade cultural do concelho. Entrada gratuita.</t>
  </si>
  <si>
    <t>Museu Municipal de Tomar</t>
  </si>
  <si>
    <t>Av. Cândido Madureira, 2300-531 Tomar</t>
  </si>
  <si>
    <t>Museu municipal de Av. Cândido Madureira com colecção histórica, arqueológica e etnográfica da região. Centro de memória e identidade cultural do concelho. Entrada gratuita.</t>
  </si>
  <si>
    <t>Museu dos Fósforos</t>
  </si>
  <si>
    <t>Convento de São Francisco, 2300-000 Tomar</t>
  </si>
  <si>
    <t>Museu de Privado em Convento de São Francisco. Espaço de descoberta, memória e identidade que preserva o espólio representativo da região portuguesa.</t>
  </si>
  <si>
    <t>Museu Municipal de Torres Novas</t>
  </si>
  <si>
    <t>Rua do Salvador, 2350-000 Torres Novas</t>
  </si>
  <si>
    <t>Museu municipal de Rua do Salvador com colecção histórica, arqueológica e etnográfica da região. Centro de memória e identidade cultural do concelho. Entrada gratuita.</t>
  </si>
  <si>
    <t>Museu Municipal de Abrantes</t>
  </si>
  <si>
    <t>Rua de São Pedro, 2200-000 Abrantes</t>
  </si>
  <si>
    <t>Museu municipal de Rua de São Pedro com colecção histórica, arqueológica e etnográfica da região. Centro de memória e identidade cultural do concelho. Entrada gratuita.</t>
  </si>
  <si>
    <t>Museu da Casa-Estúdio Carlos Relvas</t>
  </si>
  <si>
    <t>Largo Carlos Relvas, 2150-000 Golegã</t>
  </si>
  <si>
    <t>Museu municipal de Largo Carlos Relvas com colecção histórica, arqueológica e etnográfica da região. Centro de memória e identidade cultural do concelho. Entrada gratuita.</t>
  </si>
  <si>
    <t>Museu Municipal do Cartaxo</t>
  </si>
  <si>
    <t>Rua Batalhoz, 2070-000 Cartaxo</t>
  </si>
  <si>
    <t>Museu municipal de Rua Batalhoz com colecção histórica, arqueológica e etnográfica da região. Centro de memória e identidade cultural do concelho. Entrada gratuita.</t>
  </si>
  <si>
    <t>Museu Municipal de Alpiarça — Casa dos Patudos</t>
  </si>
  <si>
    <t>Rua José Relvas, 2090-000 Alpiarça</t>
  </si>
  <si>
    <t>Museu municipal de Rua José Relvas com colecção histórica, arqueológica e etnográfica da região. Centro de memória e identidade cultural do concelho. Entrada gratuita.</t>
  </si>
  <si>
    <t xml:space="preserve">  🟧  ALENTEJO  ·  59 entradas</t>
  </si>
  <si>
    <t>Museu Nacional Frei Manuel do Cenáculo</t>
  </si>
  <si>
    <t>Largo do Conde de Vila Flor, Évora</t>
  </si>
  <si>
    <t>Arte / História</t>
  </si>
  <si>
    <t>Museu de arte em Largo do Conde de Vila Flor com colecção de pintura, escultura e artes decorativas portuguesas. Espaço de cultura e memória visual do território. Entrada gratuita.</t>
  </si>
  <si>
    <t>Museu das Tapeçarias de Portalegre</t>
  </si>
  <si>
    <t>Rua da Figueira, Portalegre</t>
  </si>
  <si>
    <t>Museu de arte em Rua da Figueira com colecção de pintura, escultura e artes decorativas portuguesas. Espaço de cultura e memória visual do território.</t>
  </si>
  <si>
    <t>Museu do Cante</t>
  </si>
  <si>
    <t>Rua dos Lagares, Serpa</t>
  </si>
  <si>
    <t>Museu municipal de Rua dos Lagares com colecção histórica, arqueológica e etnográfica da região. Centro de memória e identidade cultural do concelho. Entrada gratuita.</t>
  </si>
  <si>
    <t>Museu de Arte Contemporânea de Elvas — MACE</t>
  </si>
  <si>
    <t>Largo Luís de Camões, Elvas</t>
  </si>
  <si>
    <t>Museu de arte em Largo Luís de Camões com colecção de pintura, escultura e artes decorativas portuguesas. Espaço de cultura e memória visual do território. Entrada gratuita.</t>
  </si>
  <si>
    <t>Museu da Sinagoga de Castelo de Vide</t>
  </si>
  <si>
    <t>Rua da Fonte, Castelo de Vide</t>
  </si>
  <si>
    <t>Religião</t>
  </si>
  <si>
    <t>Museu municipal de Rua da Fonte com colecção histórica, arqueológica e etnográfica da região. Centro de memória e identidade cultural do concelho. Entrada gratuita.</t>
  </si>
  <si>
    <t>Fluviário de Mora</t>
  </si>
  <si>
    <t>Parque Ecológico do Gameiro, Mora</t>
  </si>
  <si>
    <t>Museu municipal de Parque Ecológico do Gameiro com colecção histórica, arqueológica e etnográfica da região. Centro de memória e identidade cultural do concelho. Entrada gratuita.</t>
  </si>
  <si>
    <t>Museu Municipal de Vila Viçosa</t>
  </si>
  <si>
    <t>Paço Ducal, 7160-251 Vila Viçosa</t>
  </si>
  <si>
    <t>Museu de Fundação em Paço Ducal. Espaço de descoberta, memória e identidade que preserva o espólio representativo da região portuguesa. Entrada gratuita.</t>
  </si>
  <si>
    <t>Museu do Mármore</t>
  </si>
  <si>
    <t>Rua do Paço, 7160-000 Vila Viçosa</t>
  </si>
  <si>
    <t>Museu municipal de Rua do Paço com colecção histórica, arqueológica e etnográfica da região. Centro de memória e identidade cultural do concelho. Entrada gratuita.</t>
  </si>
  <si>
    <t>Museu Municipal de Redondo</t>
  </si>
  <si>
    <t>Rua Dr. Barahona, 7170-000 Redondo</t>
  </si>
  <si>
    <t>Museu municipal de Rua Dr. Barahona com colecção histórica, arqueológica e etnográfica da região. Centro de memória e identidade cultural do concelho. Entrada gratuita.</t>
  </si>
  <si>
    <t>Museu do Barro de Redondo</t>
  </si>
  <si>
    <t>Rua Direita, 7170-000 Redondo</t>
  </si>
  <si>
    <t>Museu Municipal de Reguengos de Monsaraz</t>
  </si>
  <si>
    <t>Rua de Monsaraz, 7200-000 Reguengos de Monsaraz</t>
  </si>
  <si>
    <t>Museu municipal de Rua de Monsaraz com colecção histórica, arqueológica e etnográfica da região. Centro de memória e identidade cultural do concelho. Entrada gratuita.</t>
  </si>
  <si>
    <t>Museu do Azeite</t>
  </si>
  <si>
    <t>Rua da Fonte, 7200-000 Reguengos de Monsaraz</t>
  </si>
  <si>
    <t>Museu de Privado em Rua da Fonte. Espaço de descoberta, memória e identidade que preserva o espólio representativo da região portuguesa.</t>
  </si>
  <si>
    <t>Museu Municipal de Mourão</t>
  </si>
  <si>
    <t>Rua da Misericórdia, 7240-000 Mourão</t>
  </si>
  <si>
    <t>Museu Municipal de Alandroal</t>
  </si>
  <si>
    <t>Rua do Castelo, 7250-000 Alandroal</t>
  </si>
  <si>
    <t>Museu Municipal de Montemor-o-Novo</t>
  </si>
  <si>
    <t>Convento de São Domingos, 7050-000 Montemor-o-Novo</t>
  </si>
  <si>
    <t>Museu municipal de Convento de São Domingos com colecção histórica, arqueológica e etnográfica da região. Centro de memória e identidade cultural do concelho. Entrada gratuita.</t>
  </si>
  <si>
    <t>Museu Municipal de Vendas Novas</t>
  </si>
  <si>
    <t>Av. 25 de Abril, 7080-000 Vendas Novas</t>
  </si>
  <si>
    <t>Museu municipal de Av. 25 de Abril com colecção histórica, arqueológica e etnográfica da região. Centro de memória e identidade cultural do concelho. Entrada gratuita.</t>
  </si>
  <si>
    <t>Museu Municipal de Mora</t>
  </si>
  <si>
    <t>Rua do Município, 7490-000 Mora</t>
  </si>
  <si>
    <t>Parque Ecológico do Gameiro, 7490-909 Mora</t>
  </si>
  <si>
    <t>Museu Municipal de Évora Monte</t>
  </si>
  <si>
    <t>Castelo de Evoramonte, 7100-000 Estremoz</t>
  </si>
  <si>
    <t>Museu municipal de Castelo de Evoramonte com colecção histórica, arqueológica e etnográfica da região. Centro de memória e identidade cultural do concelho. Entrada gratuita.</t>
  </si>
  <si>
    <t>Museu Municipal de Beja</t>
  </si>
  <si>
    <t>Largo da Conceição, 7800-127 Beja</t>
  </si>
  <si>
    <t>Museu municipal de Largo da Conceição com colecção histórica, arqueológica e etnográfica da região. Centro de memória e identidade cultural do concelho. Entrada gratuita.</t>
  </si>
  <si>
    <t>Museu Regional de Beja</t>
  </si>
  <si>
    <t>Convento da Conceição, 7800-127 Beja</t>
  </si>
  <si>
    <t>Museu municipal de Convento da Conceição com colecção histórica, arqueológica e etnográfica da região. Centro de memória e identidade cultural do concelho. Entrada gratuita.</t>
  </si>
  <si>
    <t>Museu Botânico de Beja</t>
  </si>
  <si>
    <t>Rua do Sembrano, 7800-000 Beja</t>
  </si>
  <si>
    <t>Museu municipal de Rua do Sembrano com colecção histórica, arqueológica e etnográfica da região. Centro de memória e identidade cultural do concelho. Entrada gratuita.</t>
  </si>
  <si>
    <t>Museu Municipal de Serpa</t>
  </si>
  <si>
    <t>Largo dos Santos Próculo e Hilarião, 7830-000 Serpa</t>
  </si>
  <si>
    <t>Museu municipal de Largo dos Santos Próculo e Hilarião com colecção histórica, arqueológica e etnográfica da região. Centro de memória e identidade cultural do concelho. Entrada gratuita.</t>
  </si>
  <si>
    <t>Rua dos Lagares, 7830-000 Serpa</t>
  </si>
  <si>
    <t>Museu Municipal de Moura</t>
  </si>
  <si>
    <t>Praça Sacadura Cabral, 7860-000 Moura</t>
  </si>
  <si>
    <t>Museu municipal de Praça Sacadura Cabral com colecção histórica, arqueológica e etnográfica da região. Centro de memória e identidade cultural do concelho. Entrada gratuita.</t>
  </si>
  <si>
    <t>Museu do Azeite de Moura</t>
  </si>
  <si>
    <t>Rua da Mouraria, 7860-000 Moura</t>
  </si>
  <si>
    <t>Museu de Privado em Rua da Mouraria. Espaço de descoberta, memória e identidade que preserva o espólio representativo da região portuguesa.</t>
  </si>
  <si>
    <t>Museu Municipal de Barrancos</t>
  </si>
  <si>
    <t>Rua da Igreja, 7230-000 Barrancos</t>
  </si>
  <si>
    <t>Museu Municipal de Almodôvar</t>
  </si>
  <si>
    <t>Rua Dr. António José de Almeida, 7700-000 Almodôvar</t>
  </si>
  <si>
    <t>Museu Municipal de Castro Verde</t>
  </si>
  <si>
    <t>Rua de Casével, 7780-000 Castro Verde</t>
  </si>
  <si>
    <t>Museu municipal de Rua de Casével com colecção histórica, arqueológica e etnográfica da região. Centro de memória e identidade cultural do concelho. Entrada gratuita.</t>
  </si>
  <si>
    <t>Museu da Ruralidade</t>
  </si>
  <si>
    <t>Entradas, 7780-000 Castro Verde</t>
  </si>
  <si>
    <t>Museu municipal de Entradas com colecção histórica, arqueológica e etnográfica da região. Centro de memória e identidade cultural do concelho. Entrada gratuita.</t>
  </si>
  <si>
    <t>Museu Municipal de Ourique</t>
  </si>
  <si>
    <t>Rua do Município, 7670-000 Ourique</t>
  </si>
  <si>
    <t>Museu Municipal de Odemira</t>
  </si>
  <si>
    <t>Rua do Município, 7630-000 Odemira</t>
  </si>
  <si>
    <t>Ecomuseu do Sudoeste Alentejano</t>
  </si>
  <si>
    <t>São Teotónio, 7630-000 Odemira</t>
  </si>
  <si>
    <t>Museu municipal de São Teotónio com colecção histórica, arqueológica e etnográfica da região. Centro de memória e identidade cultural do concelho. Entrada gratuita.</t>
  </si>
  <si>
    <t>Largo do Conde de Vila Flor, 7000-804 Évora</t>
  </si>
  <si>
    <t>Museu de Nacional em Largo do Conde de Vila Flor. Espaço de descoberta, memória e identidade que preserva o espólio representativo da região portuguesa. Entrada gratuita.</t>
  </si>
  <si>
    <t>Museu do Artesanato e do Design — MADE</t>
  </si>
  <si>
    <t>Rua do Sembrano, 7000-000 Évora</t>
  </si>
  <si>
    <t>Museu do Relógio — Pólo de Évora</t>
  </si>
  <si>
    <t>Rua Serpa Pinto, 7000-537 Évora</t>
  </si>
  <si>
    <t>Museu de Privado em Rua Serpa Pinto. Espaço de descoberta, memória e identidade que preserva o espólio representativo da região portuguesa.</t>
  </si>
  <si>
    <t>Museu Municipal de Arraiolos</t>
  </si>
  <si>
    <t>Rua da Misericórdia, 7040-000 Arraiolos</t>
  </si>
  <si>
    <t>Museu do Tapete de Arraiolos</t>
  </si>
  <si>
    <t>Rua do Convento, 7040-000 Arraiolos</t>
  </si>
  <si>
    <t>Museu municipal de Rua do Convento com colecção histórica, arqueológica e etnográfica da região. Centro de memória e identidade cultural do concelho. Entrada gratuita.</t>
  </si>
  <si>
    <t>Museu Municipal de Estremoz</t>
  </si>
  <si>
    <t>Convento dos Congregados, 7100-000 Estremoz</t>
  </si>
  <si>
    <t>Museu municipal de Convento dos Congregados com colecção histórica, arqueológica e etnográfica da região. Centro de memória e identidade cultural do concelho. Entrada gratuita.</t>
  </si>
  <si>
    <t>Museu Berardo Estremoz</t>
  </si>
  <si>
    <t>Museu de Fundação em Convento dos Congregados. Espaço de descoberta, memória e identidade que preserva o espólio representativo da região portuguesa. Entrada gratuita.</t>
  </si>
  <si>
    <t>Museu Municipal de Borba</t>
  </si>
  <si>
    <t>Rua da Misericórdia, 7150-000 Borba</t>
  </si>
  <si>
    <t>Museu Municipal de Portalegre</t>
  </si>
  <si>
    <t>Rua Dom Nuno Álvares Pereira, 7300-000 Portalegre</t>
  </si>
  <si>
    <t>Museu municipal de Rua Dom Nuno Álvares Pereira com colecção histórica, arqueológica e etnográfica da região. Centro de memória e identidade cultural do concelho. Entrada gratuita.</t>
  </si>
  <si>
    <t>Rua da Figueira, 7300-000 Portalegre</t>
  </si>
  <si>
    <t>Museu de Privado em Rua da Figueira. Espaço de descoberta, memória e identidade que preserva o espólio representativo da região portuguesa.</t>
  </si>
  <si>
    <t>Museu José Régio — Casa-Museu</t>
  </si>
  <si>
    <t>Rua José Régio, 7300-126 Portalegre</t>
  </si>
  <si>
    <t>Museu municipal de Rua José Régio com colecção histórica, arqueológica e etnográfica da região. Centro de memória e identidade cultural do concelho. Entrada gratuita.</t>
  </si>
  <si>
    <t>Museu Municipal de Elvas</t>
  </si>
  <si>
    <t>Rua da Cadeia, 7350-000 Elvas</t>
  </si>
  <si>
    <t>Museu municipal de Rua da Cadeia com colecção histórica, arqueológica e etnográfica da região. Centro de memória e identidade cultural do concelho. Entrada gratuita.</t>
  </si>
  <si>
    <t>Museu Militar de Elvas</t>
  </si>
  <si>
    <t>Forte de Santa Luzia, 7350-000 Elvas</t>
  </si>
  <si>
    <t>Museu de Institucional em Forte de Santa Luzia. Espaço de descoberta, memória e identidade que preserva o espólio representativo da região portuguesa. Entrada gratuita.</t>
  </si>
  <si>
    <t>Largo Luís de Camões, 7350-000 Elvas</t>
  </si>
  <si>
    <t>Museu municipal de Largo Luís de Camões com colecção histórica, arqueológica e etnográfica da região. Centro de memória e identidade cultural do concelho. Entrada gratuita.</t>
  </si>
  <si>
    <t>Museu Municipal de Campo Maior</t>
  </si>
  <si>
    <t>Rua Direita, 7370-000 Campo Maior</t>
  </si>
  <si>
    <t>Centro de Ciência do Café</t>
  </si>
  <si>
    <t>Herdade das Argamassas, 7370-000 Campo Maior</t>
  </si>
  <si>
    <t>Museu de Privado em Herdade das Argamassas. Espaço de descoberta, memória e identidade que preserva o espólio representativo da região portuguesa.</t>
  </si>
  <si>
    <t>Museu Municipal de Arronches</t>
  </si>
  <si>
    <t>Rua de São Bento, 7340-000 Arronches</t>
  </si>
  <si>
    <t>Museu municipal de Rua de São Bento com colecção histórica, arqueológica e etnográfica da região. Centro de memória e identidade cultural do concelho. Entrada gratuita.</t>
  </si>
  <si>
    <t>Museu Municipal de Castelo de Vide</t>
  </si>
  <si>
    <t>Rua Bartolomeu Álvares da Santa, 7320-000 Castelo de Vide</t>
  </si>
  <si>
    <t>Museu municipal de Rua Bartolomeu Álvares da Santa com colecção histórica, arqueológica e etnográfica da região. Centro de memória e identidade cultural do concelho. Entrada gratuita.</t>
  </si>
  <si>
    <t>Rua da Fonte, 7320-000 Castelo de Vide</t>
  </si>
  <si>
    <t>Museu Municipal de Marvão</t>
  </si>
  <si>
    <t>Rua do Espírito Santo, 7330-000 Marvão</t>
  </si>
  <si>
    <t>Museu municipal de Rua do Espírito Santo com colecção histórica, arqueológica e etnográfica da região. Centro de memória e identidade cultural do concelho. Entrada gratuita.</t>
  </si>
  <si>
    <t>Museu Municipal Ammaia</t>
  </si>
  <si>
    <t>S. Salvador da Aramenha, 7330-000 Marvão</t>
  </si>
  <si>
    <t>Museu de Fundação em S. Salvador da Aramenha. Espaço de descoberta, memória e identidade que preserva o espólio representativo da região portuguesa. Entrada gratuita.</t>
  </si>
  <si>
    <t>Museu Municipal de Nisa</t>
  </si>
  <si>
    <t>Rua Dr. Francisco Nicolau, 6050-000 Nisa</t>
  </si>
  <si>
    <t>Museu municipal de Rua Dr. Francisco Nicolau com colecção histórica, arqueológica e etnográfica da região. Centro de memória e identidade cultural do concelho. Entrada gratuita.</t>
  </si>
  <si>
    <t>Museu do Barro de Nisa</t>
  </si>
  <si>
    <t>Rua Direita, 6050-000 Nisa</t>
  </si>
  <si>
    <t>Museu Municipal de Ponte de Sor</t>
  </si>
  <si>
    <t>Rua da Igreja, 7400-000 Ponte de Sor</t>
  </si>
  <si>
    <t>Museu das Aviações</t>
  </si>
  <si>
    <t>Zona Aeronáutica, 7400-000 Ponte de Sor</t>
  </si>
  <si>
    <t>Museu de Privado em Zona Aeronáutica. Espaço de descoberta, memória e identidade que preserva o espólio representativo da região portuguesa.</t>
  </si>
  <si>
    <t>Museu Municipal de Sousel</t>
  </si>
  <si>
    <t>Rua do Município, 7470-000 Sousel</t>
  </si>
  <si>
    <t xml:space="preserve">  🟥  ALGARVE  ·  30 entradas</t>
  </si>
  <si>
    <t>Museu de Portimão</t>
  </si>
  <si>
    <t>Rua D. Carlos I, Portimão</t>
  </si>
  <si>
    <t>Museu municipal de Rua D. Carlos I com colecção histórica, arqueológica e etnográfica da região. Centro de memória e identidade cultural do concelho. Entrada gratuita.</t>
  </si>
  <si>
    <t>Museu Municipal de Lagos</t>
  </si>
  <si>
    <t>Rua General Alberto da Silveira, Lagos</t>
  </si>
  <si>
    <t>Museu municipal de Rua General Alberto da Silveira com colecção histórica, arqueológica e etnográfica da região. Centro de memória e identidade cultural do concelho. Entrada gratuita.</t>
  </si>
  <si>
    <t>Museu Municipal de Tavira</t>
  </si>
  <si>
    <t>Calçada da Galeria, Tavira</t>
  </si>
  <si>
    <t>Museu municipal de Calçada da Galeria com colecção histórica, arqueológica e etnográfica da região. Centro de memória e identidade cultural do concelho. Entrada gratuita.</t>
  </si>
  <si>
    <t>Museu Municipal de Silves</t>
  </si>
  <si>
    <t>Rua da Porta de Loulé, Silves</t>
  </si>
  <si>
    <t>Museu municipal de Rua da Porta de Loulé com colecção histórica, arqueológica e etnográfica da região. Centro de memória e identidade cultural do concelho. Entrada gratuita.</t>
  </si>
  <si>
    <t>Centro de Interpretação de Sagres</t>
  </si>
  <si>
    <t>Fortaleza de Sagres, Vila do Bispo</t>
  </si>
  <si>
    <t>Museu de Institucional em Fortaleza de Sagres. Espaço de descoberta, memória e identidade que preserva o espólio representativo da região portuguesa. Entrada gratuita.</t>
  </si>
  <si>
    <t>Museu Municipal de Faro</t>
  </si>
  <si>
    <t>Praça Dom Afonso III, 8000-167 Faro</t>
  </si>
  <si>
    <t>Museu municipal de Praça Dom Afonso III com colecção histórica, arqueológica e etnográfica da região. Centro de memória e identidade cultural do concelho. Entrada gratuita.</t>
  </si>
  <si>
    <t>Museu Marítimo Almirante Ramalho Ortigão</t>
  </si>
  <si>
    <t>Doca de Faro, 8000-000 Faro</t>
  </si>
  <si>
    <t>Acervo marítimo e de navegação em Doca de Faro. Embarcações históricas, instrumentos náuticos e identidade atlântica portuguesa. Entrada gratuita.</t>
  </si>
  <si>
    <t>Museu Regional do Algarve</t>
  </si>
  <si>
    <t>Praça da Liberdade, 8000-000 Faro</t>
  </si>
  <si>
    <t>Seg-Sex 9h-17h30</t>
  </si>
  <si>
    <t>Museu regional de Praça da Liberdade que reúne o espólio histórico, artístico e cultural da região. Percurso pela identidade e memória colectiva do território. Entrada gratuita.</t>
  </si>
  <si>
    <t>Museu Municipal de Loulé</t>
  </si>
  <si>
    <t>Rua D. Paio Peres Correia, 8100-564 Loulé</t>
  </si>
  <si>
    <t>Museu municipal de Rua D. Paio Peres Correia com colecção histórica, arqueológica e etnográfica da região. Centro de memória e identidade cultural do concelho. Entrada gratuita.</t>
  </si>
  <si>
    <t>Centro de Interpretação da Casa da Empreita</t>
  </si>
  <si>
    <t>Rua da Barbacã, 8100-000 Loulé</t>
  </si>
  <si>
    <t>Museu municipal de Rua da Barbacã com colecção histórica, arqueológica e etnográfica da região. Centro de memória e identidade cultural do concelho. Entrada gratuita.</t>
  </si>
  <si>
    <t>Museu Municipal de Albufeira</t>
  </si>
  <si>
    <t>Rua da Igreja Nova, 8200-137 Albufeira</t>
  </si>
  <si>
    <t>Museu municipal de Rua da Igreja Nova com colecção histórica, arqueológica e etnográfica da região. Centro de memória e identidade cultural do concelho. Entrada gratuita.</t>
  </si>
  <si>
    <t>Rua D. Carlos I, 8500-607 Portimão</t>
  </si>
  <si>
    <t>Núcleo Museológico da Estação Arqueológica da Alcalar</t>
  </si>
  <si>
    <t>Alcalar, 8500-000 Portimão</t>
  </si>
  <si>
    <t>Museu municipal de Alcalar com colecção histórica, arqueológica e etnográfica da região. Centro de memória e identidade cultural do concelho. Entrada gratuita.</t>
  </si>
  <si>
    <t>Museu Municipal de Lagos — Dr. José Formosinho</t>
  </si>
  <si>
    <t>Rua General Alberto da Silveira, 8600-594 Lagos</t>
  </si>
  <si>
    <t>Centro Ciência Viva de Lagos</t>
  </si>
  <si>
    <t>Rua Dr. Faria e Silva 34, 8600-734 Lagos</t>
  </si>
  <si>
    <t>Museu de Fundação em Rua Dr. Faria e Silva 34. Espaço de descoberta, memória e identidade que preserva o espólio representativo da região portuguesa. Entrada gratuita.</t>
  </si>
  <si>
    <t>Rua da Porta de Loulé, 8300-139 Silves</t>
  </si>
  <si>
    <t>Centro de Interpretação do Castelo de Silves</t>
  </si>
  <si>
    <t>Castelo de Silves, 8300-144 Silves</t>
  </si>
  <si>
    <t>Museu municipal de Castelo de Silves com colecção histórica, arqueológica e etnográfica da região. Centro de memória e identidade cultural do concelho. Entrada gratuita.</t>
  </si>
  <si>
    <t>Calçada da Galeria, 8800-329 Tavira</t>
  </si>
  <si>
    <t>Núcleo Museológico Islâmico de Tavira</t>
  </si>
  <si>
    <t>Rua da Liberdade, 8800-399 Tavira</t>
  </si>
  <si>
    <t>Museu municipal de Rua da Liberdade com colecção histórica, arqueológica e etnográfica da região. Centro de memória e identidade cultural do concelho. Entrada gratuita.</t>
  </si>
  <si>
    <t>Museu do Atum — Núcleo de Santa Luzia</t>
  </si>
  <si>
    <t>Av. Eng. Duarte Pacheco, 8800-000 Tavira</t>
  </si>
  <si>
    <t>Museu municipal de Av. Eng. Duarte Pacheco com colecção histórica, arqueológica e etnográfica da região. Centro de memória e identidade cultural do concelho. Entrada gratuita.</t>
  </si>
  <si>
    <t>Museu Municipal de Vila Real de Santo António</t>
  </si>
  <si>
    <t>Praça Marquês de Pombal, 8900-230 Vila Real de Santo António</t>
  </si>
  <si>
    <t>Museu municipal de Praça Marquês de Pombal com colecção histórica, arqueológica e etnográfica da região. Centro de memória e identidade cultural do concelho. Entrada gratuita.</t>
  </si>
  <si>
    <t>Museu Municipal de Castro Marim</t>
  </si>
  <si>
    <t>Rua de São Sebastião, 8950-122 Castro Marim</t>
  </si>
  <si>
    <t>Museu municipal de Rua de São Sebastião com colecção histórica, arqueológica e etnográfica da região. Centro de memória e identidade cultural do concelho. Entrada gratuita.</t>
  </si>
  <si>
    <t>Centro de Interpretação do Castelo de Castro Marim</t>
  </si>
  <si>
    <t>Castelo de Castro Marim, 8950-000 Castro Marim</t>
  </si>
  <si>
    <t>Museu municipal de Castelo de Castro Marim com colecção histórica, arqueológica e etnográfica da região. Centro de memória e identidade cultural do concelho. Entrada gratuita.</t>
  </si>
  <si>
    <t>Museu Municipal de Alcoutim</t>
  </si>
  <si>
    <t>Rua 1º de Maio, 8970-066 Alcoutim</t>
  </si>
  <si>
    <t>Museu Municipal de Monchique</t>
  </si>
  <si>
    <t>Rua Eng. Duarte Pacheco, 8550-000 Monchique</t>
  </si>
  <si>
    <t>Centro de Interpretação da Fóia</t>
  </si>
  <si>
    <t>Fóia, 8550-000 Monchique</t>
  </si>
  <si>
    <t>Museu municipal de Fóia com colecção histórica, arqueológica e etnográfica da região. Centro de memória e identidade cultural do concelho. Entrada gratuita.</t>
  </si>
  <si>
    <t>Museu Municipal de Aljezur</t>
  </si>
  <si>
    <t>Rua do Castelo, 8670-056 Aljezur</t>
  </si>
  <si>
    <t>Núcleo Museológico da Fortaleza da Arrifana</t>
  </si>
  <si>
    <t>Arrifana, 8670-000 Aljezur</t>
  </si>
  <si>
    <t>Museu municipal de Arrifana com colecção histórica, arqueológica e etnográfica da região. Centro de memória e identidade cultural do concelho. Entrada gratuita.</t>
  </si>
  <si>
    <t>Museu Municipal de Vila do Bispo</t>
  </si>
  <si>
    <t>Rua da Igreja, 8650-000 Vila do Bispo</t>
  </si>
  <si>
    <t>Fortaleza de Sagres, 8650-360 Vila do Bispo</t>
  </si>
  <si>
    <t xml:space="preserve">  🟪  AÇORES  ·  27 entradas</t>
  </si>
  <si>
    <t>Museu Carlos Machado — Núcleo de Arte Sacra</t>
  </si>
  <si>
    <t>Rua do Dr. Guilherme Poças, Ponta Delgada</t>
  </si>
  <si>
    <t>Museu de arte em Rua do Dr. Guilherme Poças com colecção de pintura, escultura e artes decorativas portuguesas. Espaço de cultura e memória visual do território. Entrada gratuita.</t>
  </si>
  <si>
    <t>Centro de Interpretação do Vulcão dos Capelinhos</t>
  </si>
  <si>
    <t>Capelo, Horta</t>
  </si>
  <si>
    <t>Museu regional de Capelo que reúne o espólio histórico, artístico e cultural da região. Percurso pela identidade e memória colectiva do território. Entrada gratuita.</t>
  </si>
  <si>
    <t>Museu do Pico — Núcleo dos Baleeiros</t>
  </si>
  <si>
    <t>Lajes do Pico</t>
  </si>
  <si>
    <t>Museu regional de Lajes do Pico que reúne o espólio histórico, artístico e cultural da região. Percurso pela identidade e memória colectiva do território. Entrada gratuita.</t>
  </si>
  <si>
    <t>Museu da Horta</t>
  </si>
  <si>
    <t>Largo do Infante, Horta</t>
  </si>
  <si>
    <t>Museu regional de Largo do Infante que reúne o espólio histórico, artístico e cultural da região. Percurso pela identidade e memória colectiva do território. Entrada gratuita.</t>
  </si>
  <si>
    <t>Museu Carlos Machado — Arte Sacra</t>
  </si>
  <si>
    <t>Rua do Dr. Guilherme Poças, 9500-056 Ponta Delgada</t>
  </si>
  <si>
    <t>Museu regional de Rua do Dr. Guilherme Poças que reúne o espólio histórico, artístico e cultural da região. Percurso pela identidade e memória colectiva do território. Entrada gratuita.</t>
  </si>
  <si>
    <t>Museu Carlos Machado — História Natural</t>
  </si>
  <si>
    <t>Largo do Colégio, 9500-054 Ponta Delgada</t>
  </si>
  <si>
    <t>Museu regional de Largo do Colégio que reúne o espólio histórico, artístico e cultural da região. Percurso pela identidade e memória colectiva do território. Entrada gratuita.</t>
  </si>
  <si>
    <t>Museu Carlos Machado — Santo André</t>
  </si>
  <si>
    <t>Rua de Santo André, 9500-000 Ponta Delgada</t>
  </si>
  <si>
    <t>Museu regional de Rua de Santo André que reúne o espólio histórico, artístico e cultural da região. Percurso pela identidade e memória colectiva do território. Entrada gratuita.</t>
  </si>
  <si>
    <t>Centro de Interpretação das Sete Cidades</t>
  </si>
  <si>
    <t>Sete Cidades, 9555-000 Ponta Delgada</t>
  </si>
  <si>
    <t>Museu municipal de Sete Cidades com colecção histórica, arqueológica e etnográfica da região. Centro de memória e identidade cultural do concelho. Entrada gratuita.</t>
  </si>
  <si>
    <t>Museu Municipal da Ribeira Grande</t>
  </si>
  <si>
    <t>Rua de São Vicente, 9600-000 Ribeira Grande</t>
  </si>
  <si>
    <t>Museu municipal de Rua de São Vicente com colecção histórica, arqueológica e etnográfica da região. Centro de memória e identidade cultural do concelho. Entrada gratuita.</t>
  </si>
  <si>
    <t>Museu Municipal da Lagoa (Açores)</t>
  </si>
  <si>
    <t>Rua de Nossa Senhora do Rosário, 9560-000 Lagoa</t>
  </si>
  <si>
    <t>Museu municipal de Rua de Nossa Senhora do Rosário com colecção histórica, arqueológica e etnográfica da região. Centro de memória e identidade cultural do concelho. Entrada gratuita.</t>
  </si>
  <si>
    <t>Oficina Museu da Cerâmica</t>
  </si>
  <si>
    <t>Rua da Cerâmica, 9560-000 Lagoa</t>
  </si>
  <si>
    <t>Museu municipal de Rua da Cerâmica com colecção histórica, arqueológica e etnográfica da região. Centro de memória e identidade cultural do concelho. Entrada gratuita.</t>
  </si>
  <si>
    <t>Museu Municipal de Vila Franca do Campo</t>
  </si>
  <si>
    <t>Rua do Museu, 9680-000 Vila Franca do Campo</t>
  </si>
  <si>
    <t>Museu municipal de Rua do Museu com colecção histórica, arqueológica e etnográfica da região. Centro de memória e identidade cultural do concelho. Entrada gratuita.</t>
  </si>
  <si>
    <t>Museu Municipal da Povoação</t>
  </si>
  <si>
    <t>Rua do Município, 9650-000 Povoação</t>
  </si>
  <si>
    <t>Museu Municipal do Nordeste</t>
  </si>
  <si>
    <t>Rua da Ladeira, 9630-000 Nordeste</t>
  </si>
  <si>
    <t>Museu municipal de Rua da Ladeira com colecção histórica, arqueológica e etnográfica da região. Centro de memória e identidade cultural do concelho. Entrada gratuita.</t>
  </si>
  <si>
    <t>Museu Municipal de Angra do Heroísmo</t>
  </si>
  <si>
    <t>Palácio Bettencourt, 9700-042 Angra do Heroísmo</t>
  </si>
  <si>
    <t>Museu regional de Palácio Bettencourt que reúne o espólio histórico, artístico e cultural da região. Percurso pela identidade e memória colectiva do território. Entrada gratuita.</t>
  </si>
  <si>
    <t>Museu de Angra — Núcleo Militar</t>
  </si>
  <si>
    <t>Rua de São João de Deus, 9700-000 Angra do Heroísmo</t>
  </si>
  <si>
    <t>Museu regional de Rua de São João de Deus que reúne o espólio histórico, artístico e cultural da região. Percurso pela identidade e memória colectiva do território. Entrada gratuita.</t>
  </si>
  <si>
    <t>Museu de Angra — História Natural</t>
  </si>
  <si>
    <t>Rua do Pisão, 9700-000 Angra do Heroísmo</t>
  </si>
  <si>
    <t>Museu regional de Rua do Pisão que reúne o espólio histórico, artístico e cultural da região. Percurso pela identidade e memória colectiva do território. Entrada gratuita.</t>
  </si>
  <si>
    <t>Museu Municipal da Praia da Vitória</t>
  </si>
  <si>
    <t>Rua de Jesus, 9760-000 Praia da Vitória</t>
  </si>
  <si>
    <t>Museu municipal de Rua de Jesus com colecção histórica, arqueológica e etnográfica da região. Centro de memória e identidade cultural do concelho. Entrada gratuita.</t>
  </si>
  <si>
    <t>Largo do Infante, 9900-000 Horta</t>
  </si>
  <si>
    <t>Museu da Horta — Fábrica da Baleia</t>
  </si>
  <si>
    <t>Porto Pim, 9900-000 Horta</t>
  </si>
  <si>
    <t>Museu regional de Porto Pim que reúne o espólio histórico, artístico e cultural da região. Percurso pela identidade e memória colectiva do território. Entrada gratuita.</t>
  </si>
  <si>
    <t>Capelo, 9900-000 Horta</t>
  </si>
  <si>
    <t>Lajes do Pico, 9930-000 Lajes do Pico</t>
  </si>
  <si>
    <t>Museu do Pico — Núcleo da Vinha</t>
  </si>
  <si>
    <t>Madalena, 9950-000 Madalena</t>
  </si>
  <si>
    <t>Museu regional de Madalena que reúne o espólio histórico, artístico e cultural da região. Percurso pela identidade e memória colectiva do território. Entrada gratuita.</t>
  </si>
  <si>
    <t>Museu Municipal de São Jorge</t>
  </si>
  <si>
    <t>Rua da Calheta, 9850-000 Calheta (São Jorge)</t>
  </si>
  <si>
    <t>Museu municipal de Rua da Calheta com colecção histórica, arqueológica e etnográfica da região. Centro de memória e identidade cultural do concelho. Entrada gratuita.</t>
  </si>
  <si>
    <t>Museu Municipal da Graciosa</t>
  </si>
  <si>
    <t>Rua da Boa Vista, 9880-000 Santa Cruz da Graciosa</t>
  </si>
  <si>
    <t>Museu municipal de Rua da Boa Vista com colecção histórica, arqueológica e etnográfica da região. Centro de memória e identidade cultural do concelho. Entrada gratuita.</t>
  </si>
  <si>
    <t>Museu Municipal das Flores</t>
  </si>
  <si>
    <t>Rua da Esperança, 9960-000 Santa Cruz das Flores</t>
  </si>
  <si>
    <t>Museu municipal de Rua da Esperança com colecção histórica, arqueológica e etnográfica da região. Centro de memória e identidade cultural do concelho. Entrada gratuita.</t>
  </si>
  <si>
    <t>Museu Municipal de Vila do Porto</t>
  </si>
  <si>
    <t>Rua Teófilo Braga, 9580-535 Vila do Porto</t>
  </si>
  <si>
    <t>Museu municipal de Rua Teófilo Braga com colecção histórica, arqueológica e etnográfica da região. Centro de memória e identidade cultural do concelho. Entrada gratuita.</t>
  </si>
  <si>
    <t xml:space="preserve">  🟫  MADEIRA  ·  21 entradas</t>
  </si>
  <si>
    <t>Museu de Arte Sacra do Funchal</t>
  </si>
  <si>
    <t>Rua do Bispo 21, Funchal</t>
  </si>
  <si>
    <t>Museu de arte em Rua do Bispo 21 com colecção de pintura, escultura e artes decorativas portuguesas. Espaço de cultura e memória visual do território. Entrada gratuita.</t>
  </si>
  <si>
    <t>Museu Quinta das Cruzes</t>
  </si>
  <si>
    <t>Calçada do Pico 1, Funchal</t>
  </si>
  <si>
    <t>Museu de arte em Calçada do Pico 1 com colecção de pintura, escultura e artes decorativas portuguesas. Espaço de cultura e memória visual do território. Entrada gratuita.</t>
  </si>
  <si>
    <t>MUDAS — Museu de Arte Contemporânea da Madeira</t>
  </si>
  <si>
    <t>Estrada Simão Gonçalves da Câmara, Calheta</t>
  </si>
  <si>
    <t>Museu de arte em Estrada Simão Gonçalves da Câmara com colecção de pintura, escultura e artes decorativas portuguesas. Espaço de cultura e memória visual do território. Entrada gratuita.</t>
  </si>
  <si>
    <t>Museu Etnográfico da Madeira</t>
  </si>
  <si>
    <t>Rua de São Francisco 24, Ribeira Brava</t>
  </si>
  <si>
    <t>Adulto 3€; Grátis dom</t>
  </si>
  <si>
    <t>Museu etnográfico de Rua de São Francisco 24 que preserva ferramentas, trajes e objectos do quotidiano da cultura popular portuguesa da região. Entrada gratuita.</t>
  </si>
  <si>
    <t>Centro de Interpretação da Gruta e Centro do Vulcanismo</t>
  </si>
  <si>
    <t>Sítio do Pé do Passo, São Vicente</t>
  </si>
  <si>
    <t>Museu regional de Sítio do Pé do Passo que reúne o espólio histórico, artístico e cultural da região. Percurso pela identidade e memória colectiva do território. Entrada gratuita.</t>
  </si>
  <si>
    <t>Rua do Bispo 21, 9000-073 Funchal</t>
  </si>
  <si>
    <t>Museu regional de Rua do Bispo 21 que reúne o espólio histórico, artístico e cultural da região. Percurso pela identidade e memória colectiva do território. Entrada gratuita.</t>
  </si>
  <si>
    <t>Calçada do Pico 1, 9000-206 Funchal</t>
  </si>
  <si>
    <t>Museu regional de Calçada do Pico 1 que reúne o espólio histórico, artístico e cultural da região. Percurso pela identidade e memória colectiva do território. Entrada gratuita.</t>
  </si>
  <si>
    <t>Museu Henrique e Francisco Franco</t>
  </si>
  <si>
    <t>Rua João de Deus 13, 9050-027 Funchal</t>
  </si>
  <si>
    <t>Museu regional de Rua João de Deus 13 que reúne o espólio histórico, artístico e cultural da região. Percurso pela identidade e memória colectiva do território. Entrada gratuita.</t>
  </si>
  <si>
    <t>Museu CR7</t>
  </si>
  <si>
    <t>Av. Sá Carneiro, 9004-518 Funchal</t>
  </si>
  <si>
    <t>Museu de Privado em Av. Sá Carneiro. Espaço de descoberta, memória e identidade que preserva o espólio representativo da região portuguesa.</t>
  </si>
  <si>
    <t>Rua de São Francisco 24, 9350-218 Ribeira Brava</t>
  </si>
  <si>
    <t>Museu regional de Rua de São Francisco 24 que reúne o espólio histórico, artístico e cultural da região. Percurso pela identidade e memória colectiva do território. Entrada gratuita.</t>
  </si>
  <si>
    <t>Museu Municipal de Câmara de Lobos</t>
  </si>
  <si>
    <t>Rua São João de Deus, 9300-000 Câmara de Lobos</t>
  </si>
  <si>
    <t>Museu municipal de Rua São João de Deus com colecção histórica, arqueológica e etnográfica da região. Centro de memória e identidade cultural do concelho. Entrada gratuita.</t>
  </si>
  <si>
    <t>Museu Municipal da Ponta do Sol</t>
  </si>
  <si>
    <t>Rua Dr. João Augusto Teixeira, 9360-000 Ponta do Sol</t>
  </si>
  <si>
    <t>Museu municipal de Rua Dr. João Augusto Teixeira com colecção histórica, arqueológica e etnográfica da região. Centro de memória e identidade cultural do concelho. Entrada gratuita.</t>
  </si>
  <si>
    <t>Museu Municipal da Calheta</t>
  </si>
  <si>
    <t>Rua da Calheta, 9370-000 Calheta</t>
  </si>
  <si>
    <t>Estrada Simão Gonçalves da Câmara, 9370-139 Calheta</t>
  </si>
  <si>
    <t>Museu regional de Estrada Simão Gonçalves da Câmara que reúne o espólio histórico, artístico e cultural da região. Percurso pela identidade e memória colectiva do território. Entrada gratuita.</t>
  </si>
  <si>
    <t>Museu Municipal da Ribeira Brava</t>
  </si>
  <si>
    <t>Rua da Praça, 9350-000 Ribeira Brava</t>
  </si>
  <si>
    <t>Museu municipal de Rua da Praça com colecção histórica, arqueológica e etnográfica da região. Centro de memória e identidade cultural do concelho. Entrada gratuita.</t>
  </si>
  <si>
    <t>Museu Municipal de São Vicente</t>
  </si>
  <si>
    <t>Rua da Igreja, 9240-225 São Vicente</t>
  </si>
  <si>
    <t>Centro de Interpretação do Vulcanismo (São Vicente)</t>
  </si>
  <si>
    <t>Sítio do Pé do Passo, 9240-039 São Vicente</t>
  </si>
  <si>
    <t>Museu Municipal do Porto Moniz</t>
  </si>
  <si>
    <t>Rua do Lugar, 9270-000 Porto Moniz</t>
  </si>
  <si>
    <t>Museu municipal de Rua do Lugar com colecção histórica, arqueológica e etnográfica da região. Centro de memória e identidade cultural do concelho. Entrada gratuita.</t>
  </si>
  <si>
    <t>Museu Municipal de Santana</t>
  </si>
  <si>
    <t>Rua do Museu, 9230-000 Santana</t>
  </si>
  <si>
    <t>Museu Municipal de Machico</t>
  </si>
  <si>
    <t>Rua do Ribeirinho, 9200-000 Machico</t>
  </si>
  <si>
    <t>Museu municipal de Rua do Ribeirinho com colecção histórica, arqueológica e etnográfica da região. Centro de memória e identidade cultural do concelho. Entrada gratuita.</t>
  </si>
  <si>
    <t>Museu Municipal de Santa Cruz (Madeira)</t>
  </si>
  <si>
    <t>Rua da Praia, 9100-000 Santa Cruz</t>
  </si>
  <si>
    <t>Museu municipal de Rua da Praia com colecção histórica, arqueológica e etnográfica da região. Centro de memória e identidade cultural do concelho. Entrada gratuita.</t>
  </si>
  <si>
    <t>🏛️  390 entradas  ·  Portugal Vivo — Base de Dados de Turismo Cultural  ·  MUSEUS DE PORTUGAL</t>
  </si>
  <si>
    <t>🦊  FAUNA AUTÓCTONE DE PORTUGAL  —  100 entradas</t>
  </si>
  <si>
    <t>Norte · Centro · Lisboa · Alentejo · Algarve · Açores · Madeira  ·  Espécies Endémicas, Protegidas e Emblemáticas</t>
  </si>
  <si>
    <t>Espécie</t>
  </si>
  <si>
    <t>Habitat</t>
  </si>
  <si>
    <t>Estatuto</t>
  </si>
  <si>
    <t>Onde Observar</t>
  </si>
  <si>
    <t>Curiosidade</t>
  </si>
  <si>
    <t xml:space="preserve">  🟦  NORTE  ·  100 entradas</t>
  </si>
  <si>
    <t>Salamandra-lusitânica</t>
  </si>
  <si>
    <t>Réptil / Anfíbio</t>
  </si>
  <si>
    <t>PN Peneda-Gerês</t>
  </si>
  <si>
    <t>Albergaria</t>
  </si>
  <si>
    <t>253203150</t>
  </si>
  <si>
    <t>Anfíbio endémico do Noroeste Peninsular. Habitat: Norte. Melhor época: Albergaria.</t>
  </si>
  <si>
    <t>Lagarto-de-água</t>
  </si>
  <si>
    <t>PN Montesinho</t>
  </si>
  <si>
    <t>Rio Sabor</t>
  </si>
  <si>
    <t>Réptil autóctone de cores vibrantes. Habitat: Norte. Melhor época: Rio Sabor.</t>
  </si>
  <si>
    <t>Víbora-cornuda (Norte)</t>
  </si>
  <si>
    <t>Serra do Gerês</t>
  </si>
  <si>
    <t>Víbora endémica de zonas rochosas. Habitat: Norte. Melhor época: Serra do Gerês.</t>
  </si>
  <si>
    <t>Escalo-do-Mira</t>
  </si>
  <si>
    <t>Peixe Endémico</t>
  </si>
  <si>
    <t>Rio Mira</t>
  </si>
  <si>
    <t>Odemira (Sede)</t>
  </si>
  <si>
    <t>Peixe endémico crítico (Sul/Norte). Habitat: Norte. Melhor época: Odemira (Sede).</t>
  </si>
  <si>
    <t>Sarda-comum</t>
  </si>
  <si>
    <t>Rio Minho</t>
  </si>
  <si>
    <t>Monção</t>
  </si>
  <si>
    <t>Peixe potádromo autóctone. Habitat: Norte. Melhor época: Monção.</t>
  </si>
  <si>
    <t>Cobra-rateira</t>
  </si>
  <si>
    <t>Serras de Aire</t>
  </si>
  <si>
    <t>Alcanena</t>
  </si>
  <si>
    <t>N/A</t>
  </si>
  <si>
    <t>A maior serpente da fauna portuguesa. Habitat: Centro. Melhor época: Alcanena.</t>
  </si>
  <si>
    <t>Sapo-parteiro-ibérico</t>
  </si>
  <si>
    <t>Serra da Lousã</t>
  </si>
  <si>
    <t>Lousã</t>
  </si>
  <si>
    <t>Anfíbio autóctone de zonas montanhosas. Habitat: Centro. Melhor época: Lousã.</t>
  </si>
  <si>
    <t>Morcego-de-ferradura</t>
  </si>
  <si>
    <t>Mamífero Selvagem</t>
  </si>
  <si>
    <t>Grutas de Alviela</t>
  </si>
  <si>
    <t>Colónia de quirópteros protegida. Habitat: Centro. Melhor época: Alcanena.</t>
  </si>
  <si>
    <t>Garça-vermelha</t>
  </si>
  <si>
    <t>Ave</t>
  </si>
  <si>
    <t>Reserva Paul de Arzila</t>
  </si>
  <si>
    <t>Coimbra</t>
  </si>
  <si>
    <t>Ave aquática migradora e nidificante. Habitat: Centro. Melhor época: Coimbra.</t>
  </si>
  <si>
    <t>Ruivaco</t>
  </si>
  <si>
    <t>Rio Alviela</t>
  </si>
  <si>
    <t>Santarém</t>
  </si>
  <si>
    <t>Peixe endémico de bacias calcárias. Habitat: Centro. Melhor época: Santarém.</t>
  </si>
  <si>
    <t>Corticol-de-barriga-preta</t>
  </si>
  <si>
    <t>Campo Branco</t>
  </si>
  <si>
    <t>286328305</t>
  </si>
  <si>
    <t>Ave estepária rara do Sul. Habitat: Alentejo. Melhor época: Castro Verde.</t>
  </si>
  <si>
    <t>Abutre-do-egito</t>
  </si>
  <si>
    <t>P.N. Tejo Internacional</t>
  </si>
  <si>
    <t>272320176</t>
  </si>
  <si>
    <t>Ave de rapina em perigo crítico. Habitat: Alentejo. Melhor época: Idanha-a-Nova.</t>
  </si>
  <si>
    <t>Cobra-ferradura</t>
  </si>
  <si>
    <t>Montado Alentejano</t>
  </si>
  <si>
    <t>Réptil autóctone ágil e inofensivo. Habitat: Alentejo. Melhor época: Évora.</t>
  </si>
  <si>
    <t>Geneta</t>
  </si>
  <si>
    <t>Reserva do Sado</t>
  </si>
  <si>
    <t>Alcácer do Sal</t>
  </si>
  <si>
    <t>265541140</t>
  </si>
  <si>
    <t>Mamífero carnívoro de cauda anelada. Habitat: Alentejo. Melhor época: Alcácer do Sal.</t>
  </si>
  <si>
    <t>Caboz-de-água-doce</t>
  </si>
  <si>
    <t>Ribeira de Quarteira</t>
  </si>
  <si>
    <t>Único peixe de água doce da família Gobiidae. Habitat: Algarve. Melhor época: Loulé.</t>
  </si>
  <si>
    <t>Melro-azul</t>
  </si>
  <si>
    <t>Rocha da Pena</t>
  </si>
  <si>
    <t>Salir</t>
  </si>
  <si>
    <t>Ave típica de escarpas calcárias algarvias. Habitat: Algarve. Melhor época: Salir.</t>
  </si>
  <si>
    <t>Garça-branca</t>
  </si>
  <si>
    <t>Olhão</t>
  </si>
  <si>
    <t>289700210</t>
  </si>
  <si>
    <t>Ave emblemática das zonas húmidas. Habitat: Algarve. Melhor época: Olhão.</t>
  </si>
  <si>
    <t>Perna-longa</t>
  </si>
  <si>
    <t>Sapal de Castro Marim</t>
  </si>
  <si>
    <t>Castro Marim</t>
  </si>
  <si>
    <t>Ave limícola de patas rosadas longas. Habitat: Algarve. Melhor época: Castro Marim.</t>
  </si>
  <si>
    <t>Painho-de-monteiro</t>
  </si>
  <si>
    <t>Fauna Silvestre</t>
  </si>
  <si>
    <t>Ilhéus da Graciosa</t>
  </si>
  <si>
    <t>Ilha da Graciosa</t>
  </si>
  <si>
    <t>Ave marinha endémica dos Açores. Habitat: Açores. Melhor época: Ilha da Graciosa.</t>
  </si>
  <si>
    <t>Bis-bis</t>
  </si>
  <si>
    <t>Laurissilva</t>
  </si>
  <si>
    <t>Ribeiro Frio</t>
  </si>
  <si>
    <t>291145000</t>
  </si>
  <si>
    <t>A menor ave endémica da Madeira. Habitat: Madeira. Melhor época: Ribeiro Frio.</t>
  </si>
  <si>
    <t>Burro de Miranda</t>
  </si>
  <si>
    <t>Raça Autóctone</t>
  </si>
  <si>
    <t>AEPGA</t>
  </si>
  <si>
    <t>Largo da Igreja, Atenor</t>
  </si>
  <si>
    <t>Burro lanudo e dócil do Nordeste. Habitat: Norte. Melhor época: Largo da Igreja, Atenor.</t>
  </si>
  <si>
    <t>Bovino Barrosa</t>
  </si>
  <si>
    <t>AMIBA</t>
  </si>
  <si>
    <t>Quinta da Lage, Vieira do Minho</t>
  </si>
  <si>
    <t>Cornos em lira, símbolo do Minho. Habitat: Norte. Melhor época: Quinta da Lage, Vieira do Minho.</t>
  </si>
  <si>
    <t>Bovino Mirandesa</t>
  </si>
  <si>
    <t>ACBRM</t>
  </si>
  <si>
    <t>Musculada, pelagem castanha escura. Habitat: Norte. Melhor época: Miranda do Douro.</t>
  </si>
  <si>
    <t>Lobo Ibérico</t>
  </si>
  <si>
    <t>Porta do Mezio, Arcos de Valdevez</t>
  </si>
  <si>
    <t>Grande carnívoro silvestre. Habitat: Norte. Melhor época: Porta do Mezio, Arcos de Valdevez.</t>
  </si>
  <si>
    <t>Cavalo Garrano</t>
  </si>
  <si>
    <t>Quinta de Pentieiros</t>
  </si>
  <si>
    <t>Arcos, Ponte de Lima</t>
  </si>
  <si>
    <t>Cavalo selvagem de pequena estatura. Habitat: Norte. Melhor época: Arcos, Ponte de Lima.</t>
  </si>
  <si>
    <t>Bovino Cachena</t>
  </si>
  <si>
    <t>Porta do Lindoso</t>
  </si>
  <si>
    <t>Lindoso, Ponte da Barca</t>
  </si>
  <si>
    <t>A menor raça bovina do mundo. Habitat: Norte. Melhor época: Lindoso, Ponte da Barca.</t>
  </si>
  <si>
    <t>Cão Castro Laboreiro</t>
  </si>
  <si>
    <t>Raça Canina</t>
  </si>
  <si>
    <t>Núcleo Museológico</t>
  </si>
  <si>
    <t>Castro Laboreiro</t>
  </si>
  <si>
    <t>Cão de guarda de gado histórico. Habitat: Norte. Melhor época: Castro Laboreiro.</t>
  </si>
  <si>
    <t>Porco Bísaro</t>
  </si>
  <si>
    <t>ANCUB</t>
  </si>
  <si>
    <t>Gimonde, Bragança</t>
  </si>
  <si>
    <t>Porco de orelhas pendentes. Habitat: Norte. Melhor época: Gimonde, Bragança.</t>
  </si>
  <si>
    <t>Bovino Maronesa</t>
  </si>
  <si>
    <t>ACM</t>
  </si>
  <si>
    <t>Vila Real</t>
  </si>
  <si>
    <t>Raça rústica de carne premiada. Habitat: Norte. Melhor época: Vila Real.</t>
  </si>
  <si>
    <t>Bovino Arouquesa</t>
  </si>
  <si>
    <t>ANCRA</t>
  </si>
  <si>
    <t>Rossas, Arouca</t>
  </si>
  <si>
    <t>Adaptada a terrenos declivosos. Habitat: Norte. Melhor época: Rossas, Arouca.</t>
  </si>
  <si>
    <t>Cão Gado Transmontano</t>
  </si>
  <si>
    <t>APCG</t>
  </si>
  <si>
    <t>Protetor de rebanhos contra lobos. Habitat: Norte. Melhor época: Vinhais.</t>
  </si>
  <si>
    <t>Ovelha Churra Bragançana</t>
  </si>
  <si>
    <t>CIRAP</t>
  </si>
  <si>
    <t>273303200</t>
  </si>
  <si>
    <t>Lã grossa para tapeçaria. Habitat: Norte. Melhor época: Aveleda, Bragança.</t>
  </si>
  <si>
    <t>Bovino Minhota</t>
  </si>
  <si>
    <t>APAC</t>
  </si>
  <si>
    <t>Tripla aptidão: carne, leite, trabalho. Habitat: Norte. Melhor época: Ponte de Lima.</t>
  </si>
  <si>
    <t>Galinha Pédres</t>
  </si>
  <si>
    <t>Quinta Pedagógica</t>
  </si>
  <si>
    <t>Plumagem pédrez cinza e branca. Habitat: Norte. Melhor época: Braga.</t>
  </si>
  <si>
    <t>Águia-real</t>
  </si>
  <si>
    <t>P.N. Douro Internacional</t>
  </si>
  <si>
    <t>Mogadouro</t>
  </si>
  <si>
    <t>Grande ave de rapina das arribas. Habitat: Norte. Melhor época: Mogadouro.</t>
  </si>
  <si>
    <t>Sarda-do-norte</t>
  </si>
  <si>
    <t>Aquário Rio Minho</t>
  </si>
  <si>
    <t>Vila Nova de Cerveira</t>
  </si>
  <si>
    <t>Peixe endémico de água doce. Habitat: Norte. Melhor época: Vila Nova de Cerveira.</t>
  </si>
  <si>
    <t>Abelha Preta</t>
  </si>
  <si>
    <t>Insecto Autóctone</t>
  </si>
  <si>
    <t>APIMONTE</t>
  </si>
  <si>
    <t>Apis mellifera iberiensis. Habitat: Norte. Melhor época: Bragança.</t>
  </si>
  <si>
    <t>Cão de Água Português</t>
  </si>
  <si>
    <t>Zona Marítima</t>
  </si>
  <si>
    <t>Caminha / Viana</t>
  </si>
  <si>
    <t>Antigo auxiliar dos pescadores. Habitat: Norte. Melhor época: Caminha / Viana.</t>
  </si>
  <si>
    <t>Galinha Preta Lusitânica</t>
  </si>
  <si>
    <t>Totalmente preta, pele e penas. Habitat: Norte. Melhor época: Ponte de Lima.</t>
  </si>
  <si>
    <t>Ovelha Mondegueira</t>
  </si>
  <si>
    <t>Explorações Locais</t>
  </si>
  <si>
    <t>Vale do Mondego</t>
  </si>
  <si>
    <t>Ovelha Mondegueira: espécie pouco comum da fauna de Portugal. Observável em Explorações Locais. Indicador da saúde dos ecossistemas naturais e da biodiversidade ibérica.</t>
  </si>
  <si>
    <t>Ovelha Serra da Estrela</t>
  </si>
  <si>
    <t>ANCOSE</t>
  </si>
  <si>
    <t>Leite para o Queijo da Serra. Habitat: Centro. Melhor época: Oliveira do Hospital.</t>
  </si>
  <si>
    <t>Cão Serra da Estrela</t>
  </si>
  <si>
    <t>LICSE</t>
  </si>
  <si>
    <t>Cão pastor de montanha. Habitat: Centro. Melhor época: Gouveia.</t>
  </si>
  <si>
    <t>Aves de Rapina</t>
  </si>
  <si>
    <t>CERVAS</t>
  </si>
  <si>
    <t>Centro de recuperação de fauna. Habitat: Centro. Melhor época: Gouveia.</t>
  </si>
  <si>
    <t>Bovino Marinhoa</t>
  </si>
  <si>
    <t>EABL</t>
  </si>
  <si>
    <t>Estarreja</t>
  </si>
  <si>
    <t>Gado de trabalho da Ria de Aveiro. Habitat: Centro. Melhor época: Estarreja.</t>
  </si>
  <si>
    <t>Lince Ibérico</t>
  </si>
  <si>
    <t>Serra da Malcata</t>
  </si>
  <si>
    <t>Habitat histórico de reintrodução. Habitat: Centro. Melhor época: Penamacor.</t>
  </si>
  <si>
    <t>Cabra Serrana</t>
  </si>
  <si>
    <t>ANCRAS</t>
  </si>
  <si>
    <t>Mirandela / Viseu</t>
  </si>
  <si>
    <t>Leite de alta qualidade. Habitat: Centro. Melhor época: Mirandela / Viseu.</t>
  </si>
  <si>
    <t>Veado (brama)</t>
  </si>
  <si>
    <t>Lousã Wild</t>
  </si>
  <si>
    <t>Observação de brama no outono. Habitat: Centro. Melhor época: Serra da Lousã.</t>
  </si>
  <si>
    <t>Porco Malhado de Alcobaça</t>
  </si>
  <si>
    <t>Quinta Experimental</t>
  </si>
  <si>
    <t>Alcobaça</t>
  </si>
  <si>
    <t>Raça rústica de pelagem malhada. Habitat: Centro. Melhor época: Alcobaça.</t>
  </si>
  <si>
    <t>Cegonha-preta</t>
  </si>
  <si>
    <t>Tejo Internacional</t>
  </si>
  <si>
    <t>Rosmaninhal</t>
  </si>
  <si>
    <t>Cegonha-preta: espécie autóctone da fauna de Portugal. Observável em Tejo Internacional. Indicador da saúde dos ecossistemas naturais e da biodiversidade ibérica.</t>
  </si>
  <si>
    <t>Bovino Jarmelista</t>
  </si>
  <si>
    <t>ACRJ</t>
  </si>
  <si>
    <t>Jarmelo, Guarda</t>
  </si>
  <si>
    <t>Gado em perigo crítico de extinção. Habitat: Centro. Melhor época: Jarmelo, Guarda.</t>
  </si>
  <si>
    <t>Bovino Mertolenga</t>
  </si>
  <si>
    <t>ACBM</t>
  </si>
  <si>
    <t>Rua Diana de Lys, Évora</t>
  </si>
  <si>
    <t>Resistente e adaptada ao calor. Habitat: Alentejo. Melhor época: Rua Diana de Lys, Évora.</t>
  </si>
  <si>
    <t>Cavalo Lusitano</t>
  </si>
  <si>
    <t>Coudelaria Alter</t>
  </si>
  <si>
    <t>Alter do Chão</t>
  </si>
  <si>
    <t>O mais nobre cavalo de sela. Habitat: Alentejo. Melhor época: Alter do Chão.</t>
  </si>
  <si>
    <t>Porco Alentejano</t>
  </si>
  <si>
    <t>ACPA</t>
  </si>
  <si>
    <t>Ourique</t>
  </si>
  <si>
    <t>Criado em liberdade no montado. Habitat: Alentejo. Melhor época: Ourique.</t>
  </si>
  <si>
    <t>Rafeiro Alentejano</t>
  </si>
  <si>
    <t>ACRA</t>
  </si>
  <si>
    <t>Monforte</t>
  </si>
  <si>
    <t>Cão de guarda de grande porte. Habitat: Alentejo. Melhor época: Monforte.</t>
  </si>
  <si>
    <t>Abetarda</t>
  </si>
  <si>
    <t>LPN Castro Verde</t>
  </si>
  <si>
    <t>Herdade Vale Gonçalinho</t>
  </si>
  <si>
    <t>A ave mais pesada de Portugal. Habitat: Alentejo. Melhor época: Herdade Vale Gonçalinho.</t>
  </si>
  <si>
    <t>Cabra Serpentina</t>
  </si>
  <si>
    <t>APCRS</t>
  </si>
  <si>
    <t>Cornos em espiral, muito rústica. Habitat: Alentejo. Melhor época: Beja.</t>
  </si>
  <si>
    <t>Cabra Algarvia</t>
  </si>
  <si>
    <t>ANCCRAL</t>
  </si>
  <si>
    <t>Orelhas caídas e pelagem curta. Habitat: Algarve. Melhor época: Loulé.</t>
  </si>
  <si>
    <t>Camaleão</t>
  </si>
  <si>
    <t>Quinta de Marim</t>
  </si>
  <si>
    <t>Répteis em ambiente dunar. Habitat: Algarve. Melhor época: Olhão.</t>
  </si>
  <si>
    <t>Bovino Ramo Grande</t>
  </si>
  <si>
    <t>Assoc. Criadores</t>
  </si>
  <si>
    <t>Raça rústica de trabalho e carne. Habitat: Açores. Melhor época: Angra do Heroísmo.</t>
  </si>
  <si>
    <t>Pombo Trocaz</t>
  </si>
  <si>
    <t>Santana, Madeira</t>
  </si>
  <si>
    <t>Ave endémica da Laurissilva. Habitat: Madeira. Melhor época: Santana, Madeira.</t>
  </si>
  <si>
    <t>Ovelha Saloia</t>
  </si>
  <si>
    <t>Quinta do Marquês</t>
  </si>
  <si>
    <t>Oeiras</t>
  </si>
  <si>
    <t>214408300</t>
  </si>
  <si>
    <t>Histórica da região de Lisboa e arredores. Habitat: Centro. Melhor época: Oeiras.</t>
  </si>
  <si>
    <t>Salamandra Lusitânica</t>
  </si>
  <si>
    <t>Lagoas de Altitude</t>
  </si>
  <si>
    <t>Anfíbio endémico de zonas húmidas e sombrias. Habitat: Centro. Melhor época: Lagoas de Altitude.</t>
  </si>
  <si>
    <t>Bovino de Lafões</t>
  </si>
  <si>
    <t>Agrup. Produtores</t>
  </si>
  <si>
    <t>Vouzela / Tondela</t>
  </si>
  <si>
    <t>Bovino de pequeno porte das Beiras. Habitat: Centro. Melhor época: Vouzela / Tondela.</t>
  </si>
  <si>
    <t>Lontra</t>
  </si>
  <si>
    <t>Paul de Arzila</t>
  </si>
  <si>
    <t>Mamífero de água doce em habitat protegido. Habitat: Centro. Melhor época: Coimbra.</t>
  </si>
  <si>
    <t>Cabra Charnequeira</t>
  </si>
  <si>
    <t>ANCCHAR</t>
  </si>
  <si>
    <t>Sertã</t>
  </si>
  <si>
    <t>Adaptada a matos cerrados e giestas. Habitat: Centro. Melhor época: Sertã.</t>
  </si>
  <si>
    <t>Galinha Amarela</t>
  </si>
  <si>
    <t>Polo Agrário</t>
  </si>
  <si>
    <t>Raça de crescimento lento e ovos generosos. Habitat: Centro. Melhor época: Santarém.</t>
  </si>
  <si>
    <t>Grifo</t>
  </si>
  <si>
    <t>Portas de Ródão</t>
  </si>
  <si>
    <t>Vila Velha de Ródão</t>
  </si>
  <si>
    <t>Grandes colónias de abutres em fragas. Habitat: Centro. Melhor época: Vila Velha de Ródão.</t>
  </si>
  <si>
    <t>Ovelha Bordaleira</t>
  </si>
  <si>
    <t>Quinta Tabôaça</t>
  </si>
  <si>
    <t>Lã excelente para cardação e fiação manual. Habitat: Centro. Melhor época: Viseu.</t>
  </si>
  <si>
    <t>Abelha da Beira</t>
  </si>
  <si>
    <t>Assoc. Beira Baixa</t>
  </si>
  <si>
    <t>Ecótipo de abelha preta de alta altitude. Habitat: Centro. Melhor época: Castelo Branco.</t>
  </si>
  <si>
    <t>Ovelha Merina</t>
  </si>
  <si>
    <t>ANCME</t>
  </si>
  <si>
    <t>A raça de lã mais fina do mundo. Habitat: Alentejo. Melhor época: Évora.</t>
  </si>
  <si>
    <t>Cavalo Sorraia</t>
  </si>
  <si>
    <t>Reserva Sorraia</t>
  </si>
  <si>
    <t>Coruche</t>
  </si>
  <si>
    <t>Cavalo primitivo ancestral do Lusitano. Habitat: Alentejo. Melhor época: Coruche.</t>
  </si>
  <si>
    <t>Bovino Preta</t>
  </si>
  <si>
    <t>Associação Preta</t>
  </si>
  <si>
    <t>Santarém / Coruche</t>
  </si>
  <si>
    <t>Pelagem preta, usada em lide e campo. Habitat: Alentejo. Melhor época: Santarém / Coruche.</t>
  </si>
  <si>
    <t>Ovelha Campanã</t>
  </si>
  <si>
    <t>Pequena e muito resistente à escassez de pasto. Habitat: Alentejo. Melhor época: Castro Verde.</t>
  </si>
  <si>
    <t>Cão Serra de Aires</t>
  </si>
  <si>
    <t>Quinta da Marinha</t>
  </si>
  <si>
    <t>Cão pastor de pelo hirsuto (cão macaco). Habitat: Alentejo. Melhor época: Monforte.</t>
  </si>
  <si>
    <t>Abutre-preto</t>
  </si>
  <si>
    <t>Herdade da Contenda</t>
  </si>
  <si>
    <t>Observação de aves de rapina em nidificação. Habitat: Alentejo. Melhor época: Moura.</t>
  </si>
  <si>
    <t>Javali</t>
  </si>
  <si>
    <t>Reservas de Caça</t>
  </si>
  <si>
    <t>Alentejo Interior</t>
  </si>
  <si>
    <t>Fauna silvestre abundante no montado. Habitat: Alentejo. Melhor época: Alentejo Interior.</t>
  </si>
  <si>
    <t>Sisão</t>
  </si>
  <si>
    <t>Ave estepária de pequeno porte e voo rápido. Habitat: Alentejo. Melhor época: Castro Verde.</t>
  </si>
  <si>
    <t>Cão do Barrocal Algarvio</t>
  </si>
  <si>
    <t>Criadores Locais</t>
  </si>
  <si>
    <t>Cão de caça veloz e muito ágil. Habitat: Alentejo. Melhor época: Baixo Alentejo.</t>
  </si>
  <si>
    <t>Sapo-parteiro</t>
  </si>
  <si>
    <t>Charcos Temporários</t>
  </si>
  <si>
    <t>Sudoeste Alentejano</t>
  </si>
  <si>
    <t>Anfíbio raro que carrega os ovos nas costas. Habitat: Alentejo. Melhor época: Sudoeste Alentejano.</t>
  </si>
  <si>
    <t>Raposa</t>
  </si>
  <si>
    <t>Montados de Sobro</t>
  </si>
  <si>
    <t>Évora / Beja</t>
  </si>
  <si>
    <t>Carnívoro silvestre de hábitos crepusculares. Habitat: Alentejo. Melhor época: Évora / Beja.</t>
  </si>
  <si>
    <t>Ovelha Merina Preta</t>
  </si>
  <si>
    <t>Reguengos</t>
  </si>
  <si>
    <t>Variante de cor preta genética da raça Merina. Habitat: Alentejo. Melhor época: Reguengos.</t>
  </si>
  <si>
    <t>Cavalos-marinhos</t>
  </si>
  <si>
    <t>Faro</t>
  </si>
  <si>
    <t>Santuário protegido no sapal algarvio. Habitat: Algarve. Melhor época: Faro.</t>
  </si>
  <si>
    <t>Ovelha Algarvia</t>
  </si>
  <si>
    <t>Tavira</t>
  </si>
  <si>
    <t>Resistente ao solo pedregoso do barrocal. Habitat: Algarve. Melhor época: Tavira.</t>
  </si>
  <si>
    <t>Cão de Água (Algarve)</t>
  </si>
  <si>
    <t>Clube da Raça</t>
  </si>
  <si>
    <t>Lagos / Faro</t>
  </si>
  <si>
    <t>Cão nadador histórico dos pescadores. Habitat: Algarve. Melhor época: Lagos / Faro.</t>
  </si>
  <si>
    <t>Bovino Garvonesa</t>
  </si>
  <si>
    <t>Herdade Malhadinha</t>
  </si>
  <si>
    <t>Ourique / Alentejo</t>
  </si>
  <si>
    <t>Bovino de cor castanha avermelhada (raça rara). Habitat: Algarve. Melhor época: Ourique / Alentejo.</t>
  </si>
  <si>
    <t>Víbora-cornuda (Sul)</t>
  </si>
  <si>
    <t>Fóia</t>
  </si>
  <si>
    <t>Víbora venenosa típica de zonas rochosas. Habitat: Algarve. Melhor época: Fóia.</t>
  </si>
  <si>
    <t>Bovino Algarvia</t>
  </si>
  <si>
    <t>Silves / Loulé</t>
  </si>
  <si>
    <t>Raça bovina de tração histórica do sul. Habitat: Algarve. Melhor época: Silves / Loulé.</t>
  </si>
  <si>
    <t>Texugo</t>
  </si>
  <si>
    <t>Barrocal Algarvio</t>
  </si>
  <si>
    <t>S. Brás de Alportel</t>
  </si>
  <si>
    <t>Mamífero noturno que habita tocas profundas. Habitat: Algarve. Melhor época: S. Brás de Alportel.</t>
  </si>
  <si>
    <t>Cão Fila de S. Miguel</t>
  </si>
  <si>
    <t>Clube Português</t>
  </si>
  <si>
    <t>Cão de maneio de gado bravo açoriano. Habitat: Açores. Melhor época: Ponta Delgada.</t>
  </si>
  <si>
    <t>Priolo</t>
  </si>
  <si>
    <t>Centro Ambiental</t>
  </si>
  <si>
    <t>Nordeste, S. Miguel</t>
  </si>
  <si>
    <t>Pássaro endémico único da Ilha de S. Miguel. Habitat: Açores. Melhor época: Nordeste, S. Miguel.</t>
  </si>
  <si>
    <t>Morcego dos Açores</t>
  </si>
  <si>
    <t>Gruta das Torres</t>
  </si>
  <si>
    <t>Ilha do Pico</t>
  </si>
  <si>
    <t>Único mamífero endémico terrestre dos Açores. Habitat: Açores. Melhor época: Ilha do Pico.</t>
  </si>
  <si>
    <t>Barbado da Terceira</t>
  </si>
  <si>
    <t>Ilha Terceira</t>
  </si>
  <si>
    <t>Cão pastor de pelo comprido e barba. Habitat: Açores. Melhor época: Ilha Terceira.</t>
  </si>
  <si>
    <t>Lobo-marinho</t>
  </si>
  <si>
    <t>Ilhas Desertas</t>
  </si>
  <si>
    <t>Funchal (Acesso Mar)</t>
  </si>
  <si>
    <t>A foca mais rara do mundo (colónia protegida). Habitat: Madeira. Melhor época: Funchal (Acesso Mar).</t>
  </si>
  <si>
    <t>Freira-da-Madeira</t>
  </si>
  <si>
    <t>Pico do Arieiro</t>
  </si>
  <si>
    <t>Ave marinha de nidificação exclusiva na ilha. Habitat: Madeira. Melhor época: Madeira.</t>
  </si>
  <si>
    <t>Aranha-lobo Madeirense</t>
  </si>
  <si>
    <t>Ilha Deserta Grande</t>
  </si>
  <si>
    <t>Aranha gigante endémica das encostas. Habitat: Madeira. Melhor época: Madeira.</t>
  </si>
  <si>
    <t>Morcego da Madeira</t>
  </si>
  <si>
    <t>Parques Públicos</t>
  </si>
  <si>
    <t>Quiróptero endémico insular vulnerável. Habitat: Madeira. Melhor época: Parques Públicos.</t>
  </si>
  <si>
    <t>Lagartixa-da-Madeira</t>
  </si>
  <si>
    <t>Réptil endémico presente em toda a ilha. Habitat: Madeira. Melhor época: Madeira.</t>
  </si>
  <si>
    <t>Cobra-de-Escada</t>
  </si>
  <si>
    <t>Réptil autóctone comum em zonas de mato. Habitat: Centro. Melhor época: Alcanena.</t>
  </si>
  <si>
    <t>Boga-portuguesa</t>
  </si>
  <si>
    <t>Rio Ave</t>
  </si>
  <si>
    <t>Peixe endémico de água doce em perigo. Habitat: Norte. Melhor época: Guimarães.</t>
  </si>
  <si>
    <t>Escalo-do-Norte</t>
  </si>
  <si>
    <t>Rio Cávado</t>
  </si>
  <si>
    <t>Peixe autóctone de zonas correntosas. Habitat: Norte. Melhor época: Barcelos.</t>
  </si>
  <si>
    <t>🦊  100 entradas  ·  Portugal Vivo</t>
  </si>
  <si>
    <t>🌿  FLORA AUTÓCTONE DE PORTUGAL  —  100 entradas</t>
  </si>
  <si>
    <t>Floração</t>
  </si>
  <si>
    <t xml:space="preserve">  🟦  NORTE  ·  110 entradas</t>
  </si>
  <si>
    <t>Lírio-do-Gerês</t>
  </si>
  <si>
    <t>Flor Endémica</t>
  </si>
  <si>
    <t>Jun-Jul</t>
  </si>
  <si>
    <t>Pétalas azul profundo com "língua" amarela. Raro e frágil.</t>
  </si>
  <si>
    <t>Lírio-do-Gerês: espécie endémica de Portugal, presente em Norte e Montanhas. Floração: Jun-Jul. Protegida pela raridade e valor ecológico único no contexto da flora europeia.</t>
  </si>
  <si>
    <t>Carvalho-alvarinho</t>
  </si>
  <si>
    <t>Árvore Autóctone</t>
  </si>
  <si>
    <t>Abr-Mai</t>
  </si>
  <si>
    <t>Troncos rugosos cobertos de líquenes; sombra fresca e densa.</t>
  </si>
  <si>
    <t>Mata do Mezio</t>
  </si>
  <si>
    <t>Carvalho-alvarinho: árvore autóctone dos bosques de Norte e Montanhas. Floração: Abr-Mai. Essencial para a biodiversidade, oferecendo abrigo e alimento a inúmeras espécies da fauna portuguesa.</t>
  </si>
  <si>
    <t>Bétula</t>
  </si>
  <si>
    <t>Casca branca que descasca como papel; ramos flexíveis.</t>
  </si>
  <si>
    <t>Bétula: árvore autóctone dos bosques de Norte e Montanhas. Floração: Abr-Mai. Essencial para a biodiversidade, oferecendo abrigo e alimento a inúmeras espécies da fauna portuguesa.</t>
  </si>
  <si>
    <t>Azevinho</t>
  </si>
  <si>
    <t>Arbusto Autóctone</t>
  </si>
  <si>
    <t>Nov-Jan</t>
  </si>
  <si>
    <t>Bagas vermelhas no verde escuro; espécie protegida.</t>
  </si>
  <si>
    <t>Mata da Albergaria, Gerês</t>
  </si>
  <si>
    <t>Azevinho: arbusto característico da flora de Norte e Montanhas. Floração: Nov-Jan. Componente essencial dos matos e habitats naturais do território lusitano.</t>
  </si>
  <si>
    <t>Azereiro</t>
  </si>
  <si>
    <t>Mai-Jun</t>
  </si>
  <si>
    <t>Aroma suave das flores brancas em racemo; folha de brilho ceroso.</t>
  </si>
  <si>
    <t>Vilar da Veiga</t>
  </si>
  <si>
    <t>Azereiro: árvore autóctone dos bosques de Norte e Montanhas. Floração: Mai-Jun. Essencial para a biodiversidade, oferecendo abrigo e alimento a inúmeras espécies da fauna portuguesa.</t>
  </si>
  <si>
    <t>Terras de Bouro</t>
  </si>
  <si>
    <t>Feto-real</t>
  </si>
  <si>
    <t>Feto Autóctone</t>
  </si>
  <si>
    <t>Mai-Ago</t>
  </si>
  <si>
    <t>Folhas gigantescas (até 2m); adoram a frescura das águas.</t>
  </si>
  <si>
    <t>Rio Laboreiro</t>
  </si>
  <si>
    <t>Feto-real: espécie autóctone presente em Norte e Montanhas. Floração: Mai-Ago. Componente da flora característica do território português, com papel chave nos ecossistemas naturais.</t>
  </si>
  <si>
    <t>Melgaço</t>
  </si>
  <si>
    <t>Drosera</t>
  </si>
  <si>
    <t>Planta Carnívora</t>
  </si>
  <si>
    <t>Jun-Ago</t>
  </si>
  <si>
    <t>"Gotas de orvalho" pegajosas que brilham ao sol para caçar insetos.</t>
  </si>
  <si>
    <t>Turfeiras da Mourela</t>
  </si>
  <si>
    <t>Drosera: espécie autóctone presente em Norte e Montanhas. Floração: Jun-Ago. Componente da flora característica do território português, com papel chave nos ecossistemas naturais.</t>
  </si>
  <si>
    <t>Genciana-das-turfeiras</t>
  </si>
  <si>
    <t>Flor Silvestre</t>
  </si>
  <si>
    <t>O azul mais puro da flora lusa, escondido em prados encharcados.</t>
  </si>
  <si>
    <t>Planalto da Mourela</t>
  </si>
  <si>
    <t>Genciana-das-turfeiras: espécie autóctone presente em Norte e Montanhas. Floração: Jul-Set. Componente da flora característica do território português, com papel chave nos ecossistemas naturais.</t>
  </si>
  <si>
    <t>Teixo</t>
  </si>
  <si>
    <t>Out-Dez</t>
  </si>
  <si>
    <t>Árvores ancestrais; sombra solene; bagas vermelhas (tóxicas).</t>
  </si>
  <si>
    <t>Encruzilhadas do Gerês</t>
  </si>
  <si>
    <t>Teixo: árvore autóctone dos bosques de Norte e Montanhas. Floração: Out-Dez. Essencial para a biodiversidade, oferecendo abrigo e alimento a inúmeras espécies da fauna portuguesa.</t>
  </si>
  <si>
    <t>Murta-dos-matos</t>
  </si>
  <si>
    <t>Arbusto Silvestre</t>
  </si>
  <si>
    <t>Mirtilo silvestre, pequeno e de sabor intenso e ácido.</t>
  </si>
  <si>
    <t>Serra de Montesinho</t>
  </si>
  <si>
    <t>Murta-dos-matos: arbusto característico da flora de Norte e Montanhas. Floração: Jul-Set. Componente essencial dos matos e habitats naturais do território lusitano.</t>
  </si>
  <si>
    <t>Zimbro-anão</t>
  </si>
  <si>
    <t>Ramos rígidos e espinhosos que formam almofadas no chão.</t>
  </si>
  <si>
    <t>Cume da Torre</t>
  </si>
  <si>
    <t>Zimbro-anão: arbusto característico da flora de Serra da Estrela. Floração: Todo o ano. Componente essencial dos matos e habitats naturais do território lusitano.</t>
  </si>
  <si>
    <t>Covilhã</t>
  </si>
  <si>
    <t>Campainha-da-Estrela</t>
  </si>
  <si>
    <t>Pequenas estrelas azuis que brotam entre as fendas das rochas.</t>
  </si>
  <si>
    <t>Planalto Central</t>
  </si>
  <si>
    <t>Campainha-da-Estrela: espécie endémica de Portugal, presente em Serra da Estrela. Floração: Jun-Ago. Protegida pela raridade e valor ecológico único no contexto da flora europeia.</t>
  </si>
  <si>
    <t>Carvalho-negral</t>
  </si>
  <si>
    <t>Folhas com pelos brancos (tom prateado) que resistem ao vento.</t>
  </si>
  <si>
    <t>Vale do Zêzere</t>
  </si>
  <si>
    <t>Carvalho-negral: árvore autóctone dos bosques de Serra da Estrela. Floração: Mai-Jun. Essencial para a biodiversidade, oferecendo abrigo e alimento a inúmeras espécies da fauna portuguesa.</t>
  </si>
  <si>
    <t>Manteigas</t>
  </si>
  <si>
    <t>Narciso-trombeta</t>
  </si>
  <si>
    <t>Flor Autóctone</t>
  </si>
  <si>
    <t>Fev-Abr</t>
  </si>
  <si>
    <t>Tapetes amarelos que anunciam o fim da neve nos prados altos.</t>
  </si>
  <si>
    <t>Covão da Ametade</t>
  </si>
  <si>
    <t>Narciso-trombeta: espécie autóctone presente em Serra da Estrela. Floração: Fev-Abr. Componente da flora característica do território português, com papel chave nos ecossistemas naturais.</t>
  </si>
  <si>
    <t>Genciana-amarela</t>
  </si>
  <si>
    <t>Planta alta (1m+) com flores em andares; raiz muito amarga.</t>
  </si>
  <si>
    <t>Lagoa Comprida</t>
  </si>
  <si>
    <t>Genciana-amarela: espécie autóctone presente em Serra da Estrela. Floração: Jun-Ago. Componente da flora característica do território português, com papel chave nos ecossistemas naturais.</t>
  </si>
  <si>
    <t>Piorno-da-Estrela</t>
  </si>
  <si>
    <t>Arbusto Endémico</t>
  </si>
  <si>
    <t>Perfume doce e intenso que inunda a serra na primavera.</t>
  </si>
  <si>
    <t>Penhas da Saúde</t>
  </si>
  <si>
    <t>Piorno-da-Estrela: arbusto característico da flora de Serra da Estrela. Floração: Mai-Jun. Componente essencial dos matos e habitats naturais do território lusitano.</t>
  </si>
  <si>
    <t>Selo-de-Salomão</t>
  </si>
  <si>
    <t>Flores brancas penduradas como brincos sob as folhas.</t>
  </si>
  <si>
    <t>Bosques de Manteigas</t>
  </si>
  <si>
    <t>Selo-de-Salomão: espécie autóctone presente em Serra da Estrela. Floração: Mai-Jun. Componente da flora característica do território português, com papel chave nos ecossistemas naturais.</t>
  </si>
  <si>
    <t>Cervum</t>
  </si>
  <si>
    <t>Erva Autóctone</t>
  </si>
  <si>
    <t>Verão</t>
  </si>
  <si>
    <t>Erva dura e áspera que forma prados onde pastam as ovelhas.</t>
  </si>
  <si>
    <t>Cumes da Estrela</t>
  </si>
  <si>
    <t>Cervum: espécie autóctone presente em Serra da Estrela. Floração: Verão. Componente da flora característica do território português, com papel chave nos ecossistemas naturais.</t>
  </si>
  <si>
    <t>Tramazeira</t>
  </si>
  <si>
    <t>Cachos de bagas cor-de-laranja vivo, banquete para aves.</t>
  </si>
  <si>
    <t>Nave de Santo António</t>
  </si>
  <si>
    <t>Tramazeira: árvore autóctone dos bosques de Serra da Estrela. Floração: Mai-Jun. Essencial para a biodiversidade, oferecendo abrigo e alimento a inúmeras espécies da fauna portuguesa.</t>
  </si>
  <si>
    <t>Belmonte</t>
  </si>
  <si>
    <t>Esteva-laurifólia</t>
  </si>
  <si>
    <t>Folhas largas e viscosas; flores brancas puras no alto da serra.</t>
  </si>
  <si>
    <t>Encostas Sul da Estrela</t>
  </si>
  <si>
    <t>Esteva-laurifólia: arbusto característico da flora de Serra da Estrela. Floração: Jun-Jul. Componente essencial dos matos e habitats naturais do território lusitano.</t>
  </si>
  <si>
    <t>Rosa-albardeira</t>
  </si>
  <si>
    <t>Mar-Mai</t>
  </si>
  <si>
    <t>A mais bela flor selvagem; cor rosa vibrante, pétalas acetinadas.</t>
  </si>
  <si>
    <t>Rosa-albardeira: espécie autóctone presente em Litoral e Calcários. Floração: Mar-Mai. Componente da flora característica do território português, com papel chave nos ecossistemas naturais.</t>
  </si>
  <si>
    <t>Orquídea-vipa</t>
  </si>
  <si>
    <t>Orquídea Silvestre</t>
  </si>
  <si>
    <t>Desenhos complexos que parecem um rosto de inseto na flor.</t>
  </si>
  <si>
    <t>Orquídea-vipa: espécie autóctone presente em Litoral e Calcários. Floração: Mar-Mai. Componente da flora característica do território português, com papel chave nos ecossistemas naturais.</t>
  </si>
  <si>
    <t>Porto de Mós</t>
  </si>
  <si>
    <t>Carvalho-cerquinho</t>
  </si>
  <si>
    <t>Mar-Abr</t>
  </si>
  <si>
    <t>O restolhar das folhas secas que permanecem no inverno.</t>
  </si>
  <si>
    <t>Serras de Alcobertas</t>
  </si>
  <si>
    <t>Carvalho-cerquinho: árvore autóctone dos bosques de Litoral e Calcários. Floração: Mar-Abr. Essencial para a biodiversidade, oferecendo abrigo e alimento a inúmeras espécies da fauna portuguesa.</t>
  </si>
  <si>
    <t>Rio Maior</t>
  </si>
  <si>
    <t>Alecrim</t>
  </si>
  <si>
    <t>Arbusto Aromático</t>
  </si>
  <si>
    <t>O aroma clássico do mato português ao sol.</t>
  </si>
  <si>
    <t>Cabo Espichel</t>
  </si>
  <si>
    <t>Alecrim: arbusto característico da flora de Litoral e Calcários. Floração: Todo o ano. Componente essencial dos matos e habitats naturais do território lusitano.</t>
  </si>
  <si>
    <t>Sesimbra</t>
  </si>
  <si>
    <t>Medronheiro</t>
  </si>
  <si>
    <t>Fruto granulado, doce quando muito maduro e vermelho.</t>
  </si>
  <si>
    <t>Medronheiro: arbusto característico da flora de Litoral e Calcários. Floração: Out-Dez. Componente essencial dos matos e habitats naturais do território lusitano.</t>
  </si>
  <si>
    <t>Narciso-das-areias</t>
  </si>
  <si>
    <t>Perfume inebriante e doce vindo das dunas no verão.</t>
  </si>
  <si>
    <t>Dunas de S. Jacinto</t>
  </si>
  <si>
    <t>Narciso-das-areias: espécie autóctone presente em Litoral e Calcários. Floração: Jul-Set. Componente da flora característica do território português, com papel chave nos ecossistemas naturais.</t>
  </si>
  <si>
    <t>Camarinha</t>
  </si>
  <si>
    <t>Bagas brancas com sabor a ácido e mar; pérolas da areia.</t>
  </si>
  <si>
    <t>Pinhal de Leiria</t>
  </si>
  <si>
    <t>Camarinha: arbusto característico da flora de Litoral e Calcários. Floração: Mar-Abr. Componente essencial dos matos e habitats naturais do território lusitano.</t>
  </si>
  <si>
    <t>Marinha Grande</t>
  </si>
  <si>
    <t>Esteva-de-Sagres</t>
  </si>
  <si>
    <t>Folhas extremamente brilhantes e pegajosas de resina.</t>
  </si>
  <si>
    <t>Cabo de S. Vicente</t>
  </si>
  <si>
    <t>Esteva-de-Sagres: arbusto característico da flora de Litoral e Calcários. Floração: Mar-Abr. Componente essencial dos matos e habitats naturais do território lusitano.</t>
  </si>
  <si>
    <t>Sagres</t>
  </si>
  <si>
    <t>Pimenteiro-silvestre</t>
  </si>
  <si>
    <t>Bagas de azul metálico que parecem joias artificiais.</t>
  </si>
  <si>
    <t>Mata do Solitário</t>
  </si>
  <si>
    <t>Pimenteiro-silvestre: arbusto característico da flora de Litoral e Calcários. Floração: Fev-Abr. Componente essencial dos matos e habitats naturais do território lusitano.</t>
  </si>
  <si>
    <t>Palmeira-anã</t>
  </si>
  <si>
    <t>Planta Autóctone</t>
  </si>
  <si>
    <t>Abr-Jun</t>
  </si>
  <si>
    <t>Folhas em leque muito rígidas e fibrosas.</t>
  </si>
  <si>
    <t>Pontal da Carrapateira</t>
  </si>
  <si>
    <t>Palmeira-anã: espécie autóctone presente em Litoral e Calcários. Floração: Abr-Jun. Componente da flora característica do território português, com papel chave nos ecossistemas naturais.</t>
  </si>
  <si>
    <t>Dragoeiro</t>
  </si>
  <si>
    <t>Árvore Endémica</t>
  </si>
  <si>
    <t>Tronco que parece uma pata de elefante e seiva vermelha sangue.</t>
  </si>
  <si>
    <t>Jardim Botânico do Funchal</t>
  </si>
  <si>
    <t>Dragoeiro: espécie endémica de Portugal, presente em Arquipélago da Madeira. Floração: Verão. Protegida pela raridade e valor ecológico único no contexto da flora europeia.</t>
  </si>
  <si>
    <t>Massaroco</t>
  </si>
  <si>
    <t>Mar-Ago</t>
  </si>
  <si>
    <t>Torres cónicas de um azul elétrico que atraem abelhas e aves.</t>
  </si>
  <si>
    <t>Eira do Serrado</t>
  </si>
  <si>
    <t>Massaroco: espécie endémica de Portugal, presente em Arquipélago da Madeira. Floração: Mar-Ago. Protegida pela raridade e valor ecológico único no contexto da flora europeia.</t>
  </si>
  <si>
    <t>Til</t>
  </si>
  <si>
    <t>Folhas com pequenas glândulas que libertam um odor característico.</t>
  </si>
  <si>
    <t>Til: espécie endémica de Portugal, presente em Arquipélago da Madeira. Floração: Jul-Set. Protegida pela raridade e valor ecológico único no contexto da flora europeia.</t>
  </si>
  <si>
    <t>Santana</t>
  </si>
  <si>
    <t>Gerânio-da-Madeira</t>
  </si>
  <si>
    <t>Fev-Set</t>
  </si>
  <si>
    <t>A maior "sardinhenta" do mundo; uma explosão de rosa no sub-bosque.</t>
  </si>
  <si>
    <t>Queimadas, Santana</t>
  </si>
  <si>
    <t>Gerânio-da-Madeira: espécie endémica de Portugal, presente em Arquipélago da Madeira. Floração: Fev-Set. Protegida pela raridade e valor ecológico único no contexto da flora europeia.</t>
  </si>
  <si>
    <t>Vinhático</t>
  </si>
  <si>
    <t>Abr-Ago</t>
  </si>
  <si>
    <t>Folhas que morrem em tons de escarlate, tingindo o verde da floresta.</t>
  </si>
  <si>
    <t>Fanal, Porto Moniz</t>
  </si>
  <si>
    <t>Vinhático: espécie endémica de Portugal, presente em Arquipélago da Madeira. Floração: Abr-Ago. Protegida pela raridade e valor ecológico único no contexto da flora europeia.</t>
  </si>
  <si>
    <t>Porto Moniz</t>
  </si>
  <si>
    <t>Isoplexis</t>
  </si>
  <si>
    <t>Flores cor-de-fogo que parecem "dedaleiras" arbustivas e exóticas.</t>
  </si>
  <si>
    <t>Levada do Caldeirão Verde</t>
  </si>
  <si>
    <t>Isoplexis: espécie endémica de Portugal, presente em Arquipélago da Madeira. Floração: Mai-Ago. Protegida pela raridade e valor ecológico único no contexto da flora europeia.</t>
  </si>
  <si>
    <t>Uveira-da-serra</t>
  </si>
  <si>
    <t>O mirtilo da Madeira; bagas escuras, doces e ricas em antioxidantes.</t>
  </si>
  <si>
    <t>Uveira-da-serra: arbusto característico da flora de Arquipélago da Madeira. Floração: Mai-Jun. Componente essencial dos matos e habitats naturais do território lusitano.</t>
  </si>
  <si>
    <t>Musschia</t>
  </si>
  <si>
    <t>Folhas gigantes serradas e flores amareladas em forma de sino.</t>
  </si>
  <si>
    <t>Ribeira da Janela</t>
  </si>
  <si>
    <t>Musschia: espécie endémica de Portugal, presente em Arquipélago da Madeira. Floração: Jun-Set. Protegida pela raridade e valor ecológico único no contexto da flora europeia.</t>
  </si>
  <si>
    <t>Estreleira</t>
  </si>
  <si>
    <t>Mar-Jul</t>
  </si>
  <si>
    <t>Aroma suave a mel das suas flores que parecem margaridas.</t>
  </si>
  <si>
    <t>Estreleira: espécie endémica de Portugal, presente em Arquipélago da Madeira. Floração: Mar-Jul. Protegida pela raridade e valor ecológico único no contexto da flora europeia.</t>
  </si>
  <si>
    <t>Loureiro-da-Madeira</t>
  </si>
  <si>
    <t>Nov-Abr</t>
  </si>
  <si>
    <t>Folhas intensamente aromáticas, usadas na espetada madeirense.</t>
  </si>
  <si>
    <t>Chão dos Louros</t>
  </si>
  <si>
    <t>Loureiro-da-Madeira: espécie endémica de Portugal, presente em Arquipélago da Madeira. Floração: Nov-Abr. Protegida pela raridade e valor ecológico único no contexto da flora europeia.</t>
  </si>
  <si>
    <t>Cedro-do-mato</t>
  </si>
  <si>
    <t>Folhas pequenas e duras que formam copas densas e protegidas.</t>
  </si>
  <si>
    <t>Caldeira Velha, S. Miguel</t>
  </si>
  <si>
    <t>Cedro-do-mato: árvore autóctone dos bosques de Arquipélago dos Açores. Floração: Out-Dez. Essencial para a biodiversidade, oferecendo abrigo e alimento a inúmeras espécies da fauna portuguesa.</t>
  </si>
  <si>
    <t>Ribeira Grande</t>
  </si>
  <si>
    <t>Vidália</t>
  </si>
  <si>
    <t>A "azálea" dos Açores; flores rosa-pálido cerosas nas falésias.</t>
  </si>
  <si>
    <t>Norte do Pico</t>
  </si>
  <si>
    <t>Vidália: espécie endémica de Portugal, presente em Arquipélago dos Açores. Floração: Mai-Ago. Protegida pela raridade e valor ecológico único no contexto da flora europeia.</t>
  </si>
  <si>
    <t>Não-me-esqueças</t>
  </si>
  <si>
    <t>Pequenas flores de um azul-índigo único, raríssimas no mundo.</t>
  </si>
  <si>
    <t>Caldeira das Flores</t>
  </si>
  <si>
    <t>Não-me-esqueças: espécie endémica de Portugal, presente em Arquipélago dos Açores. Floração: Abr-Ago. Protegida pela raridade e valor ecológico único no contexto da flora europeia.</t>
  </si>
  <si>
    <t>Ilha das Flores</t>
  </si>
  <si>
    <t>Feto-de-botão</t>
  </si>
  <si>
    <t>Frondes arqueadas que podem cobrir caminhos inteiros de verde.</t>
  </si>
  <si>
    <t>Terceira — Mistérios</t>
  </si>
  <si>
    <t>Feto-de-botão: espécie autóctone presente em Arquipélago dos Açores. Floração: Todo o ano. Componente da flora característica do território português, com papel chave nos ecossistemas naturais.</t>
  </si>
  <si>
    <t>Queiró</t>
  </si>
  <si>
    <t>Mar-Jun</t>
  </si>
  <si>
    <t>Aroma a mel silvestre; cobre as montanhas de rosa e roxo.</t>
  </si>
  <si>
    <t>Montanha do Pico</t>
  </si>
  <si>
    <t>Queiró: arbusto característico da flora de Arquipélago dos Açores. Floração: Mar-Jun. Componente essencial dos matos e habitats naturais do território lusitano.</t>
  </si>
  <si>
    <t>Uva-da-serra</t>
  </si>
  <si>
    <t>Mai-Jul</t>
  </si>
  <si>
    <t>Bagas negras e sumarentas; as flores parecem pequenos sinos.</t>
  </si>
  <si>
    <t>Sete Cidades, S. Miguel</t>
  </si>
  <si>
    <t>Uva-da-serra: arbusto característico da flora de Arquipélago dos Açores. Floração: Mai-Jul. Componente essencial dos matos e habitats naturais do território lusitano.</t>
  </si>
  <si>
    <t>Pau-branco</t>
  </si>
  <si>
    <t>Casca cinzenta lisa e madeira de uma densidade e brancura raras.</t>
  </si>
  <si>
    <t>Capelinhos, Faial</t>
  </si>
  <si>
    <t>Pau-branco: árvore autóctone dos bosques de Arquipélago dos Açores. Floração: Fev-Abr. Essencial para a biodiversidade, oferecendo abrigo e alimento a inúmeras espécies da fauna portuguesa.</t>
  </si>
  <si>
    <t>Horta</t>
  </si>
  <si>
    <t>Trovisco-macho</t>
  </si>
  <si>
    <t>Estrutura escultural com grandes folhas que vertem látex tóxico.</t>
  </si>
  <si>
    <t>Tronqueira, S. Miguel</t>
  </si>
  <si>
    <t>Trovisco-macho: arbusto característico da flora de Arquipélago dos Açores. Floração: Mai-Jul. Componente essencial dos matos e habitats naturais do território lusitano.</t>
  </si>
  <si>
    <t>Nordeste</t>
  </si>
  <si>
    <t>Lótus-dos-Açores</t>
  </si>
  <si>
    <t>Planta rasteira costeira com flores amarelas que lembram bicos.</t>
  </si>
  <si>
    <t>Fajãs de S. Jorge</t>
  </si>
  <si>
    <t>Lótus-dos-Açores: espécie endémica de Portugal, presente em Arquipélago dos Açores. Floração: Abr-Jun. Protegida pela raridade e valor ecológico único no contexto da flora europeia.</t>
  </si>
  <si>
    <t>Velas</t>
  </si>
  <si>
    <t>Bracejo</t>
  </si>
  <si>
    <t>Gramínea Endémica</t>
  </si>
  <si>
    <t>Gramínea endémica que balança com o vento constante das ilhas.</t>
  </si>
  <si>
    <t>Serra da Lomba, S. Miguel</t>
  </si>
  <si>
    <t>Bracejo: espécie endémica de Portugal, presente em Arquipélago dos Açores. Floração: Jun-Ago. Protegida pela raridade e valor ecológico único no contexto da flora europeia.</t>
  </si>
  <si>
    <t>Tomilho-cabeçudo</t>
  </si>
  <si>
    <t>Erva Aromática</t>
  </si>
  <si>
    <t>Aroma picante e cítrico; endémico do Barrocal algarvio.</t>
  </si>
  <si>
    <t>Tomilho-cabeçudo: espécie autóctone presente em Interior e Sul. Floração: Mai-Jun. Componente da flora característica do território português, com papel chave nos ecossistemas naturais.</t>
  </si>
  <si>
    <t>Salir, Loulé</t>
  </si>
  <si>
    <t>Azinheira</t>
  </si>
  <si>
    <t>A bolota doce, base do ecossistema do Montado.</t>
  </si>
  <si>
    <t>Montado de Redondo</t>
  </si>
  <si>
    <t>Azinheira: árvore autóctone dos bosques de Interior e Sul. Floração: Abr-Mai. Essencial para a biodiversidade, oferecendo abrigo e alimento a inúmeras espécies da fauna portuguesa.</t>
  </si>
  <si>
    <t>Alfazema-brava</t>
  </si>
  <si>
    <t>Aroma fresco a cânfora e lavanda; flores verdes e roxas.</t>
  </si>
  <si>
    <t>Mértola, Vale do Guadiana</t>
  </si>
  <si>
    <t>Alfazema-brava: espécie autóctone presente em Interior e Sul. Floração: Mar-Jun. Componente da flora característica do território português, com papel chave nos ecossistemas naturais.</t>
  </si>
  <si>
    <t>Mértola</t>
  </si>
  <si>
    <t>Narciso-de-outono</t>
  </si>
  <si>
    <t>Set-Nov</t>
  </si>
  <si>
    <t>Flores brancas que brotam da terra seca após as chuvas.</t>
  </si>
  <si>
    <t>Narciso-de-outono: espécie autóctone presente em Interior e Sul. Floração: Set-Nov. Componente da flora característica do território português, com papel chave nos ecossistemas naturais.</t>
  </si>
  <si>
    <t>Murta</t>
  </si>
  <si>
    <t>Folhas brilhantes que estalam; flores de estames longos e brancos.</t>
  </si>
  <si>
    <t>Fonte Benémola</t>
  </si>
  <si>
    <t>Murta: arbusto característico da flora de Interior e Sul. Floração: Jun-Ago. Componente essencial dos matos e habitats naturais do território lusitano.</t>
  </si>
  <si>
    <t>Sanguinho</t>
  </si>
  <si>
    <t>Frutos pretos brilhantes que contrastam com o verde-claro.</t>
  </si>
  <si>
    <t>Serra de Montejunto</t>
  </si>
  <si>
    <t>Sanguinho: arbusto característico da flora de Interior e Sul. Floração: Abr-Jun. Componente essencial dos matos e habitats naturais do território lusitano.</t>
  </si>
  <si>
    <t>Lentisco</t>
  </si>
  <si>
    <t>Arbusto Mediterrâneo</t>
  </si>
  <si>
    <t>A resina "mástique" que lembra o incenso e o mediterrâneo.</t>
  </si>
  <si>
    <t>Lentisco: arbusto característico da flora de Interior e Sul. Floração: Mar-Mai. Componente essencial dos matos e habitats naturais do território lusitano.</t>
  </si>
  <si>
    <t>Estevinha</t>
  </si>
  <si>
    <t>"Neve no mato" - arbustos cobertos de flores brancas pequenas.</t>
  </si>
  <si>
    <t>Alqueva, Mourão</t>
  </si>
  <si>
    <t>Estevinha: arbusto característico da flora de Interior e Sul. Floração: Abr-Jun. Componente essencial dos matos e habitats naturais do território lusitano.</t>
  </si>
  <si>
    <t>Mourão</t>
  </si>
  <si>
    <t>Carrasco</t>
  </si>
  <si>
    <t>Folhas pequenas e muito espinhosas; o carvalho que nunca cresce.</t>
  </si>
  <si>
    <t>Parque Natural Serras de Aire</t>
  </si>
  <si>
    <t>Carrasco: arbusto característico da flora de Interior e Sul. Floração: Abr-Mai. Componente essencial dos matos e habitats naturais do território lusitano.</t>
  </si>
  <si>
    <t>Gilbardeira</t>
  </si>
  <si>
    <t>Jan-Mar</t>
  </si>
  <si>
    <t>Bagas vermelhas "coladas" no meio das folhas; planta de Natal.</t>
  </si>
  <si>
    <t>Condeixa-a-Nova</t>
  </si>
  <si>
    <t>Gilbardeira: arbusto característico da flora de Interior e Sul. Floração: Jan-Mar. Componente essencial dos matos e habitats naturais do território lusitano.</t>
  </si>
  <si>
    <t>Orquídea-piramidal</t>
  </si>
  <si>
    <t>Inflorescência densa em forma de cone, de um rosa choque vibrante.</t>
  </si>
  <si>
    <t>Orquídea-piramidal: espécie autóctone presente em Orquídeas e Ervas Raras. Floração: Abr-Jun. Componente da flora característica do território português, com papel chave nos ecossistemas naturais.</t>
  </si>
  <si>
    <t>Erva-abelha</t>
  </si>
  <si>
    <t>A flor imita perfeitamente o abdómen de uma abelha para enganar polinizadores.</t>
  </si>
  <si>
    <t>Erva-abelha: espécie autóctone presente em Orquídeas e Ervas Raras. Floração: Mar-Mai. Componente da flora característica do território português, com papel chave nos ecossistemas naturais.</t>
  </si>
  <si>
    <t>Orquídea-espelho</t>
  </si>
  <si>
    <t>Centro da flor azul metálico que brilha como um espelho ao sol.</t>
  </si>
  <si>
    <t>Orquídea-espelho: espécie autóctone presente em Orquídeas e Ervas Raras. Floração: Fev-Abr. Componente da flora característica do território português, com papel chave nos ecossistemas naturais.</t>
  </si>
  <si>
    <t>Orquídea-borboleta</t>
  </si>
  <si>
    <t>Flores brancas aladas que parecem pequenos fantasmas ou borboletas.</t>
  </si>
  <si>
    <t>Orquídea-borboleta: espécie autóctone presente em Orquídeas e Ervas Raras. Floração: Abr-Jun. Componente da flora característica do território português, com papel chave nos ecossistemas naturais.</t>
  </si>
  <si>
    <t>Língua-de-cão</t>
  </si>
  <si>
    <t>Erva Silvestre</t>
  </si>
  <si>
    <t>Folhas e flores cobertas de pelos macios que lembram a textura de uma língua.</t>
  </si>
  <si>
    <t>Língua-de-cão: espécie autóctone presente em Orquídeas e Ervas Raras. Floração: Abr-Jun. Componente da flora característica do território português, com papel chave nos ecossistemas naturais.</t>
  </si>
  <si>
    <t>Erva-das-sete-sangrias</t>
  </si>
  <si>
    <t>Erva Medicinal</t>
  </si>
  <si>
    <t>Flores azuis intensas; usada tradicionalmente para "limpar o sangue".</t>
  </si>
  <si>
    <t>Erva-das-sete-sangrias: espécie autóctone presente em Orquídeas e Ervas Raras. Floração: Fev-Mai. Componente da flora característica do território português, com papel chave nos ecossistemas naturais.</t>
  </si>
  <si>
    <t>Tulipa-brava</t>
  </si>
  <si>
    <t>Tulipa amarela solitária que nasce em campos de oliveiras centenárias.</t>
  </si>
  <si>
    <t>Campos de Abrantes</t>
  </si>
  <si>
    <t>Tulipa-brava: espécie autóctone presente em Orquídeas e Ervas Raras. Floração: Mar-Abr. Componente da flora característica do território português, com papel chave nos ecossistemas naturais.</t>
  </si>
  <si>
    <t>Boca-de-lobo</t>
  </si>
  <si>
    <t>Apertas os lados da flor e ela "abre a boca" como um animal.</t>
  </si>
  <si>
    <t>Almeida, Serra da Malcata</t>
  </si>
  <si>
    <t>Boca-de-lobo: espécie autóctone presente em Orquídeas e Ervas Raras. Floração: Mar-Jun. Componente da flora característica do território português, com papel chave nos ecossistemas naturais.</t>
  </si>
  <si>
    <t>Erva-pombinha</t>
  </si>
  <si>
    <t>Flores em forma de espora que lembram pombas a voar.</t>
  </si>
  <si>
    <t>Vale do Guadiana, Moura</t>
  </si>
  <si>
    <t>Erva-pombinha: espécie autóctone presente em Orquídeas e Ervas Raras. Floração: Mar-Jun. Componente da flora característica do território português, com papel chave nos ecossistemas naturais.</t>
  </si>
  <si>
    <t>Dedaleira-amarela</t>
  </si>
  <si>
    <t>Versão rara e elegante da dedaleira comum, em tons de amarelo pálido.</t>
  </si>
  <si>
    <t>Parque Natural Montesinho</t>
  </si>
  <si>
    <t>Dedaleira-amarela: espécie autóctone presente em Orquídeas e Ervas Raras. Floração: Mai-Jul. Componente da flora característica do território português, com papel chave nos ecossistemas naturais.</t>
  </si>
  <si>
    <t>Pancrácio-do-mar</t>
  </si>
  <si>
    <t>Aroma a baunilha que flutua nas dunas nas noites quentes de verão.</t>
  </si>
  <si>
    <t>Pancrácio-do-mar: espécie autóctone presente em Beira-Mar e Dunas. Floração: Jul-Set. Componente da flora característica do território português, com papel chave nos ecossistemas naturais.</t>
  </si>
  <si>
    <t>Arméria-do-mar</t>
  </si>
  <si>
    <t>Pompoms cor-de-rosa que balançam furiosamente com o vento marítimo.</t>
  </si>
  <si>
    <t>Arméria-do-mar: espécie autóctone presente em Beira-Mar e Dunas. Floração: Mar-Jun. Componente da flora característica do território português, com papel chave nos ecossistemas naturais.</t>
  </si>
  <si>
    <t>Cardo-marítimo</t>
  </si>
  <si>
    <t>Folhas azuladas muito rígidas e espinhosas; suportam o sal direto.</t>
  </si>
  <si>
    <t>Cardo-marítimo: espécie autóctone presente em Beira-Mar e Dunas. Floração: Jun-Ago. Componente da flora característica do território português, com papel chave nos ecossistemas naturais.</t>
  </si>
  <si>
    <t>Perpetua-das-areias</t>
  </si>
  <si>
    <t>Um cheiro intenso a caril que emana da planta ao sol.</t>
  </si>
  <si>
    <t>Comporta, Grândola</t>
  </si>
  <si>
    <t>Perpetua-das-areias: espécie autóctone presente em Beira-Mar e Dunas. Floração: Jun-Ago. Componente da flora característica do território português, com papel chave nos ecossistemas naturais.</t>
  </si>
  <si>
    <t>Grândola</t>
  </si>
  <si>
    <t>Cordeirinhos</t>
  </si>
  <si>
    <t>Planta branca e tão aveludada que parece feita de algodão ou lã.</t>
  </si>
  <si>
    <t>Carrapateira, Aljezur</t>
  </si>
  <si>
    <t>Cordeirinhos: espécie autóctone presente em Beira-Mar e Dunas. Floração: Mar-Jun. Componente da flora característica do território português, com papel chave nos ecossistemas naturais.</t>
  </si>
  <si>
    <t>Couve-marinha</t>
  </si>
  <si>
    <t>Grandes campainhas cor-de-rosa que rastejam pela areia branca.</t>
  </si>
  <si>
    <t>Esposende, Braga</t>
  </si>
  <si>
    <t>Couve-marinha: espécie autóctone presente em Beira-Mar e Dunas. Floração: Abr-Jun. Componente da flora característica do território português, com papel chave nos ecossistemas naturais.</t>
  </si>
  <si>
    <t>Sabina-das-praias</t>
  </si>
  <si>
    <t>Aroma a resina de zimbro misturado com o salitre.</t>
  </si>
  <si>
    <t>Mata dos Medos, Caparica</t>
  </si>
  <si>
    <t>Sabina-das-praias: arbusto característico da flora de Beira-Mar e Dunas. Floração: Todo o ano. Componente essencial dos matos e habitats naturais do território lusitano.</t>
  </si>
  <si>
    <t>Piorno-branco</t>
  </si>
  <si>
    <t>Arbusto que se cobre totalmente de branco, parecendo neve junto ao mar.</t>
  </si>
  <si>
    <t>Praia do Guincho</t>
  </si>
  <si>
    <t>Piorno-branco: arbusto característico da flora de Beira-Mar e Dunas. Floração: Abr-Jun. Componente essencial dos matos e habitats naturais do território lusitano.</t>
  </si>
  <si>
    <t>Sempre-noiva</t>
  </si>
  <si>
    <t>Flores minúsculas e secas que parecem papel, em tons de roxo pálido.</t>
  </si>
  <si>
    <t>Ria Formosa, Faro</t>
  </si>
  <si>
    <t>Sempre-noiva: espécie autóctone presente em Beira-Mar e Dunas. Floração: Mai-Ago. Componente da flora característica do território português, com papel chave nos ecossistemas naturais.</t>
  </si>
  <si>
    <t>Salicórnia</t>
  </si>
  <si>
    <t>Planta Halofítica</t>
  </si>
  <si>
    <t>O "sal verde"; planta suculenta salgada usada na alta cozinha.</t>
  </si>
  <si>
    <t>Salinas de Aveiro</t>
  </si>
  <si>
    <t>Salicórnia: espécie autóctone presente em Beira-Mar e Dunas. Floração: Jul-Set. Componente da flora característica do território português, com papel chave nos ecossistemas naturais.</t>
  </si>
  <si>
    <t>Loendro</t>
  </si>
  <si>
    <t>Espetáculo de flores rosas nos leitos secos dos rios do Sul. Tóxica.</t>
  </si>
  <si>
    <t>Ribeira do Vascão</t>
  </si>
  <si>
    <t>Loendro: arbusto característico da flora de Ribeiras e Zonas Húmidas. Floração: Mai-Set. Componente essencial dos matos e habitats naturais do território lusitano.</t>
  </si>
  <si>
    <t>Nenúfar-branco</t>
  </si>
  <si>
    <t>Flor Aquática</t>
  </si>
  <si>
    <t>Flores flutuantes imaculadas que abrem com o sol e fecham à noite.</t>
  </si>
  <si>
    <t>Paul do Boquilobo</t>
  </si>
  <si>
    <t>Nenúfar-branco: planta aquática de Ribeiras e Zonas Húmidas. Floração: Jun-Ago. Espécie fundamental dos ecossistemas ribeirinhos e húmidos de Portugal.</t>
  </si>
  <si>
    <t>Irís-amarelo</t>
  </si>
  <si>
    <t>Lírios amarelos majestosos que marcam a beira dos canais e rios.</t>
  </si>
  <si>
    <t>BioRia, Estarreja</t>
  </si>
  <si>
    <t>Irís-amarelo: espécie autóctone presente em Ribeiras e Zonas Húmidas. Floração: Abr-Jun. Componente da flora característica do território português, com papel chave nos ecossistemas naturais.</t>
  </si>
  <si>
    <t>Hortelã-de-água</t>
  </si>
  <si>
    <t>Jul-Out</t>
  </si>
  <si>
    <t>Um dos aromas mais refrescantes da natureza ao esmagar a folha.</t>
  </si>
  <si>
    <t>Gerês — Rios</t>
  </si>
  <si>
    <t>Hortelã-de-água: espécie autóctone presente em Ribeiras e Zonas Húmidas. Floração: Jul-Out. Componente da flora característica do território português, com papel chave nos ecossistemas naturais.</t>
  </si>
  <si>
    <t>Tabúa</t>
  </si>
  <si>
    <t>Planta Aquática</t>
  </si>
  <si>
    <t>Espigas castanhas que parecem chouriços e libertam "algodão".</t>
  </si>
  <si>
    <t>Tabúa: planta aquática de Ribeiras e Zonas Húmidas. Floração: Jun-Ago. Espécie fundamental dos ecossistemas ribeirinhos e húmidos de Portugal.</t>
  </si>
  <si>
    <t>Tramazeira-ribeirinha</t>
  </si>
  <si>
    <t>Cachos vermelhos que brilham como rubis junto às lagoas de altitude.</t>
  </si>
  <si>
    <t>Serra da Estrela, Lagoa Comprida</t>
  </si>
  <si>
    <t>Tramazeira-ribeirinha: árvore autóctone dos bosques de Ribeiras e Zonas Húmidas. Floração: Mai-Jun. Essencial para a biodiversidade, oferecendo abrigo e alimento a inúmeras espécies da fauna portuguesa.</t>
  </si>
  <si>
    <t>Tamargueira</t>
  </si>
  <si>
    <t>Árvore de aspeto plumoso e rosado que "chora" sal pelas folhas.</t>
  </si>
  <si>
    <t>Ria Formosa, Algarve</t>
  </si>
  <si>
    <t>Tamargueira: árvore autóctone dos bosques de Ribeiras e Zonas Húmidas. Floração: Abr-Jun. Essencial para a biodiversidade, oferecendo abrigo e alimento a inúmeras espécies da fauna portuguesa.</t>
  </si>
  <si>
    <t>Salgueiro-preto</t>
  </si>
  <si>
    <t>Ramos extremamente flexíveis usados na cestaria tradicional.</t>
  </si>
  <si>
    <t>Rio Paiva, Arouca</t>
  </si>
  <si>
    <t>Salgueiro-preto: árvore autóctone dos bosques de Ribeiras e Zonas Húmidas. Floração: Fev-Abr. Essencial para a biodiversidade, oferecendo abrigo e alimento a inúmeras espécies da fauna portuguesa.</t>
  </si>
  <si>
    <t>Língua-de-serpente</t>
  </si>
  <si>
    <t>Feto Silvestre</t>
  </si>
  <si>
    <t>Um feto minúsculo com uma única folha e um espigão.</t>
  </si>
  <si>
    <t>Lagoas de Sines</t>
  </si>
  <si>
    <t>Língua-de-serpente: espécie autóctone presente em Ribeiras e Zonas Húmidas. Floração: Abr-Ago. Componente da flora característica do território português, com papel chave nos ecossistemas naturais.</t>
  </si>
  <si>
    <t>Sines</t>
  </si>
  <si>
    <t>Sabugueiro</t>
  </si>
  <si>
    <t>Flores brancas com aroma doce e almiscarado (faz-se xarope).</t>
  </si>
  <si>
    <t>Sabrosa, Douro</t>
  </si>
  <si>
    <t>Sabugueiro: árvore autóctone dos bosques de Ribeiras e Zonas Húmidas. Floração: Mai-Jun. Essencial para a biodiversidade, oferecendo abrigo e alimento a inúmeras espécies da fauna portuguesa.</t>
  </si>
  <si>
    <t>Rosmaninho</t>
  </si>
  <si>
    <t>O cheiro da Páscoa e das fogueiras de S. João no Alentejo.</t>
  </si>
  <si>
    <t>Rosmaninho: espécie autóctone presente em Ervas de Costumes e Lendas. Floração: Mar-Jun. Componente da flora característica do território português, com papel chave nos ecossistemas naturais.</t>
  </si>
  <si>
    <t>Poio</t>
  </si>
  <si>
    <t>Menta selvagem essencial para o "peixe do rio" no Ribatejo.</t>
  </si>
  <si>
    <t>Constância, Ribatejo</t>
  </si>
  <si>
    <t>Poio: espécie autóctone presente em Ervas de Costumes e Lendas. Floração: Jul-Set. Componente da flora característica do território português, com papel chave nos ecossistemas naturais.</t>
  </si>
  <si>
    <t>Constância</t>
  </si>
  <si>
    <t>Cardo-do-queijo</t>
  </si>
  <si>
    <t>Flor roxa espinhosa; as pétalas (estiletes) coalham o queijo Serra.</t>
  </si>
  <si>
    <t>Cardo-do-queijo: espécie autóctone presente em Ervas de Costumes e Lendas. Floração: Jun-Ago. Componente da flora característica do território português, com papel chave nos ecossistemas naturais.</t>
  </si>
  <si>
    <t>Erva-do-espanto</t>
  </si>
  <si>
    <t>Aroma muito forte e amargo; usada em rituais de proteção.</t>
  </si>
  <si>
    <t>Erva-do-espanto: espécie autóctone presente em Ervas de Costumes e Lendas. Floração: Abr-Jun. Componente da flora característica do território português, com papel chave nos ecossistemas naturais.</t>
  </si>
  <si>
    <t>Alecrim-bravo</t>
  </si>
  <si>
    <t>Aroma resinoso que se cola às mãos; planta de solos pobres.</t>
  </si>
  <si>
    <t>Barrancos</t>
  </si>
  <si>
    <t>Alecrim-bravo: arbusto característico da flora de Ervas de Costumes e Lendas. Floração: Todo o ano. Componente essencial dos matos e habitats naturais do território lusitano.</t>
  </si>
  <si>
    <t>Sanguinária</t>
  </si>
  <si>
    <t>Flores minúsculas brancas; raízes que tingem a água de vermelho.</t>
  </si>
  <si>
    <t>Valongo</t>
  </si>
  <si>
    <t>Sanguinária: espécie autóctone presente em Ervas de Costumes e Lendas. Floração: Mar-Jun. Componente da flora característica do território português, com papel chave nos ecossistemas naturais.</t>
  </si>
  <si>
    <t>Arruda</t>
  </si>
  <si>
    <t>Odor repelente e forte; planta rodeada de superstições.</t>
  </si>
  <si>
    <t>Vila de Rei</t>
  </si>
  <si>
    <t>Arruda: espécie autóctone presente em Ervas de Costumes e Lendas. Floração: Mar-Jul. Componente da flora característica do território português, com papel chave nos ecossistemas naturais.</t>
  </si>
  <si>
    <t>Hipericão-do-Gerês</t>
  </si>
  <si>
    <t>Flores amarelas brilhantes; as folhas parecem furadas quando contra a luz.</t>
  </si>
  <si>
    <t>Cabreiros, Gerês</t>
  </si>
  <si>
    <t>Hipericão-do-Gerês: espécie endémica de Portugal, presente em Ervas de Costumes e Lendas. Floração: Jun-Ago. Protegida pela raridade e valor ecológico único no contexto da flora europeia.</t>
  </si>
  <si>
    <t>Poejo</t>
  </si>
  <si>
    <t>A base da gastronomia alentejana; aroma mentolado profundo.</t>
  </si>
  <si>
    <t>Poejo: espécie autóctone presente em Ervas de Costumes e Lendas. Floração: Jul-Set. Componente da flora característica do território português, com papel chave nos ecossistemas naturais.</t>
  </si>
  <si>
    <t>Carqueja</t>
  </si>
  <si>
    <t>O arroz de carqueja; os caules "alados" têm sabor amargo único.</t>
  </si>
  <si>
    <t>Carqueja: arbusto característico da flora de Ervas de Costumes e Lendas. Floração: Fev-Mai. Componente essencial dos matos e habitats naturais do território lusitano.</t>
  </si>
  <si>
    <t>🌿  110 entradas  ·  Portugal Vivo</t>
  </si>
  <si>
    <t>🧗  AVENTURA E NATUREZA EM PORTUGAL  —  168 entradas</t>
  </si>
  <si>
    <t>Norte · Centro · Lisboa · Alentejo · Algarve · Açores · Madeira  ·  Actividades ao ar livre, Desporto de Natureza e Ecoturismo</t>
  </si>
  <si>
    <t>Nome / POI</t>
  </si>
  <si>
    <t xml:space="preserve">  🟦  NORTE  ·  67 entradas</t>
  </si>
  <si>
    <t>Pena Aventura Park</t>
  </si>
  <si>
    <t>259491035</t>
  </si>
  <si>
    <t>R. do Complexo Turístico, Ribeira de Pena</t>
  </si>
  <si>
    <t>Centro de actividades de aventura em Ribeira de Pena, Norte. Experiências ao ar livre no território português, com guias e equipamento profissional para todos os perfis.</t>
  </si>
  <si>
    <t>DiverLanhoso</t>
  </si>
  <si>
    <t>253635763</t>
  </si>
  <si>
    <t>Lugar de Porto de Bois, Póvoa de Lanhoso</t>
  </si>
  <si>
    <t>Centro de actividades de aventura em Póvoa de Lanhoso, Norte. Experiências ao ar livre no território português, com guias e equipamento profissional para todos os perfis.</t>
  </si>
  <si>
    <t>Passadiços do Paiva</t>
  </si>
  <si>
    <t>256940220</t>
  </si>
  <si>
    <t>Espiunca / Areinho, Arouca</t>
  </si>
  <si>
    <t>Centro de actividades de aventura em Arouca, Norte. Experiências ao ar livre no território português, com guias e equipamento profissional para todos os perfis.</t>
  </si>
  <si>
    <t>Ponte 516 Arouca</t>
  </si>
  <si>
    <t>Alvarenga, Arouca</t>
  </si>
  <si>
    <t>Parque Aquático Amarante</t>
  </si>
  <si>
    <t>255410040</t>
  </si>
  <si>
    <t>R. do Tâmega, Amarante</t>
  </si>
  <si>
    <t>Centro de actividades de aventura em Amarante, Norte. Experiências ao ar livre no território português, com guias e equipamento profissional para todos os perfis.</t>
  </si>
  <si>
    <t>Azurara Parque Aventura</t>
  </si>
  <si>
    <t>936822000</t>
  </si>
  <si>
    <t>R. Padre José Grilo, Vila do Conde</t>
  </si>
  <si>
    <t>Parque de aventura em Vila do Conde, Norte. Circuitos de cordas, tirolesas e pontes suspensas para todas as idades numa floresta natural.</t>
  </si>
  <si>
    <t>Naturwaterpark</t>
  </si>
  <si>
    <t>259309120</t>
  </si>
  <si>
    <t>Quinta do Paço, Vila Real</t>
  </si>
  <si>
    <t>Centro de actividades de aventura em Vila Real, Norte. Experiências ao ar livre no território português, com guias e equipamento profissional para todos os perfis.</t>
  </si>
  <si>
    <t>Tobogã (Canyoning Gerês)</t>
  </si>
  <si>
    <t>915537130</t>
  </si>
  <si>
    <t>Arcos de Valdevez (Gerês)</t>
  </si>
  <si>
    <t>Canyoning em Arcos de Valdevez (Gerês), Norte. Descida de cânions e cascatas em ambiente natural selvagem com guias certificados.</t>
  </si>
  <si>
    <t>Zoo Santo Inácio</t>
  </si>
  <si>
    <t>227878500</t>
  </si>
  <si>
    <t>R. de Santo Inácio, V. N. Gaia</t>
  </si>
  <si>
    <t>Centro de actividades de aventura em V. N. Gaia, Norte. Experiências ao ar livre no território português, com guias e equipamento profissional para todos os perfis.</t>
  </si>
  <si>
    <t>Magikland</t>
  </si>
  <si>
    <t>255712760</t>
  </si>
  <si>
    <t>R. Santo António, Penafiel</t>
  </si>
  <si>
    <t>Centro de actividades de aventura em Penafiel, Norte. Experiências ao ar livre no território português, com guias e equipamento profissional para todos os perfis.</t>
  </si>
  <si>
    <t>Porto Aventura</t>
  </si>
  <si>
    <t>916161642</t>
  </si>
  <si>
    <t>Centro de actividades de aventura em Matosinhos, Norte. Experiências ao ar livre no território português, com guias e equipamento profissional para todos os perfis.</t>
  </si>
  <si>
    <t>Luso Aventura Azibo</t>
  </si>
  <si>
    <t>910185782</t>
  </si>
  <si>
    <t>Albufeira do Azibo, Macedo de Cavaleiros</t>
  </si>
  <si>
    <t>Centro de actividades de aventura em Macedo de Cavaleiros, Norte. Experiências ao ar livre no território português, com guias e equipamento profissional para todos os perfis.</t>
  </si>
  <si>
    <t>Viana Adventure</t>
  </si>
  <si>
    <t>964344444</t>
  </si>
  <si>
    <t>Centro de actividades de aventura em Viana do Castelo, Norte. Experiências ao ar livre no território português, com guias e equipamento profissional para todos os perfis.</t>
  </si>
  <si>
    <t>Perto do Gerês (Náutica)</t>
  </si>
  <si>
    <t>912222333</t>
  </si>
  <si>
    <t>Albufeira da Caniçada, Vieira do Minho</t>
  </si>
  <si>
    <t>Centro de actividades de aventura em Vieira do Minho, Norte. Experiências ao ar livre no território português, com guias e equipamento profissional para todos os perfis.</t>
  </si>
  <si>
    <t>Sentir o Gerês</t>
  </si>
  <si>
    <t>915000500</t>
  </si>
  <si>
    <t>Centro de actividades de aventura em Terras de Bouro, Norte. Experiências ao ar livre no território português, com guias e equipamento profissional para todos os perfis.</t>
  </si>
  <si>
    <t>Melgaço Radical</t>
  </si>
  <si>
    <t>251410100</t>
  </si>
  <si>
    <t>Monção / Melgaço (Rio Minho)</t>
  </si>
  <si>
    <t>Centro de actividades de aventura em Monção / Melgaço (Rio Minho), Norte. Experiências ao ar livre no território português, com guias e equipamento profissional para todos os perfis.</t>
  </si>
  <si>
    <t>Ecovia do Vez</t>
  </si>
  <si>
    <t>258520500</t>
  </si>
  <si>
    <t>Centro de actividades de aventura em Arcos de Valdevez, Norte. Experiências ao ar livre no território português, com guias e equipamento profissional para todos os perfis.</t>
  </si>
  <si>
    <t>Lagoas de Bertiandos</t>
  </si>
  <si>
    <t>258900451</t>
  </si>
  <si>
    <t>Centro de actividades de aventura em Ponte de Lima, Norte. Experiências ao ar livre no território português, com guias e equipamento profissional para todos os perfis.</t>
  </si>
  <si>
    <t>Zoo de Lourosa</t>
  </si>
  <si>
    <t>227459127</t>
  </si>
  <si>
    <t>Centro de actividades de aventura em Santa Maria da Feira, Norte. Experiências ao ar livre no território português, com guias e equipamento profissional para todos os perfis.</t>
  </si>
  <si>
    <t>Parque Biológico Gaia</t>
  </si>
  <si>
    <t>227878120</t>
  </si>
  <si>
    <t>Avintes, V. N. Gaia</t>
  </si>
  <si>
    <t>Cascata do Arado (Gerês)</t>
  </si>
  <si>
    <t>-</t>
  </si>
  <si>
    <t>Ermida, Gerês</t>
  </si>
  <si>
    <t>Centro de actividades de aventura em Gerês, Norte. Experiências ao ar livre no território português, com guias e equipamento profissional para todos os perfis.</t>
  </si>
  <si>
    <t>Fisgas do Ermelo</t>
  </si>
  <si>
    <t>Centro de actividades de aventura em Mondim de Basto, Norte. Experiências ao ar livre no território português, com guias e equipamento profissional para todos os perfis.</t>
  </si>
  <si>
    <t>Centro de actividades de aventura em Bragança, Norte. Experiências ao ar livre no território português, com guias e equipamento profissional para todos os perfis.</t>
  </si>
  <si>
    <t>Douro Internacional</t>
  </si>
  <si>
    <t>273431359</t>
  </si>
  <si>
    <t>Centro de actividades de aventura em Miranda do Douro, Norte. Experiências ao ar livre no território português, com guias e equipamento profissional para todos os perfis.</t>
  </si>
  <si>
    <t>Ponte de Lima Aventura</t>
  </si>
  <si>
    <t>967332211</t>
  </si>
  <si>
    <t>Gerês EquiDesporto</t>
  </si>
  <si>
    <t>919245122</t>
  </si>
  <si>
    <t>Campo do Gerês</t>
  </si>
  <si>
    <t>Centro de actividades de aventura em Campo do Gerês, Norte. Experiências ao ar livre no território português, com guias e equipamento profissional para todos os perfis.</t>
  </si>
  <si>
    <t>Quinta do Casal Condado</t>
  </si>
  <si>
    <t>258742116</t>
  </si>
  <si>
    <t>Facha, Ponte de Lima</t>
  </si>
  <si>
    <t>Aquapark de Fafe</t>
  </si>
  <si>
    <t>253503248</t>
  </si>
  <si>
    <t>Centro de actividades de aventura em Fafe, Norte. Experiências ao ar livre no território português, com guias e equipamento profissional para todos os perfis.</t>
  </si>
  <si>
    <t>Just Come (Rafting)</t>
  </si>
  <si>
    <t>Centro de actividades de aventura em Castelo de Paiva, Norte. Experiências ao ar livre no território português, com guias e equipamento profissional para todos os perfis.</t>
  </si>
  <si>
    <t>Magnífico Douro (Cruzeiro)</t>
  </si>
  <si>
    <t>913612211</t>
  </si>
  <si>
    <t>Pinhão</t>
  </si>
  <si>
    <t>Centro de actividades de aventura em Pinhão, Norte. Experiências ao ar livre no território português, com guias e equipamento profissional para todos os perfis.</t>
  </si>
  <si>
    <t>Badoca Safari Park</t>
  </si>
  <si>
    <t>269708850</t>
  </si>
  <si>
    <t>Centro de actividades de aventura em Vila Nova de Santo André, Sul. Experiências ao ar livre no território português, com guias e equipamento profissional para todos os perfis.</t>
  </si>
  <si>
    <t>Zoomarine Algarve</t>
  </si>
  <si>
    <t>289560300</t>
  </si>
  <si>
    <t>Guia, Albufeira</t>
  </si>
  <si>
    <t>Centro de actividades de aventura em Albufeira, Sul. Experiências ao ar livre no território português, com guias e equipamento profissional para todos os perfis.</t>
  </si>
  <si>
    <t>Aquashow Park</t>
  </si>
  <si>
    <t>289315129</t>
  </si>
  <si>
    <t>Semino, Quarteira</t>
  </si>
  <si>
    <t>Centro de actividades de aventura em Quarteira, Sul. Experiências ao ar livre no território português, com guias e equipamento profissional para todos os perfis.</t>
  </si>
  <si>
    <t>266448130</t>
  </si>
  <si>
    <t>Mora</t>
  </si>
  <si>
    <t>Centro de actividades de aventura em Mora, Sul. Experiências ao ar livre no território português, com guias e equipamento profissional para todos os perfis.</t>
  </si>
  <si>
    <t>Sniper Aventura</t>
  </si>
  <si>
    <t>263652411</t>
  </si>
  <si>
    <t>Samora Correia</t>
  </si>
  <si>
    <t>Centro de actividades de aventura em Samora Correia, Sul. Experiências ao ar livre no território português, com guias e equipamento profissional para todos os perfis.</t>
  </si>
  <si>
    <t>Slide &amp; Splash</t>
  </si>
  <si>
    <t>282340800</t>
  </si>
  <si>
    <t>Estômbar, Lagoa</t>
  </si>
  <si>
    <t>Centro de actividades de aventura em Lagoa, Sul. Experiências ao ar livre no território português, com guias e equipamento profissional para todos os perfis.</t>
  </si>
  <si>
    <t>Amieira Marina (Alqueva)</t>
  </si>
  <si>
    <t>266611101</t>
  </si>
  <si>
    <t>Portel (Alqueva)</t>
  </si>
  <si>
    <t>Centro de actividades de aventura em Portel (Alqueva), Sul. Experiências ao ar livre no território português, com guias e equipamento profissional para todos os perfis.</t>
  </si>
  <si>
    <t>Autódromo Internacional Algarve</t>
  </si>
  <si>
    <t>282405600</t>
  </si>
  <si>
    <t>Centro de actividades de aventura em Portimão, Sul. Experiências ao ar livre no território português, com guias e equipamento profissional para todos os perfis.</t>
  </si>
  <si>
    <t>Rota Vicentina</t>
  </si>
  <si>
    <t>283327669</t>
  </si>
  <si>
    <t>Centro de actividades de aventura em Odemira, Sul. Experiências ao ar livre no território português, com guias e equipamento profissional para todos os perfis.</t>
  </si>
  <si>
    <t>Parque Aventura Albufeira</t>
  </si>
  <si>
    <t>913185782</t>
  </si>
  <si>
    <t>Parque de aventura em Albufeira, Sul. Circuitos de cordas, tirolesas e pontes suspensas para todas as idades numa floresta natural.</t>
  </si>
  <si>
    <t>Monte Selvagem</t>
  </si>
  <si>
    <t>265894377</t>
  </si>
  <si>
    <t>Lavre, Montemor</t>
  </si>
  <si>
    <t>Centro de actividades de aventura em Montemor, Sul. Experiências ao ar livre no território português, com guias e equipamento profissional para todos os perfis.</t>
  </si>
  <si>
    <t>Azenhas da Seda</t>
  </si>
  <si>
    <t>245611113</t>
  </si>
  <si>
    <t>Cabeço de Vide</t>
  </si>
  <si>
    <t>Centro de actividades de aventura em Cabeço de Vide, Sul. Experiências ao ar livre no território português, com guias e equipamento profissional para todos os perfis.</t>
  </si>
  <si>
    <t>Alentejo Survival</t>
  </si>
  <si>
    <t>961405848</t>
  </si>
  <si>
    <t>Cercal do Alentejo</t>
  </si>
  <si>
    <t>Centro de actividades de aventura em Cercal do Alentejo, Sul. Experiências ao ar livre no território português, com guias e equipamento profissional para todos os perfis.</t>
  </si>
  <si>
    <t>Pulo do Lobo (Mértola)</t>
  </si>
  <si>
    <t>Centro de actividades de aventura em Mértola, Sul. Experiências ao ar livre no território português, com guias e equipamento profissional para todos os perfis.</t>
  </si>
  <si>
    <t>BTT Almodôvar</t>
  </si>
  <si>
    <t>286660600</t>
  </si>
  <si>
    <t>Almodôvar</t>
  </si>
  <si>
    <t>Circuito de BTT em Almodôvar, Sul. Trilhos técnicos e familiares através de paisagem natural autêntica, com aluguer e apoio especializado.</t>
  </si>
  <si>
    <t>Skydive Portugal</t>
  </si>
  <si>
    <t>911505520</t>
  </si>
  <si>
    <t>Centro de actividades de aventura em Évora, Sul. Experiências ao ar livre no território português, com guias e equipamento profissional para todos os perfis.</t>
  </si>
  <si>
    <t>Parque Aventura Lagos</t>
  </si>
  <si>
    <t>Meia Praia, Lagos</t>
  </si>
  <si>
    <t>Parque de aventura em Lagos, Sul. Circuitos de cordas, tirolesas e pontes suspensas para todas as idades numa floresta natural.</t>
  </si>
  <si>
    <t>Karting Almancil</t>
  </si>
  <si>
    <t>911901910</t>
  </si>
  <si>
    <t>Almancil</t>
  </si>
  <si>
    <t>Centro de actividades de aventura em Almancil, Sul. Experiências ao ar livre no território português, com guias e equipamento profissional para todos os perfis.</t>
  </si>
  <si>
    <t>Krazy World Zoo</t>
  </si>
  <si>
    <t>282574134</t>
  </si>
  <si>
    <t>Algoz</t>
  </si>
  <si>
    <t>Centro de actividades de aventura em Algoz, Sul. Experiências ao ar livre no território português, com guias e equipamento profissional para todos os perfis.</t>
  </si>
  <si>
    <t>Wildwatch Algarve</t>
  </si>
  <si>
    <t>919031388</t>
  </si>
  <si>
    <t>Ferragudo</t>
  </si>
  <si>
    <t>Centro de actividades de aventura em Ferragudo, Sul. Experiências ao ar livre no território português, com guias e equipamento profissional para todos os perfis.</t>
  </si>
  <si>
    <t>Ria Formosa (Quinta de Marim)</t>
  </si>
  <si>
    <t>Centro de actividades de aventura em Olhão, Sul. Experiências ao ar livre no território português, com guias e equipamento profissional para todos os perfis.</t>
  </si>
  <si>
    <t>Algarve Buggy Tours</t>
  </si>
  <si>
    <t>916230400</t>
  </si>
  <si>
    <t>Centro de actividades de aventura em Loulé, Sul. Experiências ao ar livre no território português, com guias e equipamento profissional para todos os perfis.</t>
  </si>
  <si>
    <t>Luso Aventura VRSA</t>
  </si>
  <si>
    <t>Vila Real de Santo António</t>
  </si>
  <si>
    <t>Centro de actividades de aventura em Vila Real de Santo António, Sul. Experiências ao ar livre no território português, com guias e equipamento profissional para todos os perfis.</t>
  </si>
  <si>
    <t>Galeado Cavalo</t>
  </si>
  <si>
    <t>962411961</t>
  </si>
  <si>
    <t>V. N. Milfontes</t>
  </si>
  <si>
    <t>Centro de actividades de aventura em V. N. Milfontes, Sul. Experiências ao ar livre no território português, com guias e equipamento profissional para todos os perfis.</t>
  </si>
  <si>
    <t>Surf Milfontes</t>
  </si>
  <si>
    <t>965241120</t>
  </si>
  <si>
    <t>Praia do Malhão</t>
  </si>
  <si>
    <t>Centro de actividades de aventura em Praia do Malhão, Sul. Experiências ao ar livre no território português, com guias e equipamento profissional para todos os perfis.</t>
  </si>
  <si>
    <t>Eco-Park Alentejo</t>
  </si>
  <si>
    <t>269448000</t>
  </si>
  <si>
    <t>Centro de actividades de aventura em Grândola, Sul. Experiências ao ar livre no território português, com guias e equipamento profissional para todos os perfis.</t>
  </si>
  <si>
    <t>Ribatejo Aventura</t>
  </si>
  <si>
    <t>919444333</t>
  </si>
  <si>
    <t>Centro de actividades de aventura em Coruche, Sul. Experiências ao ar livre no território português, com guias e equipamento profissional para todos os perfis.</t>
  </si>
  <si>
    <t>Algarve Adventure (Aljezur)</t>
  </si>
  <si>
    <t>282098126</t>
  </si>
  <si>
    <t>Centro de actividades de aventura em Aljezur, Sul. Experiências ao ar livre no território português, com guias e equipamento profissional para todos os perfis.</t>
  </si>
  <si>
    <t>Family Golf Park</t>
  </si>
  <si>
    <t>289300800</t>
  </si>
  <si>
    <t>Vilamoura</t>
  </si>
  <si>
    <t>Centro de actividades de aventura em Vilamoura, Sul. Experiências ao ar livre no território português, com guias e equipamento profissional para todos os perfis.</t>
  </si>
  <si>
    <t>Tours &amp; Tracks</t>
  </si>
  <si>
    <t>289589048</t>
  </si>
  <si>
    <t>Tobogã — Canyoning Gerês</t>
  </si>
  <si>
    <t>Canyoning em Arcos de Valdevez, Norte. Descida de cânions e cascatas em ambiente natural selvagem com guias certificados.</t>
  </si>
  <si>
    <t>Porto Aventura (Matosinhos)</t>
  </si>
  <si>
    <t>Rua de Tomar, Matosinhos</t>
  </si>
  <si>
    <t>Perto do Gerês</t>
  </si>
  <si>
    <t>Pulo do Lobo — Mértola</t>
  </si>
  <si>
    <t>Amieira Marina</t>
  </si>
  <si>
    <t>Amieira, Portel</t>
  </si>
  <si>
    <t>Centro de actividades de aventura em Portel, Sul. Experiências ao ar livre no território português, com guias e equipamento profissional para todos os perfis.</t>
  </si>
  <si>
    <t>Autódromo Internacional do Algarve</t>
  </si>
  <si>
    <t xml:space="preserve">  🟨  CENTRO  ·  38 entradas</t>
  </si>
  <si>
    <t>Grutas de Mira de Aire</t>
  </si>
  <si>
    <t>244440322</t>
  </si>
  <si>
    <t>Av. Dr. Luciano Justo Ramos, Mira de Aire</t>
  </si>
  <si>
    <t>Centro de actividades de aventura em Mira de Aire, Centro. Experiências ao ar livre no território português, com guias e equipamento profissional para todos os perfis.</t>
  </si>
  <si>
    <t>Sky Garden Coimbra</t>
  </si>
  <si>
    <t>912552234</t>
  </si>
  <si>
    <t>Jardim Botânico da UC, Coimbra</t>
  </si>
  <si>
    <t>Centro de actividades de aventura em Coimbra, Centro. Experiências ao ar livre no território português, com guias e equipamento profissional para todos os perfis.</t>
  </si>
  <si>
    <t>Passadiços do Mondego</t>
  </si>
  <si>
    <t>271205530</t>
  </si>
  <si>
    <t>Centro de actividades de aventura em Guarda, Centro. Experiências ao ar livre no território português, com guias e equipamento profissional para todos os perfis.</t>
  </si>
  <si>
    <t>Parque dos Monges</t>
  </si>
  <si>
    <t>262581305</t>
  </si>
  <si>
    <t>R. de Chiqueda, Alcobaça</t>
  </si>
  <si>
    <t>Centro de actividades de aventura em Alcobaça, Centro. Experiências ao ar livre no território português, com guias e equipamento profissional para todos os perfis.</t>
  </si>
  <si>
    <t>O Pioneiro (Canoagem)</t>
  </si>
  <si>
    <t>914911314</t>
  </si>
  <si>
    <t>Praia Fluvial da Ronqueira, Penacova</t>
  </si>
  <si>
    <t>Canoagem e kayak em Penacova, Centro. Descida de rio ou exploração de lagoa em contacto com a natureza ribeirinha, adequada para grupos e famílias.</t>
  </si>
  <si>
    <t>Estância de Ski Estrela</t>
  </si>
  <si>
    <t>275310300</t>
  </si>
  <si>
    <t>Torre, Serra da Estrela</t>
  </si>
  <si>
    <t>Centro de actividades de aventura em Serra da Estrela, Centro. Experiências ao ar livre no território português, com guias e equipamento profissional para todos os perfis.</t>
  </si>
  <si>
    <t>Mata do Buçaco</t>
  </si>
  <si>
    <t>231937000</t>
  </si>
  <si>
    <t>Luso, Mealhada</t>
  </si>
  <si>
    <t>Centro de actividades de aventura em Mealhada, Centro. Experiências ao ar livre no território português, com guias e equipamento profissional para todos os perfis.</t>
  </si>
  <si>
    <t>Penedo Furado (Vila de Rei)</t>
  </si>
  <si>
    <t>274890010</t>
  </si>
  <si>
    <t>Centro de actividades de aventura em Vila de Rei, Centro. Experiências ao ar livre no território português, com guias e equipamento profissional para todos os perfis.</t>
  </si>
  <si>
    <t>Ohai Nazaré Resort</t>
  </si>
  <si>
    <t>262561800</t>
  </si>
  <si>
    <t>EN 242, Nazaré</t>
  </si>
  <si>
    <t>Centro de actividades de aventura em Nazaré, Centro. Experiências ao ar livre no território português, com guias e equipamento profissional para todos os perfis.</t>
  </si>
  <si>
    <t>Pena d'Água Aventura</t>
  </si>
  <si>
    <t>966480341</t>
  </si>
  <si>
    <t>R. Santo António, Covilhã</t>
  </si>
  <si>
    <t>Centro de actividades de aventura em Covilhã, Centro. Experiências ao ar livre no território português, com guias e equipamento profissional para todos os perfis.</t>
  </si>
  <si>
    <t>Grutas da Moeda</t>
  </si>
  <si>
    <t>244703838</t>
  </si>
  <si>
    <t>S. Mamede, Fátima</t>
  </si>
  <si>
    <t>Centro de actividades de aventura em Fátima, Centro. Experiências ao ar livre no território português, com guias e equipamento profissional para todos os perfis.</t>
  </si>
  <si>
    <t>Grutas de Santo António</t>
  </si>
  <si>
    <t>244440853</t>
  </si>
  <si>
    <t>Alvados, Porto de Mós</t>
  </si>
  <si>
    <t>Centro de actividades de aventura em Porto de Mós, Centro. Experiências ao ar livre no território português, com guias e equipamento profissional para todos os perfis.</t>
  </si>
  <si>
    <t>Parque Biológico Lousã</t>
  </si>
  <si>
    <t>239530140</t>
  </si>
  <si>
    <t>Miranda do Corvo</t>
  </si>
  <si>
    <t>Centro de actividades de aventura em Miranda do Corvo, Centro. Experiências ao ar livre no território português, com guias e equipamento profissional para todos os perfis.</t>
  </si>
  <si>
    <t>Passadiços do Orvalho</t>
  </si>
  <si>
    <t>272610330</t>
  </si>
  <si>
    <t>Orvalho, Oleiros</t>
  </si>
  <si>
    <t>Centro de actividades de aventura em Oleiros, Centro. Experiências ao ar livre no território português, com guias e equipamento profissional para todos os perfis.</t>
  </si>
  <si>
    <t>Vela 2000 (Castelo do Bode)</t>
  </si>
  <si>
    <t>917212905</t>
  </si>
  <si>
    <t>Castelo do Bode, Tomar</t>
  </si>
  <si>
    <t>Centro de actividades de aventura em Tomar, Centro. Experiências ao ar livre no território português, com guias e equipamento profissional para todos os perfis.</t>
  </si>
  <si>
    <t>Transserrano (Góis)</t>
  </si>
  <si>
    <t>235778938</t>
  </si>
  <si>
    <t>Centro de actividades de aventura em Góis, Centro. Experiências ao ar livre no território português, com guias e equipamento profissional para todos os perfis.</t>
  </si>
  <si>
    <t>Salinas de Rio Maior</t>
  </si>
  <si>
    <t>243991121</t>
  </si>
  <si>
    <t>Centro de actividades de aventura em Rio Maior, Centro. Experiências ao ar livre no território português, com guias e equipamento profissional para todos os perfis.</t>
  </si>
  <si>
    <t>Centro de actividades de aventura em Castelo Branco, Centro. Experiências ao ar livre no território português, com guias e equipamento profissional para todos os perfis.</t>
  </si>
  <si>
    <t>Sportágua (Peniche)</t>
  </si>
  <si>
    <t>262789125</t>
  </si>
  <si>
    <t>Peniche</t>
  </si>
  <si>
    <t>Centro de actividades de aventura em Peniche, Centro. Experiências ao ar livre no território português, com guias e equipamento profissional para todos os perfis.</t>
  </si>
  <si>
    <t>Promar Porto Novo</t>
  </si>
  <si>
    <t>261980000</t>
  </si>
  <si>
    <t>Torres Vedras</t>
  </si>
  <si>
    <t>Centro de actividades de aventura em Torres Vedras, Centro. Experiências ao ar livre no território português, com guias e equipamento profissional para todos os perfis.</t>
  </si>
  <si>
    <t>235200137</t>
  </si>
  <si>
    <t>Arganil</t>
  </si>
  <si>
    <t>Centro de actividades de aventura em Arganil, Centro. Experiências ao ar livre no território português, com guias e equipamento profissional para todos os perfis.</t>
  </si>
  <si>
    <t>Aldeia do Talasnal</t>
  </si>
  <si>
    <t>239990010</t>
  </si>
  <si>
    <t>Centro de actividades de aventura em Serra da Lousã, Centro. Experiências ao ar livre no território português, com guias e equipamento profissional para todos os perfis.</t>
  </si>
  <si>
    <t>Borboletário de Ceira</t>
  </si>
  <si>
    <t>239703897</t>
  </si>
  <si>
    <t>Ciência Viva Constância</t>
  </si>
  <si>
    <t>249730060</t>
  </si>
  <si>
    <t>Centro de actividades de aventura em Constância, Centro. Experiências ao ar livre no território português, com guias e equipamento profissional para todos os perfis.</t>
  </si>
  <si>
    <t>Reserva da Malcata</t>
  </si>
  <si>
    <t>271750080</t>
  </si>
  <si>
    <t>Sabugal</t>
  </si>
  <si>
    <t>Centro de actividades de aventura em Sabugal, Centro. Experiências ao ar livre no território português, com guias e equipamento profissional para todos os perfis.</t>
  </si>
  <si>
    <t>Praia Fluvial de Loriga</t>
  </si>
  <si>
    <t>238953124</t>
  </si>
  <si>
    <t>Centro de actividades de aventura em Seia, Centro. Experiências ao ar livre no território português, com guias e equipamento profissional para todos os perfis.</t>
  </si>
  <si>
    <t>Adventure Park Leiria</t>
  </si>
  <si>
    <t>211519450</t>
  </si>
  <si>
    <t>São Pedro de Moel</t>
  </si>
  <si>
    <t>Centro de actividades de aventura em São Pedro de Moel, Centro. Experiências ao ar livre no território português, com guias e equipamento profissional para todos os perfis.</t>
  </si>
  <si>
    <t>O Pioneiro — Canoagem Mondego</t>
  </si>
  <si>
    <t>Penedo Furado</t>
  </si>
  <si>
    <t>Grutas de Santo António (Porto de Mós)</t>
  </si>
  <si>
    <t>Parque Biológico da Lousã</t>
  </si>
  <si>
    <t>Vela 2000 — Castelo do Bode</t>
  </si>
  <si>
    <t>Transserrano</t>
  </si>
  <si>
    <t>Haliotis — Mergulho Peniche</t>
  </si>
  <si>
    <t>262781160</t>
  </si>
  <si>
    <t>Sportagua Peniche</t>
  </si>
  <si>
    <t>Aldeia do Talasnal — Xisto</t>
  </si>
  <si>
    <t>Estância de Ski Serra da Estrela</t>
  </si>
  <si>
    <t>Naturtejo Geopark</t>
  </si>
  <si>
    <t>Dino Parque Lourinhã</t>
  </si>
  <si>
    <t>261410040</t>
  </si>
  <si>
    <t>R. Vale dos Dinossauros, Lourinhã</t>
  </si>
  <si>
    <t>Centro de actividades de aventura em Lourinhã, Lisboa. Experiências ao ar livre no território português, com guias e equipamento profissional para todos os perfis.</t>
  </si>
  <si>
    <t>Feeling Berlengas</t>
  </si>
  <si>
    <t>916230457</t>
  </si>
  <si>
    <t>Porto de Peniche</t>
  </si>
  <si>
    <t>Centro de actividades de aventura em Porto de Peniche, Lisboa. Experiências ao ar livre no território português, com guias e equipamento profissional para todos os perfis.</t>
  </si>
  <si>
    <t>Haliotis Peniche</t>
  </si>
  <si>
    <t>Centro de actividades de aventura em Peniche, Lisboa. Experiências ao ar livre no território português, com guias e equipamento profissional para todos os perfis.</t>
  </si>
  <si>
    <t xml:space="preserve">  🟪  AÇORES  ·  38 entradas</t>
  </si>
  <si>
    <t>Terra Nostra (Furnas)</t>
  </si>
  <si>
    <t>296549060</t>
  </si>
  <si>
    <t>Furnas, S. Miguel</t>
  </si>
  <si>
    <t>Centro de actividades de aventura em S. Miguel, Açores. Experiências ao ar livre no território português, com guias e equipamento profissional para todos os perfis.</t>
  </si>
  <si>
    <t>Algar do Carvão</t>
  </si>
  <si>
    <t>295212992</t>
  </si>
  <si>
    <t>Centro de actividades de aventura em Angra do Heroísmo, Açores. Experiências ao ar livre no território português, com guias e equipamento profissional para todos os perfis.</t>
  </si>
  <si>
    <t>292241120</t>
  </si>
  <si>
    <t>Centro de actividades de aventura em Pico, Açores. Experiências ao ar livre no território português, com guias e equipamento profissional para todos os perfis.</t>
  </si>
  <si>
    <t>Caldeira Velha</t>
  </si>
  <si>
    <t>296702130</t>
  </si>
  <si>
    <t>Centro de actividades de aventura em Ribeira Grande, Açores. Experiências ao ar livre no território português, com guias e equipamento profissional para todos os perfis.</t>
  </si>
  <si>
    <t>Picos de Aventura</t>
  </si>
  <si>
    <t>296283288</t>
  </si>
  <si>
    <t>Centro de actividades de aventura em Ponta Delgada, Açores. Experiências ao ar livre no território português, com guias e equipamento profissional para todos os perfis.</t>
  </si>
  <si>
    <t>Vulcão dos Capelinhos</t>
  </si>
  <si>
    <t>292200470</t>
  </si>
  <si>
    <t>Capelo, Faial</t>
  </si>
  <si>
    <t>Centro de actividades de aventura em Faial, Açores. Experiências ao ar livre no território português, com guias e equipamento profissional para todos os perfis.</t>
  </si>
  <si>
    <t>292623831</t>
  </si>
  <si>
    <t>Criação Velha, Pico</t>
  </si>
  <si>
    <t>Poço da Alagoinha</t>
  </si>
  <si>
    <t>Centro de actividades de aventura em Flores, Açores. Experiências ao ar livre no território português, com guias e equipamento profissional para todos os perfis.</t>
  </si>
  <si>
    <t>Gruta do Carvão</t>
  </si>
  <si>
    <t>296284155</t>
  </si>
  <si>
    <t>Ribeira dos Caldeirões</t>
  </si>
  <si>
    <t>Lagoa do Fogo</t>
  </si>
  <si>
    <t>S. Miguel</t>
  </si>
  <si>
    <t>Salto do Prego</t>
  </si>
  <si>
    <t>Faial da Terra</t>
  </si>
  <si>
    <t>Centro de actividades de aventura em Faial da Terra, Açores. Experiências ao ar livre no território português, com guias e equipamento profissional para todos os perfis.</t>
  </si>
  <si>
    <t>Gruta do Natal</t>
  </si>
  <si>
    <t>Centro de actividades de aventura em Ilha Terceira, Açores. Experiências ao ar livre no território português, com guias e equipamento profissional para todos os perfis.</t>
  </si>
  <si>
    <t>Monte Brasil</t>
  </si>
  <si>
    <t>OceanEmotion</t>
  </si>
  <si>
    <t>295216014</t>
  </si>
  <si>
    <t>Espaço Talassa (Cetáceos)</t>
  </si>
  <si>
    <t>292672010</t>
  </si>
  <si>
    <t>Centro de actividades de aventura em Lajes do Pico, Açores. Experiências ao ar livre no território português, com guias e equipamento profissional para todos os perfis.</t>
  </si>
  <si>
    <t>Fajã de Santo Cristo</t>
  </si>
  <si>
    <t>S. Jorge</t>
  </si>
  <si>
    <t>Centro de actividades de aventura em S. Jorge, Açores. Experiências ao ar livre no território português, com guias e equipamento profissional para todos os perfis.</t>
  </si>
  <si>
    <t>Aventuras da Ilha</t>
  </si>
  <si>
    <t>912500600</t>
  </si>
  <si>
    <t>Peter Café Sport</t>
  </si>
  <si>
    <t>292292327</t>
  </si>
  <si>
    <t>Poço do Bacalhau</t>
  </si>
  <si>
    <t>Fajã Grande, Flores</t>
  </si>
  <si>
    <t>Extremocidente</t>
  </si>
  <si>
    <t>912000000</t>
  </si>
  <si>
    <t>Caldeirão do Corvo</t>
  </si>
  <si>
    <t>Ilha do Corvo</t>
  </si>
  <si>
    <t>Centro de actividades de aventura em Ilha do Corvo, Açores. Experiências ao ar livre no território português, com guias e equipamento profissional para todos os perfis.</t>
  </si>
  <si>
    <t>Baía da Maia (S. Maria)</t>
  </si>
  <si>
    <t>S. Maria</t>
  </si>
  <si>
    <t>Centro de actividades de aventura em S. Maria, Açores. Experiências ao ar livre no território português, com guias e equipamento profissional para todos os perfis.</t>
  </si>
  <si>
    <t>Dalberto Tours (S. Maria)</t>
  </si>
  <si>
    <t>914500500</t>
  </si>
  <si>
    <t>Azores Park</t>
  </si>
  <si>
    <t>912250500</t>
  </si>
  <si>
    <t>Furnas do Enxofre</t>
  </si>
  <si>
    <t>Cella Bar</t>
  </si>
  <si>
    <t>292623654</t>
  </si>
  <si>
    <t>Pinhal da Paz</t>
  </si>
  <si>
    <t>296204400</t>
  </si>
  <si>
    <t>Futurismo (Sete Cidades)</t>
  </si>
  <si>
    <t>296628522</t>
  </si>
  <si>
    <t>Gruta do Carvão (S. Miguel)</t>
  </si>
  <si>
    <t>Ponta Delgada, S. Miguel</t>
  </si>
  <si>
    <t>Gruta do Natal (Terceira)</t>
  </si>
  <si>
    <t>OceanEmotion (Terceira)</t>
  </si>
  <si>
    <t>Centro de actividades de aventura em Terceira, Açores. Experiências ao ar livre no território português, com guias e equipamento profissional para todos os perfis.</t>
  </si>
  <si>
    <t>Aventuras da Ilha (S. Jorge)</t>
  </si>
  <si>
    <t>Peter Café Sport (Faial)</t>
  </si>
  <si>
    <t>Poço do Bacalhau (Flores)</t>
  </si>
  <si>
    <t>Extremocidente (Flores)</t>
  </si>
  <si>
    <t>Espaço Talassa</t>
  </si>
  <si>
    <t xml:space="preserve">  🟫  MADEIRA  ·  22 entradas</t>
  </si>
  <si>
    <t>Parque Temático da Madeira</t>
  </si>
  <si>
    <t>291570410</t>
  </si>
  <si>
    <t>Centro de actividades de aventura em Santana, Madeira. Experiências ao ar livre no território português, com guias e equipamento profissional para todos os perfis.</t>
  </si>
  <si>
    <t>Parque Florestal das Queimadas</t>
  </si>
  <si>
    <t>924441543</t>
  </si>
  <si>
    <t>EPIC Madeira (BTT / Levadas)</t>
  </si>
  <si>
    <t>913988682</t>
  </si>
  <si>
    <t>Circuito de BTT em Funchal, Madeira. Trilhos técnicos e familiares através de paisagem natural autêntica, com aluguer e apoio especializado.</t>
  </si>
  <si>
    <t>Aquaparque da Madeira</t>
  </si>
  <si>
    <t>291890120</t>
  </si>
  <si>
    <t>Santa Cruz</t>
  </si>
  <si>
    <t>Centro de actividades de aventura em Santa Cruz, Madeira. Experiências ao ar livre no território português, com guias e equipamento profissional para todos os perfis.</t>
  </si>
  <si>
    <t>Levada das 25 Fontes</t>
  </si>
  <si>
    <t>Rabacal, Calheta</t>
  </si>
  <si>
    <t>Centro de actividades de aventura em Calheta, Madeira. Experiências ao ar livre no território português, com guias e equipamento profissional para todos os perfis.</t>
  </si>
  <si>
    <t>Piscinas Naturais Porto Moniz</t>
  </si>
  <si>
    <t>Centro de actividades de aventura em Porto Moniz, Madeira. Experiências ao ar livre no território português, com guias e equipamento profissional para todos os perfis.</t>
  </si>
  <si>
    <t>Grutas de São Vicente</t>
  </si>
  <si>
    <t>291842410</t>
  </si>
  <si>
    <t>São Vicente, Madeira</t>
  </si>
  <si>
    <t>Centro de actividades de aventura em Madeira, Madeira. Experiências ao ar livre no território português, com guias e equipamento profissional para todos os perfis.</t>
  </si>
  <si>
    <t>Fajã dos Padres</t>
  </si>
  <si>
    <t>291944538</t>
  </si>
  <si>
    <t>Quinta Grande, Madeira</t>
  </si>
  <si>
    <t>Fanal — Laurissilva</t>
  </si>
  <si>
    <t>Porto Moniz, Madeira</t>
  </si>
  <si>
    <t>Porto Santo Tours</t>
  </si>
  <si>
    <t>291982516</t>
  </si>
  <si>
    <t>Porto Santo, Madeira</t>
  </si>
  <si>
    <t>Aquaparque Madeira</t>
  </si>
  <si>
    <t>Santa Cruz, Madeira</t>
  </si>
  <si>
    <t>VMT Catamarã — Funchal</t>
  </si>
  <si>
    <t>291210333</t>
  </si>
  <si>
    <t>Marina do Funchal, Madeira</t>
  </si>
  <si>
    <t>Cabo Girão — Skywalk</t>
  </si>
  <si>
    <t>Madeira Adventure Kingdom</t>
  </si>
  <si>
    <t>918080557</t>
  </si>
  <si>
    <t>Centro de actividades de aventura em Funchal, Madeira. Experiências ao ar livre no território português, com guias e equipamento profissional para todos os perfis.</t>
  </si>
  <si>
    <t>Madeira Sidecar Tours</t>
  </si>
  <si>
    <t>968433133</t>
  </si>
  <si>
    <t>Madeira Paragliding</t>
  </si>
  <si>
    <t>965024163</t>
  </si>
  <si>
    <t>Arco da Calheta</t>
  </si>
  <si>
    <t>Centro de actividades de aventura em Arco da Calheta, Madeira. Experiências ao ar livre no território português, com guias e equipamento profissional para todos os perfis.</t>
  </si>
  <si>
    <t>Posto Florestal Ribeiro Frio</t>
  </si>
  <si>
    <t>291575310</t>
  </si>
  <si>
    <t>Ribeiro Frio, Madeira</t>
  </si>
  <si>
    <t>Ponta de São Lourenço</t>
  </si>
  <si>
    <t>Caniçal, Madeira</t>
  </si>
  <si>
    <t>Pico do Areeiro</t>
  </si>
  <si>
    <t>Lobosonda (Calheta)</t>
  </si>
  <si>
    <t>967084538</t>
  </si>
  <si>
    <t>Porto da Calheta</t>
  </si>
  <si>
    <t>Centro de actividades de aventura em Porto da Calheta, Madeira. Experiências ao ar livre no território português, com guias e equipamento profissional para todos os perfis.</t>
  </si>
  <si>
    <t>Queimadas</t>
  </si>
  <si>
    <t>EPIC Madeira</t>
  </si>
  <si>
    <t>🧗  168 entradas  ·  Portugal Vivo  ·  AVENTURA E NATUREZA EM PORTUGAL</t>
  </si>
  <si>
    <t>🦅  NATUREZA ESPECIALIZADA  —  101 entradas</t>
  </si>
  <si>
    <t>Norte · Centro · Lisboa · Alentejo · Algarve · Açores · Madeira  ·  Birdwatching, Astroturismo, Geoparques e Reservas</t>
  </si>
  <si>
    <t>Espécies / Fenómeno</t>
  </si>
  <si>
    <t xml:space="preserve">  🟦  NORTE  ·  25 entradas</t>
  </si>
  <si>
    <t>Gerês, Terras de Bouro, Braga</t>
  </si>
  <si>
    <t>Grátis</t>
  </si>
  <si>
    <t>Ponto de birdwatching em Gerês, Norte. Observação de aves autóctones e migrantes num dos melhores habitats de Portugal para ornitologia e natureza.</t>
  </si>
  <si>
    <t>Parque Natural, 5300 Bragança</t>
  </si>
  <si>
    <t>Ponto de birdwatching em Parque Natural, Norte. Observação de aves autóctones e migrantes num dos melhores habitats de Portugal para ornitologia e natureza.</t>
  </si>
  <si>
    <t>Douro Internacional (Abutres)</t>
  </si>
  <si>
    <t>R. Cónego Albino Pereira, 5160-012 Torre de Moncorvo</t>
  </si>
  <si>
    <t>Ponto de birdwatching em R. Cónego Albino Pereira, Norte. Observação de aves autóctones e migrantes num dos melhores habitats de Portugal para ornitologia e natureza. Melhor época: ").</t>
  </si>
  <si>
    <t>Estuário do Rio Minho</t>
  </si>
  <si>
    <t>Ponto de birdwatching em Região Norte, Norte. Observação de aves autóctones e migrantes num dos melhores habitats de Portugal para ornitologia e natureza.</t>
  </si>
  <si>
    <t>Parque Biológico de Gaia</t>
  </si>
  <si>
    <t>5-10 €</t>
  </si>
  <si>
    <t>Reserva de Mindelo</t>
  </si>
  <si>
    <t>Albufeira do Azibo</t>
  </si>
  <si>
    <t>Corno do Bico</t>
  </si>
  <si>
    <t>Ecofluvial Rio Tâmega</t>
  </si>
  <si>
    <t>Planetário do Porto</t>
  </si>
  <si>
    <t>Ponto de astroturismo em Região Norte, Norte. Céu de baixa poluição luminosa com condições excepcionais para observação da Via Láctea e astrofotografia.</t>
  </si>
  <si>
    <t>Miradouro do Ujo (Tua)</t>
  </si>
  <si>
    <t>Ponto de astroturismo em Região Norte, Norte. Céu de baixa poluição luminosa com condições excepcionais para observação da Via Láctea e astrofotografia. Melhor época: ").</t>
  </si>
  <si>
    <t>Observatório de Gualtar</t>
  </si>
  <si>
    <t>Santuário Senhora da Lapa</t>
  </si>
  <si>
    <t>Miradouro S. Lourenço (Douro)</t>
  </si>
  <si>
    <t>Porta do Mezio (Gerês)</t>
  </si>
  <si>
    <t>Ponto de astroturismo em Gerês, Norte. Céu de baixa poluição luminosa com condições excepcionais para observação da Via Láctea e astrofotografia. Melhor época: ").</t>
  </si>
  <si>
    <t>Cais da Ribeira (Douro)</t>
  </si>
  <si>
    <t>Barco</t>
  </si>
  <si>
    <t>15-20 €</t>
  </si>
  <si>
    <t>Ponto de natureza especializada em Região Norte, Norte: Barco. Experiência única de contacto com a biodiversidade e os fenómenos naturais do território português.</t>
  </si>
  <si>
    <t>Cais da Régua</t>
  </si>
  <si>
    <t>20-50 €</t>
  </si>
  <si>
    <t>Porto de Viana do Castelo</t>
  </si>
  <si>
    <t>15-30 €</t>
  </si>
  <si>
    <t>Cais do Pinhão</t>
  </si>
  <si>
    <t>20-40 €</t>
  </si>
  <si>
    <t>Eco-Barco Baixo Sabor</t>
  </si>
  <si>
    <t>15-25 €</t>
  </si>
  <si>
    <t>Barco Rio de Onor</t>
  </si>
  <si>
    <t>10-15 €</t>
  </si>
  <si>
    <t>Aventura</t>
  </si>
  <si>
    <t>15-40 €</t>
  </si>
  <si>
    <t>Ponto de natureza especializada em Região Norte, Norte: Aventura. Experiência única de contacto com a biodiversidade e os fenómenos naturais do território português.</t>
  </si>
  <si>
    <t>2-4 €</t>
  </si>
  <si>
    <t xml:space="preserve">  🟨  CENTRO  ·  20 entradas</t>
  </si>
  <si>
    <t>Ria de Aveiro (Salgueiro)</t>
  </si>
  <si>
    <t>R. Dr. António Carlos Figueiredo, 3810-193 Aveiro</t>
  </si>
  <si>
    <t>Ponto de birdwatching em R. Dr. António Carlos Figueiredo, Centro. Observação de aves autóctones e migrantes num dos melhores habitats de Portugal para ornitologia e natureza. Melhor época: ").</t>
  </si>
  <si>
    <t>Estuário do Mondego</t>
  </si>
  <si>
    <t>Ponto de birdwatching em Região Centro, Centro. Observação de aves autóctones e migrantes num dos melhores habitats de Portugal para ornitologia e natureza.</t>
  </si>
  <si>
    <t>Ponto de birdwatching em Coimbra, Centro. Observação de aves autóctones e migrantes num dos melhores habitats de Portugal para ornitologia e natureza.</t>
  </si>
  <si>
    <t>R. da Câmara, 6090 Idanha-a-Nova</t>
  </si>
  <si>
    <t>Ponto de birdwatching em R. da Câmara, Centro. Observação de aves autóctones e migrantes num dos melhores habitats de Portugal para ornitologia e natureza.</t>
  </si>
  <si>
    <t>Pateira de Fermentelos</t>
  </si>
  <si>
    <t>Reserva das Berlengas</t>
  </si>
  <si>
    <t>Ponto de birdwatching em Peniche, Centro. Observação de aves autóctones e migrantes num dos melhores habitats de Portugal para ornitologia e natureza.</t>
  </si>
  <si>
    <t>Reserva Natural da Malcata</t>
  </si>
  <si>
    <t>Paul de Boquilobo</t>
  </si>
  <si>
    <t>Serra da Lousã (Veados)</t>
  </si>
  <si>
    <t>Ponto de birdwatching em Região Centro, Centro. Observação de aves autóctones e migrantes num dos melhores habitats de Portugal para ornitologia e natureza. Melhor época: ").</t>
  </si>
  <si>
    <t>Geoscope Fajão (Aldeias Xisto)</t>
  </si>
  <si>
    <t>10-20 €</t>
  </si>
  <si>
    <t>Ponto de astroturismo em Região Centro, Centro. Céu de baixa poluição luminosa com condições excepcionais para observação da Via Láctea e astrofotografia.</t>
  </si>
  <si>
    <t>Observatório de Travancinha</t>
  </si>
  <si>
    <t>Centro Geodésico de Vila de Rei</t>
  </si>
  <si>
    <t>Torre da Serra da Estrela</t>
  </si>
  <si>
    <t>R. Visconde Guedes Teixeira, 6200-066 Covilhã</t>
  </si>
  <si>
    <t>Ponto de astroturismo em R. Visconde Guedes Teixeira, Centro. Céu de baixa poluição luminosa com condições excepcionais para observação da Via Láctea e astrofotografia.</t>
  </si>
  <si>
    <t>Cais dos Moliceiros — Aveiro</t>
  </si>
  <si>
    <t>13-15 €</t>
  </si>
  <si>
    <t>Ponto de natureza especializada em Região Centro, Centro: Barco. Experiência única de contacto com a biodiversidade e os fenómenos naturais do território português.</t>
  </si>
  <si>
    <t>Castelo do Bode (Cais)</t>
  </si>
  <si>
    <t>Cais de Dornes (Zêzere)</t>
  </si>
  <si>
    <t>7-12 €</t>
  </si>
  <si>
    <t>Geossítio de Região Centro, Centro. Formações rochosas e fenómenos geológicos de interesse excepcional que documentam a história tectónica e vulcânica da Península Ibérica.</t>
  </si>
  <si>
    <t>7-10 €</t>
  </si>
  <si>
    <t>1-2 €</t>
  </si>
  <si>
    <t>Ponto de natureza especializada em Região Centro, Centro: Aventura. Experiência única de contacto com a biodiversidade e os fenómenos naturais do território português.</t>
  </si>
  <si>
    <t>Cascatas do Rio Agadão</t>
  </si>
  <si>
    <t xml:space="preserve">  🟩  LISBOA  ·  13 entradas</t>
  </si>
  <si>
    <t>Estuário do Tejo — EVOA</t>
  </si>
  <si>
    <t>Alcochete, Setúbal</t>
  </si>
  <si>
    <t>Ponto de birdwatching em Alcochete, Lisboa. Observação de aves autóctones e migrantes num dos melhores habitats de Portugal para ornitologia e natureza.</t>
  </si>
  <si>
    <t>Lagoa Pequena (Sesimbra)</t>
  </si>
  <si>
    <t>2-5 €</t>
  </si>
  <si>
    <t>Ponto de birdwatching em Região Lisboa, Lisboa. Observação de aves autóctones e migrantes num dos melhores habitats de Portugal para ornitologia e natureza. Melhor época: ").</t>
  </si>
  <si>
    <t>Ponto de birdwatching em Região Lisboa, Lisboa. Observação de aves autóctones e migrantes num dos melhores habitats de Portugal para ornitologia e natureza.</t>
  </si>
  <si>
    <t>Ponta da Erva</t>
  </si>
  <si>
    <t>Arriba Fóssil da Caparica</t>
  </si>
  <si>
    <t>Ponto de astroturismo em Região Lisboa, Lisboa. Céu de baixa poluição luminosa com condições excepcionais para observação da Via Láctea e astrofotografia.</t>
  </si>
  <si>
    <t>Cabo da Roca</t>
  </si>
  <si>
    <t>Santuário da Peninha</t>
  </si>
  <si>
    <t>Cais do Sodré (Tejo)</t>
  </si>
  <si>
    <t>15-45 €</t>
  </si>
  <si>
    <t>Ponto de natureza especializada em Região Lisboa, Lisboa: Barco. Experiência única de contacto com a biodiversidade e os fenómenos naturais do território português.</t>
  </si>
  <si>
    <t>Sesimbra (Grutas Marinhas)</t>
  </si>
  <si>
    <t>20-35 €</t>
  </si>
  <si>
    <t>Portinho da Arrábida, 2925-161 Setúbal</t>
  </si>
  <si>
    <t>Ponto de natureza especializada em Portinho da Arrábida, Lisboa: Barco. Experiência única de contacto com a biodiversidade e os fenómenos naturais do território português.</t>
  </si>
  <si>
    <t>Boca do Inferno</t>
  </si>
  <si>
    <t>Geossítio de Região Lisboa, Lisboa. Formações rochosas e fenómenos geológicos de interesse excepcional que documentam a história tectónica e vulcânica da Península Ibérica.</t>
  </si>
  <si>
    <t>Tapada de Mafra</t>
  </si>
  <si>
    <t>Ponto de natureza especializada em Região Lisboa, Lisboa: Aventura. Experiência única de contacto com a biodiversidade e os fenómenos naturais do território português.</t>
  </si>
  <si>
    <t xml:space="preserve">  🟧  ALENTEJO  ·  17 entradas</t>
  </si>
  <si>
    <t>Castro Verde (LPN)</t>
  </si>
  <si>
    <t>Ponto de birdwatching em Região Alentejo, Alentejo. Observação de aves autóctones e migrantes num dos melhores habitats de Portugal para ornitologia e natureza. Melhor época: ").</t>
  </si>
  <si>
    <t>Ponto de birdwatching em Setúbal, Alentejo. Observação de aves autóctones e migrantes num dos melhores habitats de Portugal para ornitologia e natureza.</t>
  </si>
  <si>
    <t>Lagoa de Santo André</t>
  </si>
  <si>
    <t>Ponto de birdwatching em Região Alentejo, Alentejo. Observação de aves autóctones e migrantes num dos melhores habitats de Portugal para ornitologia e natureza.</t>
  </si>
  <si>
    <t>Ponte da Ajuda (Elvas)</t>
  </si>
  <si>
    <t>Cabo de Sines</t>
  </si>
  <si>
    <t>Barragem de Alqueva</t>
  </si>
  <si>
    <t>Ponto de astroturismo em Região Alentejo, Alentejo. Céu de baixa poluição luminosa com condições excepcionais para observação da Via Láctea e astrofotografia.</t>
  </si>
  <si>
    <t>Castelo de Monsaraz</t>
  </si>
  <si>
    <t>Mina de São Domingos</t>
  </si>
  <si>
    <t>Ermida S. Pedro Alandroal</t>
  </si>
  <si>
    <t>Marina de Amieira (Alqueva)</t>
  </si>
  <si>
    <t>20-150 €</t>
  </si>
  <si>
    <t>Ponto de natureza especializada em Região Alentejo, Alentejo: Barco. Experiência única de contacto com a biodiversidade e os fenómenos naturais do território português.</t>
  </si>
  <si>
    <t>Cais Vila Nova de Milfontes</t>
  </si>
  <si>
    <t>Cais de Alcácer do Sal</t>
  </si>
  <si>
    <t>10-25 €</t>
  </si>
  <si>
    <t>Ponto de natureza especializada em Região Alentejo, Alentejo: Aventura. Experiência única de contacto com a biodiversidade e os fenómenos naturais do território português.</t>
  </si>
  <si>
    <t>Cromeleque dos Almendres</t>
  </si>
  <si>
    <t>Ponto de natureza especializada em Região Alentejo, Alentejo: Cultura. Experiência única de contacto com a biodiversidade e os fenómenos naturais do território português.</t>
  </si>
  <si>
    <t>Trilho dos Pescadores</t>
  </si>
  <si>
    <t xml:space="preserve">  🟥  ALGARVE  ·  15 entradas</t>
  </si>
  <si>
    <t>Península de Sagres</t>
  </si>
  <si>
    <t>Ponto de birdwatching em Região Algarve, Algarve. Observação de aves autóctones e migrantes num dos melhores habitats de Portugal para ornitologia e natureza.</t>
  </si>
  <si>
    <t>Lagoa dos Salgados</t>
  </si>
  <si>
    <t>Ria Formosa (Ludo)</t>
  </si>
  <si>
    <t>Quinta de Marim, 8700-194 Olhão</t>
  </si>
  <si>
    <t>Ponto de birdwatching em Quinta de Marim, Algarve. Observação de aves autóctones e migrantes num dos melhores habitats de Portugal para ornitologia e natureza. Melhor época: ").</t>
  </si>
  <si>
    <t>Lg. do Castelo, 8950 Castro Marim</t>
  </si>
  <si>
    <t>Ponto de birdwatching em Lg. do Castelo, Algarve. Observação de aves autóctones e migrantes num dos melhores habitats de Portugal para ornitologia e natureza.</t>
  </si>
  <si>
    <t>Cabo de Santa Maria (Faro)</t>
  </si>
  <si>
    <t>Ponto de birdwatching em Região Algarve, Algarve. Observação de aves autóctones e migrantes num dos melhores habitats de Portugal para ornitologia e natureza. Melhor época: ").</t>
  </si>
  <si>
    <t>Serra de Monchique — Fóia</t>
  </si>
  <si>
    <t>Ponto de astroturismo em Região Algarve, Algarve. Céu de baixa poluição luminosa com condições excepcionais para observação da Via Láctea e astrofotografia.</t>
  </si>
  <si>
    <t>Observatório de Tavira</t>
  </si>
  <si>
    <t>5-15 €</t>
  </si>
  <si>
    <t>Praia do Amado (Costa Vicentina)</t>
  </si>
  <si>
    <t>Vila do Bispo, Faro</t>
  </si>
  <si>
    <t>Ponto de astroturismo em Vila do Bispo, Algarve. Céu de baixa poluição luminosa com condições excepcionais para observação da Via Láctea e astrofotografia.</t>
  </si>
  <si>
    <t>Gruta de Benagil</t>
  </si>
  <si>
    <t>Ponto de natureza especializada em Região Algarve, Algarve: Barco. Experiência única de contacto com a biodiversidade e os fenómenos naturais do território português.</t>
  </si>
  <si>
    <t>Ponta da Piedade (Lagos)</t>
  </si>
  <si>
    <t>Marina de Albufeira (Golfinhos)</t>
  </si>
  <si>
    <t>30-45 €</t>
  </si>
  <si>
    <t>Cais de Olhão (Ilhas)</t>
  </si>
  <si>
    <t>Rio Guadiana (VRSA)</t>
  </si>
  <si>
    <t>Ponto de natureza especializada em Mértola, Algarve: Barco. Experiência única de contacto com a biodiversidade e os fenómenos naturais do território português.</t>
  </si>
  <si>
    <t>Mina de Sal-Gema de Loulé</t>
  </si>
  <si>
    <t>Geossítio de Região Algarve, Algarve. Formações rochosas e fenómenos geológicos de interesse excepcional que documentam a história tectónica e vulcânica da Península Ibérica.</t>
  </si>
  <si>
    <t>Sete Vales Suspensos</t>
  </si>
  <si>
    <t>Ponto de natureza especializada em Região Algarve, Algarve: Aventura. Experiência única de contacto com a biodiversidade e os fenómenos naturais do território português.</t>
  </si>
  <si>
    <t xml:space="preserve">  🟪  AÇORES  ·  7 entradas</t>
  </si>
  <si>
    <t>Cancela do Cinzeiro (Priolo)</t>
  </si>
  <si>
    <t>Ponto de birdwatching em Região Açores, Açores. Observação de aves autóctones e migrantes num dos melhores habitats de Portugal para ornitologia e natureza. Melhor época: ").</t>
  </si>
  <si>
    <t>Ilha do Corvo (Migrações)</t>
  </si>
  <si>
    <t>Cabo da Praia (Terceira)</t>
  </si>
  <si>
    <t>Vila Franca do Campo (Cais)</t>
  </si>
  <si>
    <t>30-60 €</t>
  </si>
  <si>
    <t>Ponto de natureza especializada em Região Açores, Açores: Barco. Experiência única de contacto com a biodiversidade e os fenómenos naturais do território português.</t>
  </si>
  <si>
    <t>Marina da Horta (Cetáceos)</t>
  </si>
  <si>
    <t>40-60 €</t>
  </si>
  <si>
    <t>Geossítio de Região Açores, Açores. Formações rochosas e fenómenos geológicos de interesse excepcional que documentam a história tectónica e vulcânica da Península Ibérica.</t>
  </si>
  <si>
    <t>3-10 €</t>
  </si>
  <si>
    <t>Ponto de natureza especializada em Região Açores, Açores: Aventura. Experiência única de contacto com a biodiversidade e os fenómenos naturais do território português.</t>
  </si>
  <si>
    <t xml:space="preserve">  🟫  MADEIRA  ·  4 entradas</t>
  </si>
  <si>
    <t>Região Madeira</t>
  </si>
  <si>
    <t>Ponto de astroturismo em Região Madeira, Madeira. Céu de baixa poluição luminosa com condições excepcionais para observação da Via Láctea e astrofotografia.</t>
  </si>
  <si>
    <t>Marina do Funchal (Baleias)</t>
  </si>
  <si>
    <t>30-50 €</t>
  </si>
  <si>
    <t>Ponto de natureza especializada em Região Madeira, Madeira: Barco. Experiência única de contacto com a biodiversidade e os fenómenos naturais do território português.</t>
  </si>
  <si>
    <t>Ponto de natureza especializada em Região Madeira, Madeira: Aventura. Experiência única de contacto com a biodiversidade e os fenómenos naturais do território português.</t>
  </si>
  <si>
    <t>3-5 €</t>
  </si>
  <si>
    <t>🦅  101 entradas  ·  Portugal Vivo  ·  NATUREZA ESPECIALIZADA</t>
  </si>
  <si>
    <t>🌸  FLORA BOTÂNICA DE PORTUGAL  —  92 entradas</t>
  </si>
  <si>
    <t>Norte · Centro · Lisboa · Alentejo · Algarve · Açores · Madeira  ·  Jardins Botânicos, Parques e Colecções Botânicas</t>
  </si>
  <si>
    <t xml:space="preserve">  🟦  NORTE  ·  21 entradas</t>
  </si>
  <si>
    <t>Parque de Serralves</t>
  </si>
  <si>
    <t>226156500</t>
  </si>
  <si>
    <t>Épico pela harmonia entre arte e botânica. Árvores classificadas e Tree Top Walk.</t>
  </si>
  <si>
    <t>Quinta da Aveleda</t>
  </si>
  <si>
    <t>255718200</t>
  </si>
  <si>
    <t>Jardim romântico com camélias raras, Cedro-do-Atlas e 'follies' arquitectónicas.</t>
  </si>
  <si>
    <t>Jardim da Casa de Mateus</t>
  </si>
  <si>
    <t>Fundação Casa de Mateus, Vila Real</t>
  </si>
  <si>
    <t>259323121</t>
  </si>
  <si>
    <t>Túnel de cedros de 35m e jardins de buxo perfeitamente esculpidos.</t>
  </si>
  <si>
    <t>Reserva botânica de 35ha com foco na flora autóctone e espécies em perigo.</t>
  </si>
  <si>
    <t>Mata da Albergaria (PNPG)</t>
  </si>
  <si>
    <t>253350000</t>
  </si>
  <si>
    <t>Épico. Um dos carvalhais mais antigos da Europa, atravessado por via romana.</t>
  </si>
  <si>
    <t>Jardim das Camélias — Quinta do Alão</t>
  </si>
  <si>
    <t>229390900</t>
  </si>
  <si>
    <t>Coleção rara de camélias centenárias num jardim romântico.</t>
  </si>
  <si>
    <t>Parque de S. Roque</t>
  </si>
  <si>
    <t>225106312</t>
  </si>
  <si>
    <t>Labirinto de buxo histórico e miradouro com espécies exóticas.</t>
  </si>
  <si>
    <t>Jardins do Palácio de Cristal</t>
  </si>
  <si>
    <t>225320080</t>
  </si>
  <si>
    <t>Diversidade arbórea monumental com magnólias e ginkgos.</t>
  </si>
  <si>
    <t>Parque da Cidade do Porto</t>
  </si>
  <si>
    <t>225081200</t>
  </si>
  <si>
    <t>Flora dunar e carvalhais junto ao mar.</t>
  </si>
  <si>
    <t>Jardim do Museu Alberto Sampaio</t>
  </si>
  <si>
    <t>253423910</t>
  </si>
  <si>
    <t>Claustro com espécimes botânicos raros e ervas medicinais.</t>
  </si>
  <si>
    <t>Parque da Ponte</t>
  </si>
  <si>
    <t>Arboreto urbano com plátanos e tílias colossais.</t>
  </si>
  <si>
    <t>Mata do Bom Jesus</t>
  </si>
  <si>
    <t>253676636</t>
  </si>
  <si>
    <t>Escadaria monumental ladeada por mata densa de espécies relíquia.</t>
  </si>
  <si>
    <t>Jardim de Santa Bárbara</t>
  </si>
  <si>
    <t>Topiária barroca com desenhos de buxo e flores de época.</t>
  </si>
  <si>
    <t>Parque de Lazer de Castelões</t>
  </si>
  <si>
    <t>252320900</t>
  </si>
  <si>
    <t>Conservação de espécies ripícolas e carvalhais.</t>
  </si>
  <si>
    <t>Jardim Municipal de Viana do Castelo</t>
  </si>
  <si>
    <t>258809300</t>
  </si>
  <si>
    <t>Jardim romântico com cedros-do-atlas e palmeiras raras.</t>
  </si>
  <si>
    <t>Parque Dr. Manuel Braga</t>
  </si>
  <si>
    <t>239857500</t>
  </si>
  <si>
    <t>Alinhamento épico de plátanos centenários junto ao Mondego.</t>
  </si>
  <si>
    <t>Jardim da Praça da República — Vidago Palace</t>
  </si>
  <si>
    <t>Vidago</t>
  </si>
  <si>
    <t>276990920</t>
  </si>
  <si>
    <t>Integrado no Vidago Palace, com cedros colossais.</t>
  </si>
  <si>
    <t>Mata de Vilar</t>
  </si>
  <si>
    <t>255860700</t>
  </si>
  <si>
    <t>Floresta modelo de conservação de carvalhos e flora autóctone.</t>
  </si>
  <si>
    <t>Jardim Botânico de Bragança (IPB)</t>
  </si>
  <si>
    <t>Dedicado à flora da Terra Fria Transmontana.</t>
  </si>
  <si>
    <t>Jardim Botânico UTAD</t>
  </si>
  <si>
    <t>259350000</t>
  </si>
  <si>
    <t>Base de dados viva de flora portuguesa por fitossociologia.</t>
  </si>
  <si>
    <t>Mata da Albergaria — Gerês Flora</t>
  </si>
  <si>
    <t>Carvalhos-alvarinh., bétulas, teixo, orvalhinha carnívora. Floresta encantada.</t>
  </si>
  <si>
    <t>Mata Nacional do Buçaco — Vale dos Fetos</t>
  </si>
  <si>
    <t>Fetos arbóreos épicos e árvores gigantes dos monges carmelitas séc. XVII.</t>
  </si>
  <si>
    <t>Reserva Botânica do Cambarinho</t>
  </si>
  <si>
    <t>232750010</t>
  </si>
  <si>
    <t>O maior núcleo de Rhododendron ponticum da Península. Floresce em mai/jun.</t>
  </si>
  <si>
    <t>Quinta das Lágrimas</t>
  </si>
  <si>
    <t>239802380</t>
  </si>
  <si>
    <t>Sequoias monumentais e o lendário Ficus junto à Fonte dos Amores.</t>
  </si>
  <si>
    <t>Jardim do Paço Episcopal de Castelo Branco</t>
  </si>
  <si>
    <t>R. Bartolomeu da Costa, Castelo Branco</t>
  </si>
  <si>
    <t>272330339</t>
  </si>
  <si>
    <t>Único jardim barroco com topiária rara — estátuas esculpidas em vegetação.</t>
  </si>
  <si>
    <t>Reserva Botânica da Faia Brava</t>
  </si>
  <si>
    <t>271311202</t>
  </si>
  <si>
    <t>Flora rara de escarpa e azinhais mediterrânicos. Projecto de conservação premiado.</t>
  </si>
  <si>
    <t>Mata Nacional do Choupal</t>
  </si>
  <si>
    <t>239855215</t>
  </si>
  <si>
    <t>O maior herbário vivo de choupos e freixos do país.</t>
  </si>
  <si>
    <t>Pinetum de S. Pedro de Moel</t>
  </si>
  <si>
    <t>244573300</t>
  </si>
  <si>
    <t>Coleção rara de pinheiros do mundo adaptados ao litoral.</t>
  </si>
  <si>
    <t>Jardim do Paço de Anadia</t>
  </si>
  <si>
    <t>Mangualde</t>
  </si>
  <si>
    <t>232622432</t>
  </si>
  <si>
    <t>Jardim histórico com árvores de interesse público e pomares antigos.</t>
  </si>
  <si>
    <t>Parque D. Carlos I</t>
  </si>
  <si>
    <t>Caldas da Rainha</t>
  </si>
  <si>
    <t>262240000</t>
  </si>
  <si>
    <t>Arboreto romântico com carvalhos e tílias raros.</t>
  </si>
  <si>
    <t>Jardim da Sereia</t>
  </si>
  <si>
    <t>Antigo retiro monástico com muros de loureiro e fontes clássicas.</t>
  </si>
  <si>
    <t>Parque da Cidade de Aveiro</t>
  </si>
  <si>
    <t>234406300</t>
  </si>
  <si>
    <t>Zonas húmidas com flora de sapal e jardins ornamentais.</t>
  </si>
  <si>
    <t>Mata da Curia</t>
  </si>
  <si>
    <t>Anadia</t>
  </si>
  <si>
    <t>231510300</t>
  </si>
  <si>
    <t>Parque termal com árvores exóticas e lagos de nenúfares.</t>
  </si>
  <si>
    <t>Jardim de Santar</t>
  </si>
  <si>
    <t>Nelas</t>
  </si>
  <si>
    <t>232942937</t>
  </si>
  <si>
    <t>O expoente máximo da topiária de buxo em Portugal.</t>
  </si>
  <si>
    <t>Mata do Fundão</t>
  </si>
  <si>
    <t>275779060</t>
  </si>
  <si>
    <t>Castanheiros e carvalhais de altitude.</t>
  </si>
  <si>
    <t>Jardim Botânico da Covilhã</t>
  </si>
  <si>
    <t>275330600</t>
  </si>
  <si>
    <t>Flora alpina e da Serra da Estrela.</t>
  </si>
  <si>
    <t>Jardim da Casa do Passal</t>
  </si>
  <si>
    <t>232671087</t>
  </si>
  <si>
    <t>Jardim histórico de Aristides de Sousa Mendes.</t>
  </si>
  <si>
    <t>Parque do Serrado</t>
  </si>
  <si>
    <t>232427427</t>
  </si>
  <si>
    <t>Exemplares monumentais de coníferas.</t>
  </si>
  <si>
    <t>Mata Nacional de Leiria</t>
  </si>
  <si>
    <t>O Pinhal do Rei, com dunas e flora costeira histórica.</t>
  </si>
  <si>
    <t>Dunas de S. Jacinto — Flora Costeira</t>
  </si>
  <si>
    <t>234406400</t>
  </si>
  <si>
    <t>Camarinha, perpétua-das-areias, arméria-marítima. Duna biogeográfica.</t>
  </si>
  <si>
    <t xml:space="preserve">  🟩  LISBOA  ·  16 entradas</t>
  </si>
  <si>
    <t>Parque e Palácio de Monserrate</t>
  </si>
  <si>
    <t>219237300</t>
  </si>
  <si>
    <t>Épico. Espécies da Austrália, México e Japão num microclima único.</t>
  </si>
  <si>
    <t>Jardim Botânico da Ajuda</t>
  </si>
  <si>
    <t>213622503</t>
  </si>
  <si>
    <t>O primeiro jardim botânico de Portugal. Dragoeiro bicentenário e geometria barroca.</t>
  </si>
  <si>
    <t>Tapada das Necessidades</t>
  </si>
  <si>
    <t>Um dos maiores e mais antigos jardins de catos e suculentas da Europa.</t>
  </si>
  <si>
    <t>Fundação Calouste Gulbenkian</t>
  </si>
  <si>
    <t>217823000</t>
  </si>
  <si>
    <t>Exemplo mestre de paisagismo moderno com espécies autóctones integradas.</t>
  </si>
  <si>
    <t>Jardim Botânico Tropical (Belém)</t>
  </si>
  <si>
    <t>Coleção de flora ultramarina: café, pimenta, palmeiras imperiais e dragoeiros.</t>
  </si>
  <si>
    <t>261817050</t>
  </si>
  <si>
    <t>Floresta mediterrânica épica com sobreiros e azinheiras centenárias.</t>
  </si>
  <si>
    <t>Parque da Liberdade</t>
  </si>
  <si>
    <t>Flora exótica e canteiros de fetos em ambiente húmido.</t>
  </si>
  <si>
    <t>Quinta da Regaleira</t>
  </si>
  <si>
    <t>219106650</t>
  </si>
  <si>
    <t>Bosque 'iniciado' com espécies místicas e arboreto denso.</t>
  </si>
  <si>
    <t>Jardim do Palácio de Queluz</t>
  </si>
  <si>
    <t>Labirintos de buxo e coleção de catos real.</t>
  </si>
  <si>
    <t>Parque Marechal Carmona</t>
  </si>
  <si>
    <t>214815000</t>
  </si>
  <si>
    <t>Arboreto de pinheiros e jardins de herbáceas raras.</t>
  </si>
  <si>
    <t>Jardim Botânico de Setúbal</t>
  </si>
  <si>
    <t>265545000</t>
  </si>
  <si>
    <t>Flora da Arrábida e espécies raras de carvalhos.</t>
  </si>
  <si>
    <t>A floresta mediterrânica original (Relíquia nacional).</t>
  </si>
  <si>
    <t>Jardim da Estrela</t>
  </si>
  <si>
    <t>218170552</t>
  </si>
  <si>
    <t>Figueiras-da-Austrália gigantes e dragoeiros.</t>
  </si>
  <si>
    <t>Jardim Botânico da Faculdade de Ciências</t>
  </si>
  <si>
    <t>217500000</t>
  </si>
  <si>
    <t>Foco em experimentação botânica e taxonomia.</t>
  </si>
  <si>
    <t>Parque dos Poetas</t>
  </si>
  <si>
    <t>Flora de várias regiões do mundo por áreas temáticas.</t>
  </si>
  <si>
    <t>Tapada da Ajuda (ISA)</t>
  </si>
  <si>
    <t>213653100</t>
  </si>
  <si>
    <t>Arboreto universitário com carvalhos-cerquinhos monumentais.</t>
  </si>
  <si>
    <t xml:space="preserve">  🟧  ALENTEJO  ·  6 entradas</t>
  </si>
  <si>
    <t>Jardim Público de Évora</t>
  </si>
  <si>
    <t>Ruínas quinhentistas integradas num jardim com árvores exóticas e pavões.</t>
  </si>
  <si>
    <t>Jardim do Castelo de Beja</t>
  </si>
  <si>
    <t>284311818</t>
  </si>
  <si>
    <t>Plantas aromáticas e flora de clima semiárido.</t>
  </si>
  <si>
    <t>Parque de Santa Clara</t>
  </si>
  <si>
    <t>284311800</t>
  </si>
  <si>
    <t>Arboreto de espécies resilientes ao calor extremo.</t>
  </si>
  <si>
    <t>Cerca do Convento de S. Paulo</t>
  </si>
  <si>
    <t>Redondo</t>
  </si>
  <si>
    <t>266989160</t>
  </si>
  <si>
    <t>Mata de sobreiros milenar num retiro espiritual.</t>
  </si>
  <si>
    <t>Tapada do Outeiro</t>
  </si>
  <si>
    <t>245610000</t>
  </si>
  <si>
    <t>Flora de montado e variedades raras de olival.</t>
  </si>
  <si>
    <t>Horta Botânica do Castelo de Vide</t>
  </si>
  <si>
    <t>245901031</t>
  </si>
  <si>
    <t>Plantas bíblicas e ervas medicinais medievais.</t>
  </si>
  <si>
    <t xml:space="preserve">  🟥  ALGARVE  ·  5 entradas</t>
  </si>
  <si>
    <t>Reserva Botânica da Rocha da Pena</t>
  </si>
  <si>
    <t>Planalto calcário com flora endémica do barrocal e orquídeas selvagens raras.</t>
  </si>
  <si>
    <t>Jardim Botânico do Algarve (UAlg)</t>
  </si>
  <si>
    <t>289800900</t>
  </si>
  <si>
    <t>Especializado em xerofitismo e flora do Barrocal.</t>
  </si>
  <si>
    <t>Parque Natural da Ria Formosa</t>
  </si>
  <si>
    <t>Centro de educação ambiental com flora dunar e de sapal.</t>
  </si>
  <si>
    <t>Mata Nacional de VRSA</t>
  </si>
  <si>
    <t>281510000</t>
  </si>
  <si>
    <t>Pinhal-manso com flora de areia rara (Retama monosperma).</t>
  </si>
  <si>
    <t>Barrocal Algarvio — Flora Montado</t>
  </si>
  <si>
    <t>Sobreiro, azinheira, esteva, rosmaninho. Aroma a resina de esteva.</t>
  </si>
  <si>
    <t xml:space="preserve">  🟪  AÇORES  ·  12 entradas</t>
  </si>
  <si>
    <t>Jardim José do Canto (S. Miguel)</t>
  </si>
  <si>
    <t>296650600</t>
  </si>
  <si>
    <t>Arboreto monumental com árvores de dimensões assustadoras e espécies raras mundiais.</t>
  </si>
  <si>
    <t>Parque Terra Nostra (Furnas)</t>
  </si>
  <si>
    <t>296549090</t>
  </si>
  <si>
    <t>Coleção mundial de camélias e cicadáceas. Tanque de água férrea termal.</t>
  </si>
  <si>
    <t>Jardim Duque da Terceira (Angra)</t>
  </si>
  <si>
    <t>Um dos jardins mais bonitos dos Açores, com flora tropical em terraços.</t>
  </si>
  <si>
    <t>Jardim Botânico do Faial</t>
  </si>
  <si>
    <t>Conservação da Laurissilva e flora rara dos Açores. Orquidário de topo.</t>
  </si>
  <si>
    <t>Reserva Florestal da Serreta (Terceira)</t>
  </si>
  <si>
    <t>Floresta nativa com fetos gigantes e cedros endémicos. Cenário bruto.</t>
  </si>
  <si>
    <t>Jardim Botânico de Angra do Heroísmo</t>
  </si>
  <si>
    <t>295204400</t>
  </si>
  <si>
    <t>Flora açoriana em terraços vitorianos.</t>
  </si>
  <si>
    <t>Parque da Alagoa</t>
  </si>
  <si>
    <t>292590100</t>
  </si>
  <si>
    <t>Vegetação de encosta e fetos gigantes em ilha remota.</t>
  </si>
  <si>
    <t>Jardim Florestal da Silveira</t>
  </si>
  <si>
    <t>295403800</t>
  </si>
  <si>
    <t>Camelicáceas e criptomérias monumentais.</t>
  </si>
  <si>
    <t>Parque Municipal da Prainha</t>
  </si>
  <si>
    <t>296820000</t>
  </si>
  <si>
    <t>Flora costeira adaptada à geologia vulcânica.</t>
  </si>
  <si>
    <t>Jardim do Palácio de Sant'Ana</t>
  </si>
  <si>
    <t>296204700</t>
  </si>
  <si>
    <t>Jardim oficial da Presidência com espécies raras mundiais.</t>
  </si>
  <si>
    <t>Reserva Natural Lagoa do Fogo (Flora)</t>
  </si>
  <si>
    <t>296206700</t>
  </si>
  <si>
    <t>Habitat do Viburnum treleasei, endémico raro dos Açores.</t>
  </si>
  <si>
    <t>Grandes coleções de azáleas e camélias.</t>
  </si>
  <si>
    <t xml:space="preserve">  🟫  MADEIRA  ·  13 entradas</t>
  </si>
  <si>
    <t>Monte Palace Madeira</t>
  </si>
  <si>
    <t>Caminho do Monte 174, Funchal</t>
  </si>
  <si>
    <t>291780800</t>
  </si>
  <si>
    <t>Uma das maiores coleções de cicas do mundo e flora endémica da Madeira.</t>
  </si>
  <si>
    <t>Jardim Botânico da Madeira</t>
  </si>
  <si>
    <t>291211200</t>
  </si>
  <si>
    <t>Vista épica sobre o Funchal. Mosaicos de flores e sector de suculentas único.</t>
  </si>
  <si>
    <t>Quinta da Boa Vista</t>
  </si>
  <si>
    <t>291220300</t>
  </si>
  <si>
    <t>A melhor coleção de orquídeas da Madeira.</t>
  </si>
  <si>
    <t>Jardim Orquídea</t>
  </si>
  <si>
    <t>291232323</t>
  </si>
  <si>
    <t>Espécies raras e híbridos tropicais.</t>
  </si>
  <si>
    <t>Palheiro Gardens — Quinta do Palheiro</t>
  </si>
  <si>
    <t>291793044</t>
  </si>
  <si>
    <t>Flora sul-africana (Proteas) e magnólias gigantes.</t>
  </si>
  <si>
    <t>Quinta das Cruzes</t>
  </si>
  <si>
    <t>291740670</t>
  </si>
  <si>
    <t>Jardim arqueológico com orquídeas e árvores-do-pão.</t>
  </si>
  <si>
    <t>Parque de Santa Catarina</t>
  </si>
  <si>
    <t>291214080</t>
  </si>
  <si>
    <t>Espécies de todo o mundo com vista sobre o porto do Funchal.</t>
  </si>
  <si>
    <t>Jardim Municipal do Funchal</t>
  </si>
  <si>
    <t>291211000</t>
  </si>
  <si>
    <t>Árvores monumentais do Brasil e Austrália no centro da cidade.</t>
  </si>
  <si>
    <t>Quinta do Arco — Roseiral</t>
  </si>
  <si>
    <t>291850160</t>
  </si>
  <si>
    <t>Uma das maiores coleções de rosas da Europa.</t>
  </si>
  <si>
    <t>Jardim do Dragoeiro</t>
  </si>
  <si>
    <t>291822110</t>
  </si>
  <si>
    <t>Foco na espécie endémica Dracaena draco.</t>
  </si>
  <si>
    <t>Parque Natural da Madeira (Ribeiro Frio)</t>
  </si>
  <si>
    <t>291575012</t>
  </si>
  <si>
    <t>Santuário da Laurissilva em estado puro.</t>
  </si>
  <si>
    <t>Jardim da Quinta do Bom Sucesso</t>
  </si>
  <si>
    <t>Foco em cactáceas (parte integrante do JB Madeira).</t>
  </si>
  <si>
    <t>Fanal — Laurissilva da Madeira</t>
  </si>
  <si>
    <t>Til, loureiro, vinhático, barbusano, folhado. Ambiente místico de nevoeiro.</t>
  </si>
  <si>
    <t>🌸  92 entradas  ·  Portugal Vivo  ·  FLORA BOTÂNICA DE PORTUGAL</t>
  </si>
  <si>
    <t>🏰  CASTELOS DE PORTUGAL  —  109 entradas</t>
  </si>
  <si>
    <t>Norte · Centro · Lisboa · Alentejo · Algarve · Açores · Madeira  ·  Castelos, Torres e Fortalezas históricas</t>
  </si>
  <si>
    <t>Nome do Castelo</t>
  </si>
  <si>
    <t>Período</t>
  </si>
  <si>
    <t>Visita</t>
  </si>
  <si>
    <t xml:space="preserve">  🟦  NORTE  ·  24 entradas</t>
  </si>
  <si>
    <t>Castelo de Aguiar de Sousa</t>
  </si>
  <si>
    <t>Pré-Séc. XII</t>
  </si>
  <si>
    <t>R. da Torre, 4585-011 Aguiar de Sousa, Paredes</t>
  </si>
  <si>
    <t>Ter-Dom 9h-17h30; Fechado 2ª feira</t>
  </si>
  <si>
    <t>Adulto 4€; &lt;12 Grátis; Dom manhã Grátis</t>
  </si>
  <si>
    <t>Fortaleza dos séculos XI-XII em Paredes. Testemunho da reconquista e do senhorio medieval português, com muralhas, torre de menagem e vistas panorâmicas sobre o território histórico da região. Entrada gratuita.</t>
  </si>
  <si>
    <t>Castelo de Ansiães</t>
  </si>
  <si>
    <t>Selores, 5140-302 Carrazeda de Ansiães</t>
  </si>
  <si>
    <t>Fortaleza dos séculos XI-XII em 5140-302 Carrazeda de Ansiães. Testemunho da reconquista e do senhorio medieval português, com muralhas, torre de menagem e vistas panorâmicas sobre o território histórico da região. Entrada gratuita.</t>
  </si>
  <si>
    <t>Castelo de Arnoia (Castelo de Basto)</t>
  </si>
  <si>
    <t>Arnoia, 4890-000 Celorico de Basto</t>
  </si>
  <si>
    <t>Fortaleza dos séculos XI-XII em 4890-000 Celorico de Basto. Testemunho da reconquista e do senhorio medieval português, com muralhas, torre de menagem e vistas panorâmicas sobre o território histórico da região. Entrada gratuita.</t>
  </si>
  <si>
    <t>R. Conde D. Henrique, 4800-412 Guimarães</t>
  </si>
  <si>
    <t>Fortaleza dos séculos XI-XII em 4800-412 Guimarães. Testemunho da reconquista e do senhorio medieval português, com muralhas, torre de menagem e vistas panorâmicas sobre o território histórico da região. Entrada gratuita.</t>
  </si>
  <si>
    <t>Castelo Rodrigo</t>
  </si>
  <si>
    <t>Séc. XII</t>
  </si>
  <si>
    <t>Largo do Castelo, 6440-031 Castelo Rodrigo</t>
  </si>
  <si>
    <t>Fortaleza do século XII em 6440-031 Castelo Rodrigo. Testemunho da reconquista e do senhorio medieval português, com muralhas, torre de menagem e vistas panorâmicas sobre o território histórico da região. Entrada gratuita.</t>
  </si>
  <si>
    <t>Castelo de Bragança</t>
  </si>
  <si>
    <t>Séc. XIII</t>
  </si>
  <si>
    <t>R. do Castelo, 5300-025 Bragança</t>
  </si>
  <si>
    <t>Fortaleza do século XIII em 5300-025 Bragança. Testemunho da reconquista e do senhorio medieval português, com muralhas, torre de menagem e vistas panorâmicas sobre o território histórico da região. Entrada gratuita.</t>
  </si>
  <si>
    <t>Lugar do Castelo, 4980-020 Lindoso</t>
  </si>
  <si>
    <t>Fortaleza do século XIII em 4980-020 Lindoso. Testemunho da reconquista e do senhorio medieval português, com muralhas, torre de menagem e vistas panorâmicas sobre o território histórico da região. Entrada gratuita.</t>
  </si>
  <si>
    <t>Castelo de Braga (Antigo)</t>
  </si>
  <si>
    <t>Romano / Séc. XIV</t>
  </si>
  <si>
    <t>Largo Carlos Amarante, Braga</t>
  </si>
  <si>
    <t>Exterior livre</t>
  </si>
  <si>
    <t>Fortaleza Romano / Séc. XIV em Braga. Testemunho da reconquista e do senhorio medieval português, com muralhas, torre de menagem e vistas panorâmicas sobre o território histórico da região. Entrada gratuita.</t>
  </si>
  <si>
    <t>Castelo de Viana do Castelo</t>
  </si>
  <si>
    <t>Séc. XIV</t>
  </si>
  <si>
    <t>Monte de Santa Luzia, Viana</t>
  </si>
  <si>
    <t>Fortaleza do século XIV em Viana. Testemunho da reconquista e do senhorio medieval português, com muralhas, torre de menagem e vistas panorâmicas sobre o território histórico da região. Entrada gratuita.</t>
  </si>
  <si>
    <t>Castelo de Monção</t>
  </si>
  <si>
    <t>Largo do Castelo, Monção</t>
  </si>
  <si>
    <t>Fortaleza do século XIV em Monção. Testemunho da reconquista e do senhorio medieval português, com muralhas, torre de menagem e vistas panorâmicas sobre o território histórico da região. Entrada gratuita.</t>
  </si>
  <si>
    <t>Castelo de Melgaço</t>
  </si>
  <si>
    <t>Largo do Castelo, Melgaço</t>
  </si>
  <si>
    <t>Fortaleza do século XII em Melgaço. Testemunho da reconquista e do senhorio medieval português, com muralhas, torre de menagem e vistas panorâmicas sobre o território histórico da região. Entrada gratuita.</t>
  </si>
  <si>
    <t>Castelo de Vila Nova de Cerveira</t>
  </si>
  <si>
    <t>Praça do Município, Cerveira</t>
  </si>
  <si>
    <t>Pousada — visita jardins livres</t>
  </si>
  <si>
    <t>Fortaleza do século XIV em Cerveira. Testemunho da reconquista e do senhorio medieval português, com muralhas, torre de menagem e vistas panorâmicas sobre o território histórico da região. Entrada gratuita.</t>
  </si>
  <si>
    <t>Castelo de Valença</t>
  </si>
  <si>
    <t>Fortaleza de Valença</t>
  </si>
  <si>
    <t>Seg-Dom 24h (muralhas exteriores)</t>
  </si>
  <si>
    <t>Fortaleza do século XIII em Norte. Testemunho da reconquista e do senhorio medieval português, com muralhas, torre de menagem e vistas panorâmicas sobre o território histórico da região. Entrada gratuita.</t>
  </si>
  <si>
    <t>Castelo de Caminha</t>
  </si>
  <si>
    <t>Largo Conselheiro Silva Torres, Caminha</t>
  </si>
  <si>
    <t>Fortaleza do século XIV em Caminha. Testemunho da reconquista e do senhorio medieval português, com muralhas, torre de menagem e vistas panorâmicas sobre o território histórico da região. Entrada gratuita.</t>
  </si>
  <si>
    <t>Castelo de Chaves</t>
  </si>
  <si>
    <t>Praça de Camões, Chaves</t>
  </si>
  <si>
    <t>Ter-Dom 9h-12h/14h-17h</t>
  </si>
  <si>
    <t>Fortaleza Romano / Séc. XIV em Chaves. Testemunho da reconquista e do senhorio medieval português, com muralhas, torre de menagem e vistas panorâmicas sobre o território histórico da região. Entrada gratuita.</t>
  </si>
  <si>
    <t>Cidadela de Bragança</t>
  </si>
  <si>
    <t>Ter-Dom 9h-17h30</t>
  </si>
  <si>
    <t>Adulto 2€</t>
  </si>
  <si>
    <t>Fortaleza do século XII em Norte. Testemunho da reconquista e do senhorio medieval português, com muralhas, torre de menagem e vistas panorâmicas sobre o território histórico da região. Entrada Adulto 2€.</t>
  </si>
  <si>
    <t>Castelo de Miranda do Douro</t>
  </si>
  <si>
    <t>Séc. XVI</t>
  </si>
  <si>
    <t>Castro de Miranda do Douro</t>
  </si>
  <si>
    <t>Fortaleza do século XVI em Norte. Testemunho da reconquista e do senhorio medieval português, com muralhas, torre de menagem e vistas panorâmicas sobre o território histórico da região. Entrada gratuita.</t>
  </si>
  <si>
    <t>Castelo de Montalegre</t>
  </si>
  <si>
    <t>Largo do Castelo, Montalegre</t>
  </si>
  <si>
    <t>Ter-Dom 9h-12h30/13h30-17h</t>
  </si>
  <si>
    <t>Adulto 1€</t>
  </si>
  <si>
    <t>Fortaleza do século XIV em Montalegre. Testemunho da reconquista e do senhorio medieval português, com muralhas, torre de menagem e vistas panorâmicas sobre o território histórico da região. Entrada Adulto 1€.</t>
  </si>
  <si>
    <t>Aldeia do Lindoso, Ponte da Barca</t>
  </si>
  <si>
    <t>Ter-Dom 10h-12h30/14h-17h30</t>
  </si>
  <si>
    <t>Adulto 1,50€</t>
  </si>
  <si>
    <t>Fortaleza do século XIII em Ponte da Barca. Testemunho da reconquista e do senhorio medieval português, com muralhas, torre de menagem e vistas panorâmicas sobre o território histórico da região. Entrada Adulto 1,50€.</t>
  </si>
  <si>
    <t>Torre de Menagem de Barcelos</t>
  </si>
  <si>
    <t>Largo Dr. José Novais, Barcelos</t>
  </si>
  <si>
    <t>Fechado para obras (2024)</t>
  </si>
  <si>
    <t>Consultar CM Barcelos</t>
  </si>
  <si>
    <t>Fortaleza do século XIV em Barcelos. Testemunho da reconquista e do senhorio medieval português, com muralhas, torre de menagem e vistas panorâmicas sobre o território histórico da região.</t>
  </si>
  <si>
    <t>Castelo de Lamego</t>
  </si>
  <si>
    <t>Largo do Castelo, Lamego</t>
  </si>
  <si>
    <t>Fortaleza do século XII em Lamego. Testemunho da reconquista e do senhorio medieval português, com muralhas, torre de menagem e vistas panorâmicas sobre o território histórico da região. Entrada gratuita.</t>
  </si>
  <si>
    <t>Castelo de Penedono</t>
  </si>
  <si>
    <t>Séc. X</t>
  </si>
  <si>
    <t>Penedono</t>
  </si>
  <si>
    <t>Ter-Dom 10h-12h30/14h-17h</t>
  </si>
  <si>
    <t>Fortaleza Séc. X em Norte. Testemunho da reconquista e do senhorio medieval português, com muralhas, torre de menagem e vistas panorâmicas sobre o território histórico da região. Entrada Adulto 1€.</t>
  </si>
  <si>
    <t>Castelo de Numão</t>
  </si>
  <si>
    <t>Romano / Séc. XII</t>
  </si>
  <si>
    <t>Vila Nova de Foz Côa</t>
  </si>
  <si>
    <t>Fortaleza Romano / Séc. XII em Norte. Testemunho da reconquista e do senhorio medieval português, com muralhas, torre de menagem e vistas panorâmicas sobre o território histórico da região. Entrada gratuita.</t>
  </si>
  <si>
    <t>Castelo de Freixo de Espada à Cinta</t>
  </si>
  <si>
    <t>Fortaleza do século XIV em Norte. Testemunho da reconquista e do senhorio medieval português, com muralhas, torre de menagem e vistas panorâmicas sobre o território histórico da região. Entrada gratuita.</t>
  </si>
  <si>
    <t xml:space="preserve">  🟨  CENTRO  ·  29 entradas</t>
  </si>
  <si>
    <t>Castelo de Alcanede</t>
  </si>
  <si>
    <t>R. do Castelo, 2025-013 Alcanede, Santarém</t>
  </si>
  <si>
    <t>Fortaleza dos séculos XI-XII em Santarém. Testemunho da reconquista e do senhorio medieval português, com muralhas, torre de menagem e vistas panorâmicas sobre o território histórico da região. Entrada gratuita.</t>
  </si>
  <si>
    <t>Castelo de Alcobaça</t>
  </si>
  <si>
    <t>R. do Castelo, 2460-018 Alcobaça</t>
  </si>
  <si>
    <t>Fortaleza dos séculos XI-XII em 2460-018 Alcobaça. Testemunho da reconquista e do senhorio medieval português, com muralhas, torre de menagem e vistas panorâmicas sobre o território histórico da região. Entrada gratuita.</t>
  </si>
  <si>
    <t>Praia do Ribatejo, Vila Nova da Barquinha</t>
  </si>
  <si>
    <t>Fortaleza do século XII em Vila Nova da Barquinha. Testemunho da reconquista e do senhorio medieval português, com muralhas, torre de menagem e vistas panorâmicas sobre o território histórico da região. Entrada gratuita.</t>
  </si>
  <si>
    <t>Castelo de Leiria</t>
  </si>
  <si>
    <t>Largo de São Pedro, 2400-235 Leiria</t>
  </si>
  <si>
    <t>Fortaleza do século XII em 2400-235 Leiria. Testemunho da reconquista e do senhorio medieval português, com muralhas, torre de menagem e vistas panorâmicas sobre o território histórico da região. Entrada gratuita.</t>
  </si>
  <si>
    <t>Castelo de Monsanto</t>
  </si>
  <si>
    <t>R. do Castelo, 6060-091 Monsanto, Idanha-a-Nova</t>
  </si>
  <si>
    <t>Fortaleza do século XII em Idanha-a-Nova. Testemunho da reconquista e do senhorio medieval português, com muralhas, torre de menagem e vistas panorâmicas sobre o território histórico da região. Entrada gratuita.</t>
  </si>
  <si>
    <t>Castelo de Tomar</t>
  </si>
  <si>
    <t>Estrada do Convento, 2300-000 Tomar</t>
  </si>
  <si>
    <t>Fortaleza do século XII em 2300-000 Tomar. Testemunho da reconquista e do senhorio medieval português, com muralhas, torre de menagem e vistas panorâmicas sobre o território histórico da região. Entrada gratuita.</t>
  </si>
  <si>
    <t>R. Direita, 2510-001 Óbidos</t>
  </si>
  <si>
    <t>Fortaleza do século XII em 2510-001 Óbidos. Testemunho da reconquista e do senhorio medieval português, com muralhas, torre de menagem e vistas panorâmicas sobre o território histórico da região. Entrada gratuita.</t>
  </si>
  <si>
    <t>Castelo de Pombal</t>
  </si>
  <si>
    <t>Encosta do Castelo, 3100-440 Pombal</t>
  </si>
  <si>
    <t>Fortaleza do século XII em 3100-440 Pombal. Testemunho da reconquista e do senhorio medieval português, com muralhas, torre de menagem e vistas panorâmicas sobre o território histórico da região. Entrada gratuita.</t>
  </si>
  <si>
    <t>Castelo de Sortelha</t>
  </si>
  <si>
    <t>R. do Castelo, 6320-540 Sortelha, Sabugal</t>
  </si>
  <si>
    <t>Fortaleza do século XIII em Sabugal. Testemunho da reconquista e do senhorio medieval português, com muralhas, torre de menagem e vistas panorâmicas sobre o território histórico da região. Entrada gratuita.</t>
  </si>
  <si>
    <t>Castelo de Coimbra</t>
  </si>
  <si>
    <t>Rua do Castelo, Coimbra</t>
  </si>
  <si>
    <t>Fortaleza do século XII em Coimbra. Testemunho da reconquista e do senhorio medieval português, com muralhas, torre de menagem e vistas panorâmicas sobre o território histórico da região. Entrada gratuita.</t>
  </si>
  <si>
    <t>Largo do Castelo, Leiria</t>
  </si>
  <si>
    <t>Ter-Dom 9h-17h30; Verão até 18h30</t>
  </si>
  <si>
    <t>Adulto 4€; &lt;12 Grátis</t>
  </si>
  <si>
    <t>Fortaleza do século XII em Leiria. Testemunho da reconquista e do senhorio medieval português, com muralhas, torre de menagem e vistas panorâmicas sobre o território histórico da região. Entrada gratuita.</t>
  </si>
  <si>
    <t>Séc. XII — Templários</t>
  </si>
  <si>
    <t>Adulto 6€; UNESCO</t>
  </si>
  <si>
    <t>Fortaleza Séc. XII — Templários em Tomar. Testemunho da reconquista e do senhorio medieval português, com muralhas, torre de menagem e vistas panorâmicas sobre o território histórico da região. Entrada Adulto 6€.</t>
  </si>
  <si>
    <t>Castelo de Abrantes</t>
  </si>
  <si>
    <t>Largo do Castelo, Abrantes</t>
  </si>
  <si>
    <t>Ter-Dom 10h-12h/14h-17h</t>
  </si>
  <si>
    <t>Fortaleza do século XII em Abrantes. Testemunho da reconquista e do senhorio medieval português, com muralhas, torre de menagem e vistas panorâmicas sobre o território histórico da região. Entrada gratuita.</t>
  </si>
  <si>
    <t>Colina do Castelo, Pombal</t>
  </si>
  <si>
    <t>Fortaleza do século XII em Pombal. Testemunho da reconquista e do senhorio medieval português, com muralhas, torre de menagem e vistas panorâmicas sobre o território histórico da região. Entrada gratuita.</t>
  </si>
  <si>
    <t>Castelo de Penela</t>
  </si>
  <si>
    <t>Penela</t>
  </si>
  <si>
    <t>Ter-Dom 9h-12h30/14h-17h</t>
  </si>
  <si>
    <t>Fortaleza do século XII em Centro. Testemunho da reconquista e do senhorio medieval português, com muralhas, torre de menagem e vistas panorâmicas sobre o território histórico da região. Entrada Adulto 1€.</t>
  </si>
  <si>
    <t>Castelo de Montemor-o-Velho</t>
  </si>
  <si>
    <t>Alto do Castelo, Montemor</t>
  </si>
  <si>
    <t>Seg-Dom 10h-18h</t>
  </si>
  <si>
    <t>Fortaleza Séc. X em Montemor. Testemunho da reconquista e do senhorio medieval português, com muralhas, torre de menagem e vistas panorâmicas sobre o território histórico da região. Entrada Adulto 2€.</t>
  </si>
  <si>
    <t>Castelo de Santa Olaia (Figueira)</t>
  </si>
  <si>
    <t>Figueira da Foz</t>
  </si>
  <si>
    <t>Fortaleza Romano / Séc. XIV em Centro. Testemunho da reconquista e do senhorio medieval português, com muralhas, torre de menagem e vistas panorâmicas sobre o território histórico da região. Entrada gratuita.</t>
  </si>
  <si>
    <t>Castelo de Seia (Torres Vermelhas)</t>
  </si>
  <si>
    <t>Fortaleza do século XII em Centro. Testemunho da reconquista e do senhorio medieval português, com muralhas, torre de menagem e vistas panorâmicas sobre o território histórico da região. Entrada gratuita.</t>
  </si>
  <si>
    <t>Castelo de Viseu</t>
  </si>
  <si>
    <t>Fortaleza do século XII em Viseu. Testemunho da reconquista e do senhorio medieval português, com muralhas, torre de menagem e vistas panorâmicas sobre o território histórico da região. Entrada gratuita.</t>
  </si>
  <si>
    <t>Castelo de Trancoso</t>
  </si>
  <si>
    <t>Largo do Castelo, Trancoso</t>
  </si>
  <si>
    <t>Fortaleza do século XII em Trancoso. Testemunho da reconquista e do senhorio medieval português, com muralhas, torre de menagem e vistas panorâmicas sobre o território histórico da região. Entrada gratuita.</t>
  </si>
  <si>
    <t>Castelo de Pinhel</t>
  </si>
  <si>
    <t>Largo do Castelo, Pinhel</t>
  </si>
  <si>
    <t>Fortaleza do século XII em Pinhel. Testemunho da reconquista e do senhorio medieval português, com muralhas, torre de menagem e vistas panorâmicas sobre o território histórico da região. Entrada gratuita.</t>
  </si>
  <si>
    <t>Castelo de Almeida</t>
  </si>
  <si>
    <t>Séc. XVII</t>
  </si>
  <si>
    <t>Praça da Praça, Almeida</t>
  </si>
  <si>
    <t>Exterior livre (Fortaleza)</t>
  </si>
  <si>
    <t>Fortaleza do século XVII em Almeida. Testemunho da reconquista e do senhorio medieval português, com muralhas, torre de menagem e vistas panorâmicas sobre o território histórico da região. Entrada gratuita.</t>
  </si>
  <si>
    <t>Castelo de Belmonte</t>
  </si>
  <si>
    <t>Ter-Dom 9h-12h30/14h-17h30</t>
  </si>
  <si>
    <t>Fortaleza do século XII em Centro. Testemunho da reconquista e do senhorio medieval português, com muralhas, torre de menagem e vistas panorâmicas sobre o território histórico da região. Entrada Adulto 1,50€.</t>
  </si>
  <si>
    <t>Seg-Dom 24h</t>
  </si>
  <si>
    <t>Castelo de Idanha-a-Velha</t>
  </si>
  <si>
    <t>Romano / Séc. VI</t>
  </si>
  <si>
    <t>Idanha-a-Velha</t>
  </si>
  <si>
    <t>Fortaleza Romano / Séc. VI em Centro. Testemunho da reconquista e do senhorio medieval português, com muralhas, torre de menagem e vistas panorâmicas sobre o território histórico da região. Entrada gratuita.</t>
  </si>
  <si>
    <t>Castelo de Penamacor</t>
  </si>
  <si>
    <t>Castelo de Sabugal</t>
  </si>
  <si>
    <t>Largo do Castelo, Sabugal</t>
  </si>
  <si>
    <t>Ter-Dom 10h-12h/14h-17h30</t>
  </si>
  <si>
    <t>Fortaleza do século XIII em Sabugal. Testemunho da reconquista e do senhorio medieval português, com muralhas, torre de menagem e vistas panorâmicas sobre o território histórico da região. Entrada Adulto 1€.</t>
  </si>
  <si>
    <t>Castelo de Castelo Branco</t>
  </si>
  <si>
    <t>Miradouro S. Gens, Castelo Branco</t>
  </si>
  <si>
    <t>Fortaleza do século XIII em Castelo Branco. Testemunho da reconquista e do senhorio medieval português, com muralhas, torre de menagem e vistas panorâmicas sobre o território histórico da região. Entrada gratuita.</t>
  </si>
  <si>
    <t xml:space="preserve">  🟩  LISBOA  ·  8 entradas</t>
  </si>
  <si>
    <t>Castelo de São Jorge</t>
  </si>
  <si>
    <t>Séc. XI</t>
  </si>
  <si>
    <t>Rua de Santa Cruz do Castelo, Lisboa</t>
  </si>
  <si>
    <t>Mar-Out 9h-21h; Nov-Fev 9h-18h</t>
  </si>
  <si>
    <t>Adulto 15€; &lt;10 Grátis</t>
  </si>
  <si>
    <t>Fortaleza Séc. XI em Lisboa. Testemunho da reconquista e do senhorio medieval português, com muralhas, torre de menagem e vistas panorâmicas sobre o território histórico da região. Entrada gratuita.</t>
  </si>
  <si>
    <t>Castelo de Palmela</t>
  </si>
  <si>
    <t>Largo do Castelo, Palmela</t>
  </si>
  <si>
    <t>Ter-Dom 10h-17h; Fechado 2ª</t>
  </si>
  <si>
    <t>Adulto 3€; &lt;12 Grátis</t>
  </si>
  <si>
    <t>Fortaleza do século XII em Palmela. Testemunho da reconquista e do senhorio medieval português, com muralhas, torre de menagem e vistas panorâmicas sobre o território histórico da região. Entrada gratuita.</t>
  </si>
  <si>
    <t>Castelo de Sesimbra</t>
  </si>
  <si>
    <t>Seg-Dom 9h-18h</t>
  </si>
  <si>
    <t>Fortaleza do século XII em Lisboa. Testemunho da reconquista e do senhorio medieval português, com muralhas, torre de menagem e vistas panorâmicas sobre o território histórico da região. Entrada gratuita.</t>
  </si>
  <si>
    <t>Castelo de Torres Vedras</t>
  </si>
  <si>
    <t>Praça 25 de Abril, Torres Vedras</t>
  </si>
  <si>
    <t>Ter-Dom 9h-17h</t>
  </si>
  <si>
    <t>Fortaleza do século XIII em Torres Vedras. Testemunho da reconquista e do senhorio medieval português, com muralhas, torre de menagem e vistas panorâmicas sobre o território histórico da região. Entrada gratuita.</t>
  </si>
  <si>
    <t>Rua da Cadeia, Óbidos</t>
  </si>
  <si>
    <t>Seg-Dom 9h-19h</t>
  </si>
  <si>
    <t>Gratuito (muralhas)—Pousada acesso privado</t>
  </si>
  <si>
    <t>Fortaleza do século XII em Óbidos. Testemunho da reconquista e do senhorio medieval português, com muralhas, torre de menagem e vistas panorâmicas sobre o território histórico da região. Entrada gratuita.</t>
  </si>
  <si>
    <t>Castelo de Sintra (Mouros)</t>
  </si>
  <si>
    <t>Séc. IX</t>
  </si>
  <si>
    <t>Estrada da Pena, Sintra</t>
  </si>
  <si>
    <t>Mar-Out 9h-20h; Nov-Fev 10h-18h</t>
  </si>
  <si>
    <t>Adulto 8€; &lt;6 Grátis</t>
  </si>
  <si>
    <t>Fortaleza Séc. IX em Sintra. Testemunho da reconquista e do senhorio medieval português, com muralhas, torre de menagem e vistas panorâmicas sobre o território histórico da região. Entrada gratuita.</t>
  </si>
  <si>
    <t>Castelo de Alenquer</t>
  </si>
  <si>
    <t>Largo do Castelo, Alenquer</t>
  </si>
  <si>
    <t>Fortaleza do século XIII em Alenquer. Testemunho da reconquista e do senhorio medieval português, com muralhas, torre de menagem e vistas panorâmicas sobre o território histórico da região. Entrada gratuita.</t>
  </si>
  <si>
    <t>Castelo de Almada</t>
  </si>
  <si>
    <t>Séc. XV</t>
  </si>
  <si>
    <t>Jardim do Castelo, Almada</t>
  </si>
  <si>
    <t>Fortaleza do século XV em Almada. Testemunho da reconquista e do senhorio medieval português, com muralhas, torre de menagem e vistas panorâmicas sobre o território histórico da região. Entrada gratuita.</t>
  </si>
  <si>
    <t xml:space="preserve">  🟧  ALENTEJO  ·  31 entradas</t>
  </si>
  <si>
    <t>R. do Castelo, 7330-101 Marvão</t>
  </si>
  <si>
    <t>Fortaleza do século XIII em 7330-101 Marvão. Testemunho da reconquista e do senhorio medieval português, com muralhas, torre de menagem e vistas panorâmicas sobre o território histórico da região. Entrada gratuita.</t>
  </si>
  <si>
    <t>Castelo de Elvas</t>
  </si>
  <si>
    <t>Parada do Castelo, 7350-141 Elvas</t>
  </si>
  <si>
    <t>Fortaleza do século XIII em 7350-141 Elvas. Testemunho da reconquista e do senhorio medieval português, com muralhas, torre de menagem e vistas panorâmicas sobre o território histórico da região. Entrada gratuita.</t>
  </si>
  <si>
    <t>Castelo de Arraiolos</t>
  </si>
  <si>
    <t>Pós-Séc. XIII</t>
  </si>
  <si>
    <t>Monte de S. Pedro, 7040-058 Arraiolos</t>
  </si>
  <si>
    <t>Fortaleza Pós-Séc. XIII em 7040-058 Arraiolos. Testemunho da reconquista e do senhorio medieval português, com muralhas, torre de menagem e vistas panorâmicas sobre o território histórico da região. Entrada gratuita.</t>
  </si>
  <si>
    <t>Castelo de Beja</t>
  </si>
  <si>
    <t>Largo Dr. Lima de Carvalho, 7800-427 Beja</t>
  </si>
  <si>
    <t>Fortaleza Pós-Séc. XIII em 7800-427 Beja. Testemunho da reconquista e do senhorio medieval português, com muralhas, torre de menagem e vistas panorâmicas sobre o território histórico da região. Entrada gratuita.</t>
  </si>
  <si>
    <t>Castelo de Vila Viçosa</t>
  </si>
  <si>
    <t>Terreiro do Paço, 7160-214 Vila Viçosa</t>
  </si>
  <si>
    <t>Fortaleza Pós-Séc. XIII em 7160-214 Vila Viçosa. Testemunho da reconquista e do senhorio medieval português, com muralhas, torre de menagem e vistas panorâmicas sobre o território histórico da região. Entrada gratuita.</t>
  </si>
  <si>
    <t>R. do Castelo, 7520-159 Sines</t>
  </si>
  <si>
    <t>Fortaleza Pós-Séc. XIII em 7520-159 Sines. Testemunho da reconquista e do senhorio medieval português, com muralhas, torre de menagem e vistas panorâmicas sobre o território histórico da região.</t>
  </si>
  <si>
    <t>Castelo de Estremoz</t>
  </si>
  <si>
    <t>Ter-Dom 10h-12h30/14h-18h</t>
  </si>
  <si>
    <t>Fortaleza do século XIII em Estremoz. Testemunho da reconquista e do senhorio medieval português, com muralhas, torre de menagem e vistas panorâmicas sobre o território histórico da região. Entrada Adulto 2€.</t>
  </si>
  <si>
    <t>Castelo de Borba</t>
  </si>
  <si>
    <t>Borba</t>
  </si>
  <si>
    <t>Fortaleza do século XIII em Alentejo. Testemunho da reconquista e do senhorio medieval português, com muralhas, torre de menagem e vistas panorâmicas sobre o território histórico da região. Entrada gratuita.</t>
  </si>
  <si>
    <t>Terreira do Paço, Vila Viçosa</t>
  </si>
  <si>
    <t>Ter-Dom 9h30-13h/14h-17h30</t>
  </si>
  <si>
    <t>Adulto 5€</t>
  </si>
  <si>
    <t>Fortaleza do século XIII em Vila Viçosa. Testemunho da reconquista e do senhorio medieval português, com muralhas, torre de menagem e vistas panorâmicas sobre o território histórico da região. Entrada Adulto 5€.</t>
  </si>
  <si>
    <t>Castelo de Alandroal</t>
  </si>
  <si>
    <t>Fortaleza do século XIV em Alentejo. Testemunho da reconquista e do senhorio medieval português, com muralhas, torre de menagem e vistas panorâmicas sobre o território histórico da região. Entrada gratuita.</t>
  </si>
  <si>
    <t>Castelo de Juromenha</t>
  </si>
  <si>
    <t>Juromenha, Alandroal</t>
  </si>
  <si>
    <t>Fortaleza do século XVII em Alandroal. Testemunho da reconquista e do senhorio medieval português, com muralhas, torre de menagem e vistas panorâmicas sobre o território histórico da região. Entrada gratuita.</t>
  </si>
  <si>
    <t>Castelo de Mourão</t>
  </si>
  <si>
    <t>Castelo de Moura</t>
  </si>
  <si>
    <t>Largo do Castelo, Moura</t>
  </si>
  <si>
    <t>Fortaleza do século XIII em Moura. Testemunho da reconquista e do senhorio medieval português, com muralhas, torre de menagem e vistas panorâmicas sobre o território histórico da região. Entrada gratuita.</t>
  </si>
  <si>
    <t>Castelo de Serpa</t>
  </si>
  <si>
    <t>Fortaleza do século XIII em Alentejo. Testemunho da reconquista e do senhorio medieval português, com muralhas, torre de menagem e vistas panorâmicas sobre o território histórico da região. Entrada Adulto 2€.</t>
  </si>
  <si>
    <t>Castelo de Mértola</t>
  </si>
  <si>
    <t>Rua da Igreja, Mértola</t>
  </si>
  <si>
    <t>Fortaleza do século XII em Mértola. Testemunho da reconquista e do senhorio medieval português, com muralhas, torre de menagem e vistas panorâmicas sobre o território histórico da região. Entrada Adulto 2€.</t>
  </si>
  <si>
    <t>Castelo de Alcácer do Sal</t>
  </si>
  <si>
    <t>Pousada Dom Afonso II, Alcácer</t>
  </si>
  <si>
    <t>Pousada — visita exterior livre</t>
  </si>
  <si>
    <t>Fortaleza Romano / Séc. XII em Alcácer. Testemunho da reconquista e do senhorio medieval português, com muralhas, torre de menagem e vistas panorâmicas sobre o território histórico da região. Entrada gratuita.</t>
  </si>
  <si>
    <t>Castelo de Santiago do Cacém</t>
  </si>
  <si>
    <t>Santiago do Cacém</t>
  </si>
  <si>
    <t>Fortaleza do século XIII em Alentejo. Testemunho da reconquista e do senhorio medieval português, com muralhas, torre de menagem e vistas panorâmicas sobre o território histórico da região. Entrada Adulto 1€.</t>
  </si>
  <si>
    <t>Largo do Castelo, Sines</t>
  </si>
  <si>
    <t>Fortaleza do século XIV em Sines. Testemunho da reconquista e do senhorio medieval português, com muralhas, torre de menagem e vistas panorâmicas sobre o território histórico da região. Entrada Adulto 2€.</t>
  </si>
  <si>
    <t>Castelo de Grândola (Ruínas)</t>
  </si>
  <si>
    <t>Fortaleza do século XII em Alentejo. Testemunho da reconquista e do senhorio medieval português, com muralhas, torre de menagem e vistas panorâmicas sobre o território histórico da região. Entrada gratuita.</t>
  </si>
  <si>
    <t>Castelo de Ourique</t>
  </si>
  <si>
    <t>Castelo de Viana do Alentejo</t>
  </si>
  <si>
    <t>Ter-Dom 9h-12h30/14h-18h</t>
  </si>
  <si>
    <t>Fortaleza do século XIV em Alentejo. Testemunho da reconquista e do senhorio medieval português, com muralhas, torre de menagem e vistas panorâmicas sobre o território histórico da região. Entrada Adulto 2€.</t>
  </si>
  <si>
    <t>Castelo de Redondo</t>
  </si>
  <si>
    <t>Arraiolos</t>
  </si>
  <si>
    <t>Castelo de Monforte</t>
  </si>
  <si>
    <t>Castelo de Portalegre</t>
  </si>
  <si>
    <t>Castelo de Campo Maior</t>
  </si>
  <si>
    <t>Castelo de Ouguela</t>
  </si>
  <si>
    <t>Ouguela, Campo Maior</t>
  </si>
  <si>
    <t>Fortaleza do século XIII em Campo Maior. Testemunho da reconquista e do senhorio medieval português, com muralhas, torre de menagem e vistas panorâmicas sobre o território histórico da região. Entrada gratuita.</t>
  </si>
  <si>
    <t>Castelo de Alter do Chão</t>
  </si>
  <si>
    <t>Fortaleza do século XIV em Alentejo. Testemunho da reconquista e do senhorio medieval português, com muralhas, torre de menagem e vistas panorâmicas sobre o território histórico da região. Entrada Adulto 1,50€.</t>
  </si>
  <si>
    <t>Castelo de Crato</t>
  </si>
  <si>
    <t>Crato</t>
  </si>
  <si>
    <t>Castelo de Avis</t>
  </si>
  <si>
    <t>Avis</t>
  </si>
  <si>
    <t>Castelo de Mora</t>
  </si>
  <si>
    <t xml:space="preserve">  🟥  ALGARVE  ·  11 entradas</t>
  </si>
  <si>
    <t>Castelo de Aljezur</t>
  </si>
  <si>
    <t>Cerro do Castelo, 8670-000 Aljezur</t>
  </si>
  <si>
    <t>Fortaleza dos séculos XI-XII em 8670-000 Aljezur. Testemunho da reconquista e do senhorio medieval português, com muralhas, torre de menagem e vistas panorâmicas sobre o território histórico da região. Entrada gratuita.</t>
  </si>
  <si>
    <t>Castelo de Alvor</t>
  </si>
  <si>
    <t>R. do Castelo, 8500-013 Alvor, Portimão</t>
  </si>
  <si>
    <t>Fortaleza dos séculos XI-XII em Portimão. Testemunho da reconquista e do senhorio medieval português, com muralhas, torre de menagem e vistas panorâmicas sobre o território histórico da região. Entrada gratuita.</t>
  </si>
  <si>
    <t>Castelo de Silves</t>
  </si>
  <si>
    <t>R. do Castelo, 8300-135 Silves</t>
  </si>
  <si>
    <t>Fortaleza dos séculos XI-XII em 8300-135 Silves. Testemunho da reconquista e do senhorio medieval português, com muralhas, torre de menagem e vistas panorâmicas sobre o território histórico da região. Entrada gratuita.</t>
  </si>
  <si>
    <t>Séc. VIII</t>
  </si>
  <si>
    <t>Rua do Castelo, Silves</t>
  </si>
  <si>
    <t>Jan-Mai/Out-Dez 9h-17h30; Jun-Set 9h-19h</t>
  </si>
  <si>
    <t>Adulto 3,30€; &lt;12 Grátis</t>
  </si>
  <si>
    <t>Fortaleza Séc. VIII em Silves. Testemunho da reconquista e do senhorio medieval português, com muralhas, torre de menagem e vistas panorâmicas sobre o território histórico da região. Entrada gratuita.</t>
  </si>
  <si>
    <t>Castelo de Tavira</t>
  </si>
  <si>
    <t>Seg-Sex 9h-17h; Sáb-Dom 9h-17h</t>
  </si>
  <si>
    <t>Adulto 2€; Grátis dom</t>
  </si>
  <si>
    <t>Fortaleza do século XIII em Tavira. Testemunho da reconquista e do senhorio medieval português, com muralhas, torre de menagem e vistas panorâmicas sobre o território histórico da região. Entrada gratuita.</t>
  </si>
  <si>
    <t>Castelo de Castro Marim</t>
  </si>
  <si>
    <t>Seg-Dom 9h-17h</t>
  </si>
  <si>
    <t>Fortaleza do século XIII em Algarve. Testemunho da reconquista e do senhorio medieval português, com muralhas, torre de menagem e vistas panorâmicas sobre o território histórico da região. Entrada Adulto 2€.</t>
  </si>
  <si>
    <t>Fortaleza de Sagres</t>
  </si>
  <si>
    <t>Ponta de Sagres</t>
  </si>
  <si>
    <t>Maio-Set 9h30-20h; Out-Abr 9h30-17h30</t>
  </si>
  <si>
    <t>Fortaleza do século XV em Algarve. Testemunho da reconquista e do senhorio medieval português, com muralhas, torre de menagem e vistas panorâmicas sobre o território histórico da região. Entrada gratuita.</t>
  </si>
  <si>
    <t>Fortaleza de Alcoutim</t>
  </si>
  <si>
    <t>Alcoutim</t>
  </si>
  <si>
    <t>Fortaleza do século XIV em Algarve. Testemunho da reconquista e do senhorio medieval português, com muralhas, torre de menagem e vistas panorâmicas sobre o território histórico da região. Entrada Adulto 2€.</t>
  </si>
  <si>
    <t>Forte de Beliche — Sagres</t>
  </si>
  <si>
    <t>Estrada do Cabo de São Vicente</t>
  </si>
  <si>
    <t>Fortaleza do século XVI em Algarve. Testemunho da reconquista e do senhorio medieval português, com muralhas, torre de menagem e vistas panorâmicas sobre o território histórico da região. Entrada gratuita.</t>
  </si>
  <si>
    <t>Fortaleza de Arrifana</t>
  </si>
  <si>
    <t>Praia da Arrifana, Aljezur</t>
  </si>
  <si>
    <t>Fortaleza do século XVII em Aljezur. Testemunho da reconquista e do senhorio medieval português, com muralhas, torre de menagem e vistas panorâmicas sobre o território histórico da região. Entrada gratuita.</t>
  </si>
  <si>
    <t>Castelo de Loulé</t>
  </si>
  <si>
    <t>Rua Paio Peres Correia, Loulé</t>
  </si>
  <si>
    <t>Seg-Sex 9h-17h30; Sáb 9h-17h</t>
  </si>
  <si>
    <t>Adulto 3€</t>
  </si>
  <si>
    <t>Fortaleza do século XIII em Loulé. Testemunho da reconquista e do senhorio medieval português, com muralhas, torre de menagem e vistas panorâmicas sobre o território histórico da região. Entrada Adulto 3€.</t>
  </si>
  <si>
    <t xml:space="preserve">  🟪  AÇORES  ·  3 entradas</t>
  </si>
  <si>
    <t>Forte de São Brás — Ponta Delgada</t>
  </si>
  <si>
    <t>Seg-Sex 9h-17h; Sáb 9h-13h</t>
  </si>
  <si>
    <t>Fortaleza do século XVI em São Miguel. Testemunho da reconquista e do senhorio medieval português, com muralhas, torre de menagem e vistas panorâmicas sobre o território histórico da região. Entrada Adulto 2€.</t>
  </si>
  <si>
    <t>Castelo de Angra do Heroísmo — Monte Brasil</t>
  </si>
  <si>
    <t>Monte Brasil, Terceira</t>
  </si>
  <si>
    <t>Fortaleza do século XVI em Terceira. Testemunho da reconquista e do senhorio medieval português, com muralhas, torre de menagem e vistas panorâmicas sobre o território histórico da região. Entrada gratuita.</t>
  </si>
  <si>
    <t>Forte de São Sebastião — Terceira</t>
  </si>
  <si>
    <t>Gratuito (UNESCO)</t>
  </si>
  <si>
    <t>Fortaleza do século XVI em Açores. Testemunho da reconquista e do senhorio medieval português, com muralhas, torre de menagem e vistas panorâmicas sobre o território histórico da região. Entrada gratuita.</t>
  </si>
  <si>
    <t>Forte de São Tiago — Funchal</t>
  </si>
  <si>
    <t>Rua do Portão de São Tiago, Funchal</t>
  </si>
  <si>
    <t>Seg-Sex 9h30-12h30/14h-17h30</t>
  </si>
  <si>
    <t>Fortaleza do século XVII em Funchal. Testemunho da reconquista e do senhorio medieval português, com muralhas, torre de menagem e vistas panorâmicas sobre o território histórico da região. Entrada Adulto 2€.</t>
  </si>
  <si>
    <t>Fortaleza do Pico — Funchal</t>
  </si>
  <si>
    <t>Caminho da Fortaleza, Funchal</t>
  </si>
  <si>
    <t>Seg-Sex 9h-17h</t>
  </si>
  <si>
    <t>Forte de São João Baptista — Porto Santo</t>
  </si>
  <si>
    <t>Porto Santo</t>
  </si>
  <si>
    <t>Fortaleza do século XVII em Madeira. Testemunho da reconquista e do senhorio medieval português, com muralhas, torre de menagem e vistas panorâmicas sobre o território histórico da região. Entrada gratuita.</t>
  </si>
  <si>
    <t>🏰  109 entradas  ·  Portugal Vivo — Base de Dados de Turismo Cultural  ·  CASTELOS DE PORTUGAL</t>
  </si>
  <si>
    <t>🏯  PALÁCIOS E SOLARES DE PORTUGAL  —  187 entradas</t>
  </si>
  <si>
    <t>Norte · Centro · Lisboa · Alentejo · Algarve · Açores · Madeira  ·  Palácios, Quintas Senhoriais e Solares Históricos</t>
  </si>
  <si>
    <t xml:space="preserve">  🟦  NORTE  ·  172 entradas</t>
  </si>
  <si>
    <t>Palácio da Bolsa</t>
  </si>
  <si>
    <t>R. de Ferreira Borges, 4050-253 Porto</t>
  </si>
  <si>
    <t>223399000</t>
  </si>
  <si>
    <t>09:00-18:30</t>
  </si>
  <si>
    <t>12,00€</t>
  </si>
  <si>
    <t>Obra neoclássica com o famoso Salão Árabe.</t>
  </si>
  <si>
    <t>Palácio do Freixo</t>
  </si>
  <si>
    <t>Est. Nacional 108, 4300-316 Porto</t>
  </si>
  <si>
    <t>225311000</t>
  </si>
  <si>
    <t>Jardins livres (dia)</t>
  </si>
  <si>
    <t>Joia barroca de Nasoni; hoje Pousada histórica.</t>
  </si>
  <si>
    <t>Paço Episcopal do Porto</t>
  </si>
  <si>
    <t>Terreiro da Sé, 4050-573 Porto</t>
  </si>
  <si>
    <t>223392330</t>
  </si>
  <si>
    <t>09:00-18:00</t>
  </si>
  <si>
    <t>5,00€</t>
  </si>
  <si>
    <t>Residência dos Bispos com escadaria monumental.</t>
  </si>
  <si>
    <t>Palácio de Cristal (Jardins)</t>
  </si>
  <si>
    <t>R. Dom Manuel II, 4050-346 Porto</t>
  </si>
  <si>
    <t>08:00-19:00</t>
  </si>
  <si>
    <t>Miradouros sobre o Douro; jardins monumentais.</t>
  </si>
  <si>
    <t>Palacete Visconde de Vilar d'Allen</t>
  </si>
  <si>
    <t>R. de António Cardoso 175, Porto</t>
  </si>
  <si>
    <t>226007340</t>
  </si>
  <si>
    <t>10:00-18:00</t>
  </si>
  <si>
    <t>Casa das Artes com arquitetura romântica.</t>
  </si>
  <si>
    <t>Palácio de São João Novo</t>
  </si>
  <si>
    <t>Largo de São João Novo, Porto</t>
  </si>
  <si>
    <t>222003400</t>
  </si>
  <si>
    <t>Exterior</t>
  </si>
  <si>
    <t>Arquitetura civil setecentista (exterior).</t>
  </si>
  <si>
    <t>Solar dos Condes de Resende</t>
  </si>
  <si>
    <t>Porto/Gaia</t>
  </si>
  <si>
    <t>Travessa da Condessa de Resende, Gaia</t>
  </si>
  <si>
    <t>223754318</t>
  </si>
  <si>
    <t>09:30-17:00</t>
  </si>
  <si>
    <t>Solar ou palácio do séc. Travessa da Condessa de Resende, Gaia em Porto/Gaia. Arquitectura senhorial portuguesa de referência regional. 223754318.</t>
  </si>
  <si>
    <t>Palacete Pinto Leite</t>
  </si>
  <si>
    <t>R. da Maternidade 3, Porto</t>
  </si>
  <si>
    <t>223393480</t>
  </si>
  <si>
    <t>Sob consulta</t>
  </si>
  <si>
    <t>Variável</t>
  </si>
  <si>
    <t>Notável pelas talhas douradas e tetos pintados.</t>
  </si>
  <si>
    <t>Palácio dos Duques de Bragança</t>
  </si>
  <si>
    <t>R. Conde Dom Henrique, 4800, Guimarães</t>
  </si>
  <si>
    <t>253412273</t>
  </si>
  <si>
    <t>Palácio medieval inspirado no estilo francês. Museu.</t>
  </si>
  <si>
    <t>Palácio do Raio</t>
  </si>
  <si>
    <t>R. do Raio, Braga</t>
  </si>
  <si>
    <t>253206520</t>
  </si>
  <si>
    <t>10:00-18:30</t>
  </si>
  <si>
    <t>2,00€</t>
  </si>
  <si>
    <t>A fachada mais exuberante do rococó minhoto.</t>
  </si>
  <si>
    <t>Palácio dos Biscainhos</t>
  </si>
  <si>
    <t>R. dos Biscainhos, Braga</t>
  </si>
  <si>
    <t>253204650</t>
  </si>
  <si>
    <t>10:00-17:30</t>
  </si>
  <si>
    <t>Museu de artes decorativas e jardim histórico.</t>
  </si>
  <si>
    <t>Palácio de Vila Flor</t>
  </si>
  <si>
    <t>Av. D. Afonso Henriques, Guimarães</t>
  </si>
  <si>
    <t>253420340</t>
  </si>
  <si>
    <t>10:00-19:00</t>
  </si>
  <si>
    <t>Jardins gratuitos</t>
  </si>
  <si>
    <t>Jardins em socalcos com vista para Guimarães.</t>
  </si>
  <si>
    <t>Paço Arquiepiscopal de Braga</t>
  </si>
  <si>
    <t>Praça do Município, Braga</t>
  </si>
  <si>
    <t>253601200</t>
  </si>
  <si>
    <t>Visita limitada</t>
  </si>
  <si>
    <t>Sede da biblioteca pública e governo distrital.</t>
  </si>
  <si>
    <t>Palacete Dona Chica</t>
  </si>
  <si>
    <t>R. do Castelo, Palmeira, Braga</t>
  </si>
  <si>
    <t>Solar ou palácio do séc. R. do Castelo, Palmeira, Braga em Braga. Arquitectura senhorial portuguesa de referência regional. N/A.</t>
  </si>
  <si>
    <t>Paço de Giela</t>
  </si>
  <si>
    <t>Giela, Arcos de Valdevez</t>
  </si>
  <si>
    <t>258520520</t>
  </si>
  <si>
    <t>Exemplo raro de arquitetura senhorial militar.</t>
  </si>
  <si>
    <t>Palácio da Brejoeira</t>
  </si>
  <si>
    <t>Pinheiros, Monção</t>
  </si>
  <si>
    <t>251656123</t>
  </si>
  <si>
    <t>12,50€</t>
  </si>
  <si>
    <t>Magnífico palácio neoclássico. Vinho Verde.</t>
  </si>
  <si>
    <t>Paço de Lanheses</t>
  </si>
  <si>
    <t>R. do Paço, Lanheses</t>
  </si>
  <si>
    <t>258731538</t>
  </si>
  <si>
    <t>Sob marcação</t>
  </si>
  <si>
    <t>Solar histórico com Turismo de Habitação.</t>
  </si>
  <si>
    <t>Paço de Calheiros</t>
  </si>
  <si>
    <t>Calheiros, Ponte de Lima</t>
  </si>
  <si>
    <t>258947164</t>
  </si>
  <si>
    <t>Visitas agendadas</t>
  </si>
  <si>
    <t>5,00€-10,00€</t>
  </si>
  <si>
    <t>Solar ou palácio do séc. Calheiros, Ponte de Lima em Ponte de Lima. Arquitectura senhorial portuguesa de referência regional. 258947164.</t>
  </si>
  <si>
    <t>Casa do Ameal</t>
  </si>
  <si>
    <t>R. do Ameal, Viana do Castelo</t>
  </si>
  <si>
    <t>258822403</t>
  </si>
  <si>
    <t>Arquitetura tradicional com jardins de camélias.</t>
  </si>
  <si>
    <t>Solar de Bertiandos</t>
  </si>
  <si>
    <t>Bertiandos, Ponte de Lima</t>
  </si>
  <si>
    <t>258900400</t>
  </si>
  <si>
    <t>Jardins livres</t>
  </si>
  <si>
    <t>Torres laterais e escadaria emblemáticas.</t>
  </si>
  <si>
    <t>Palácio de Mateus</t>
  </si>
  <si>
    <t>14,50€</t>
  </si>
  <si>
    <t>Solar ou palácio do séc. Fundação Casa de Mateus, Vila Real em Vila Real. Arquitectura senhorial portuguesa de referência regional. 259323121.</t>
  </si>
  <si>
    <t>Vidago Palace</t>
  </si>
  <si>
    <t>Parque de Vidago, Chaves</t>
  </si>
  <si>
    <t>Parque livre</t>
  </si>
  <si>
    <t>Solar ou palácio do séc. Parque de Vidago, Chaves em Chaves. Arquitectura senhorial portuguesa de referência regional. 276990920.</t>
  </si>
  <si>
    <t>Casa da Calçada</t>
  </si>
  <si>
    <t>Largo do Paço 6, Amarante</t>
  </si>
  <si>
    <t>255410830</t>
  </si>
  <si>
    <t>Hotel/Restaurante</t>
  </si>
  <si>
    <t>Palácio amarelo icónico sobre o rio Tâmega.</t>
  </si>
  <si>
    <t>Casa de Santar</t>
  </si>
  <si>
    <t>Santar, Nelas</t>
  </si>
  <si>
    <t>15,00€</t>
  </si>
  <si>
    <t>Conjunto monumental com jardins magníficos.</t>
  </si>
  <si>
    <t>Solar dos Pintos (Marco)</t>
  </si>
  <si>
    <t>Aliviada, Marco de Canaveses</t>
  </si>
  <si>
    <t>255534330</t>
  </si>
  <si>
    <t>Casa brasonada clássica da região de Lamego.</t>
  </si>
  <si>
    <t>Solar de Pancas</t>
  </si>
  <si>
    <t>R. de Pancas, Mesão Frio</t>
  </si>
  <si>
    <t>254890100</t>
  </si>
  <si>
    <t>Solar ou palácio do séc. R. de Pancas, Mesão Frio em Mesão Frio. Arquitectura senhorial portuguesa de referência regional. 254890100.</t>
  </si>
  <si>
    <t>Palacete de Alijó — Pousada Forrester</t>
  </si>
  <si>
    <t>R. José Rufino, Alijó</t>
  </si>
  <si>
    <t>259959215</t>
  </si>
  <si>
    <t>Livre (áreas comuns)</t>
  </si>
  <si>
    <t>Solar ou palácio do séc. R. José Rufino, Alijó em Alijó. Arquitectura senhorial portuguesa de referência regional. 259959215.</t>
  </si>
  <si>
    <t>Paço de Vilar de Perdizes</t>
  </si>
  <si>
    <t>Vilar de Perdizes, Montalegre</t>
  </si>
  <si>
    <t>276510200</t>
  </si>
  <si>
    <t>Exterior/Eventos</t>
  </si>
  <si>
    <t>Solar ou palácio do séc. Vilar de Perdizes, Montalegre em Montalegre. Arquitectura senhorial portuguesa de referência regional. 276510200.</t>
  </si>
  <si>
    <t>Solar dos Condes de Bragança (Cidadela)</t>
  </si>
  <si>
    <t>Cidadela, Bragança</t>
  </si>
  <si>
    <t>273381270</t>
  </si>
  <si>
    <t>09:00-17:00</t>
  </si>
  <si>
    <t>Residência histórica dentro do Castelo de Bragança.</t>
  </si>
  <si>
    <t>Paço das Escolas — Universidade de Coimbra</t>
  </si>
  <si>
    <t>Largo da Porta Férrea, 3000-447 Coimbra</t>
  </si>
  <si>
    <t>239859900</t>
  </si>
  <si>
    <t>09:00-19:00</t>
  </si>
  <si>
    <t>Antigo palácio real. Biblioteca Joanina. UNESCO.</t>
  </si>
  <si>
    <t>Palácio de Buçaco (Palace Hotel)</t>
  </si>
  <si>
    <t>Luso</t>
  </si>
  <si>
    <t>Mata do Bussaco, 3050-261 Luso</t>
  </si>
  <si>
    <t>231937970</t>
  </si>
  <si>
    <t>Jardins; interior hóspedes</t>
  </si>
  <si>
    <t>5,00€ (carro)</t>
  </si>
  <si>
    <t>Obra-prima do neo-manuelino na mata sagrada.</t>
  </si>
  <si>
    <t>Palácio de Sotto Maior (Belle Époque)</t>
  </si>
  <si>
    <t>R. de Sotto Maior, Figueira da Foz</t>
  </si>
  <si>
    <t>233408400</t>
  </si>
  <si>
    <t>Visitas sazonais (Verão)</t>
  </si>
  <si>
    <t>Palacete francês Belle Époque com interiores luxuosos.</t>
  </si>
  <si>
    <t>Paço de Maiorca</t>
  </si>
  <si>
    <t>Terreiro do Paço, Maiorca</t>
  </si>
  <si>
    <t>233939535</t>
  </si>
  <si>
    <t>2,50€</t>
  </si>
  <si>
    <t>Solar barroco com azulejaria e tetos pintados.</t>
  </si>
  <si>
    <t>Palácio dos Condes de Anadia</t>
  </si>
  <si>
    <t>Largo do Conde de Anadia, Mangualde</t>
  </si>
  <si>
    <t>232622353</t>
  </si>
  <si>
    <t>8,00€</t>
  </si>
  <si>
    <t>Um dos mais belos solares barrocos de Portugal.</t>
  </si>
  <si>
    <t>Paço dos Cunhas (Santar)</t>
  </si>
  <si>
    <t>Largo do Paço, 3520-127 Santar</t>
  </si>
  <si>
    <t>232945452</t>
  </si>
  <si>
    <t>Edifício séc. XVII com jardins históricos e vinho.</t>
  </si>
  <si>
    <t>Solar do Vinho do Dão — Antigo Paço Episcopal</t>
  </si>
  <si>
    <t>R. Aristides Sousa Mendes, Viseu</t>
  </si>
  <si>
    <t>232410060</t>
  </si>
  <si>
    <t>Solar ou palácio do séc. R. Aristides Sousa Mendes, Viseu em Viseu. Arquitectura senhorial portuguesa de referência regional. 232410060.</t>
  </si>
  <si>
    <t>Casa da Ínsua</t>
  </si>
  <si>
    <t>Penalva do Castelo</t>
  </si>
  <si>
    <t>Av. Castendo, Penalva do Castelo</t>
  </si>
  <si>
    <t>232642222</t>
  </si>
  <si>
    <t>Museu 10:00-18:00</t>
  </si>
  <si>
    <t>Solar barroco-hotel com jardins ingleses e franceses.</t>
  </si>
  <si>
    <t>Palácio Nacional de Mafra</t>
  </si>
  <si>
    <t>Mafra</t>
  </si>
  <si>
    <t>Terreiro de D. João V, Mafra</t>
  </si>
  <si>
    <t>261817550</t>
  </si>
  <si>
    <t>09:30-17:30</t>
  </si>
  <si>
    <t>6,00€</t>
  </si>
  <si>
    <t>Grandioso palácio-convento e basílica. UNESCO.</t>
  </si>
  <si>
    <t>Palácio dos Governadores (Castelo de Leiria)</t>
  </si>
  <si>
    <t>Leiria</t>
  </si>
  <si>
    <t>244839670</t>
  </si>
  <si>
    <t>2,10€</t>
  </si>
  <si>
    <t>Residência real medieval dentro do castelo.</t>
  </si>
  <si>
    <t>Palácio da Vila de Óbidos (Pousada)</t>
  </si>
  <si>
    <t>Paço Real, Óbidos</t>
  </si>
  <si>
    <t>262955080</t>
  </si>
  <si>
    <t>Exterior/comuns</t>
  </si>
  <si>
    <t>Paço real dentro da cidadela amuralhada.</t>
  </si>
  <si>
    <t>Palácio da Vista Alegre</t>
  </si>
  <si>
    <t>Ílhavo</t>
  </si>
  <si>
    <t>Fábrica Vista Alegre, Ílhavo</t>
  </si>
  <si>
    <t>234320628</t>
  </si>
  <si>
    <t>Palácio, museu e fábrica. Museu da Porcelana.</t>
  </si>
  <si>
    <t>Casa do Paço (Azulejos de Delft)</t>
  </si>
  <si>
    <t>R. 5 de Outubro, Figueira da Foz</t>
  </si>
  <si>
    <t>233402840</t>
  </si>
  <si>
    <t>10:00-17:00</t>
  </si>
  <si>
    <t>A maior coleção de azulejos de Delft do mundo.</t>
  </si>
  <si>
    <t>Solar dos Pintos (Gouveia)</t>
  </si>
  <si>
    <t>R. Abel Manta, Gouveia</t>
  </si>
  <si>
    <t>238493648</t>
  </si>
  <si>
    <t>Museu Municipal Abel Manta. Barroco imponente.</t>
  </si>
  <si>
    <t>Paço Episcopal de Castelo Branco (Jardins)</t>
  </si>
  <si>
    <t>272330330</t>
  </si>
  <si>
    <t>3,00€</t>
  </si>
  <si>
    <t>Famoso pelos jardins barrocos com estátuas de reis.</t>
  </si>
  <si>
    <t>Palácio da Borralha</t>
  </si>
  <si>
    <t>Borralha, Águeda</t>
  </si>
  <si>
    <t>234601546</t>
  </si>
  <si>
    <t>Eventos/visitas limitadas</t>
  </si>
  <si>
    <t>Solar ou palácio do séc. Borralha, Águeda em Águeda. Arquitectura senhorial portuguesa de referência regional. 234601546.</t>
  </si>
  <si>
    <t>15,00€ (jardins/adega)</t>
  </si>
  <si>
    <t>Paço do Bispo (Sertã)</t>
  </si>
  <si>
    <t>Cernache do Bonjardim, Sertã</t>
  </si>
  <si>
    <t>274600300</t>
  </si>
  <si>
    <t>Livre acesso</t>
  </si>
  <si>
    <t>Solar ou palácio do séc. Cernache do Bonjardim, Sertã em Sertã. Arquitectura senhorial portuguesa de referência regional. 274600300.</t>
  </si>
  <si>
    <t>Casa da Cerca (Alpedrinha)</t>
  </si>
  <si>
    <t>Alpedrinha, Fundão</t>
  </si>
  <si>
    <t>275010137</t>
  </si>
  <si>
    <t>Grande solar com vista panorâmica sobre a Gardunha.</t>
  </si>
  <si>
    <t>Paço Ducal de Vila Viçosa</t>
  </si>
  <si>
    <t>Terreiro do Paço, 7160-251 Vila Viçosa</t>
  </si>
  <si>
    <t>268980659</t>
  </si>
  <si>
    <t>10:00-13:00/14:30-17:30</t>
  </si>
  <si>
    <t>7,00€</t>
  </si>
  <si>
    <t>Antiga residência real dos Duques de Bragança. Fachada de 110m em mármore.</t>
  </si>
  <si>
    <t>Paço de São Miguel (Évora)</t>
  </si>
  <si>
    <t>Pátio de S. Miguel, 7000-801 Évora</t>
  </si>
  <si>
    <t>266748300</t>
  </si>
  <si>
    <t>4,00€</t>
  </si>
  <si>
    <t>Sede da Fundação Eugénio de Almeida. Tetos pintados e pátios renascentistas.</t>
  </si>
  <si>
    <t>Palácio Cadaval (Évora)</t>
  </si>
  <si>
    <t>R. Augusto Filipe Simões, Évora</t>
  </si>
  <si>
    <t>266704714</t>
  </si>
  <si>
    <t>10,00€</t>
  </si>
  <si>
    <t>Propriedade da família ducal de Cadaval. Sobre muralhas romanas.</t>
  </si>
  <si>
    <t>Palácio de D. Manuel I — Galeria das Damas</t>
  </si>
  <si>
    <t>266777000</t>
  </si>
  <si>
    <t>O que resta do antigo Paço Real de Évora.</t>
  </si>
  <si>
    <t>Palácio Amarelo</t>
  </si>
  <si>
    <t>Largo do Município, 7300-110 Portalegre</t>
  </si>
  <si>
    <t>245307400</t>
  </si>
  <si>
    <t>Dias úteis</t>
  </si>
  <si>
    <t>Palacete séc. XVII com brasão e azulejaria barroca.</t>
  </si>
  <si>
    <t>Palácio de Elvas (Paços do Concelho)</t>
  </si>
  <si>
    <t>Elvas</t>
  </si>
  <si>
    <t>Praça da República, Elvas</t>
  </si>
  <si>
    <t>268639740</t>
  </si>
  <si>
    <t>Arquitetura civil imponente. Centro histórico Elvas (UNESCO).</t>
  </si>
  <si>
    <t>Palácio dos Condes de Alter</t>
  </si>
  <si>
    <t>Praça da República, Alter do Chão</t>
  </si>
  <si>
    <t>Edifício manuelino no centro de Alter do Chão.</t>
  </si>
  <si>
    <t>Palácio Álamo — Biblioteca</t>
  </si>
  <si>
    <t>09:00-17:30</t>
  </si>
  <si>
    <t>Solar elegante restaurado; biblioteca e turismo.</t>
  </si>
  <si>
    <t>Paço de Alvito (Pousada)</t>
  </si>
  <si>
    <t>R. do Terreiro, Alvito</t>
  </si>
  <si>
    <t>284480700</t>
  </si>
  <si>
    <t>Livre comuns</t>
  </si>
  <si>
    <t>Castelo-palácio manuelino. Pousada de Portugal.</t>
  </si>
  <si>
    <t>Paço Real de Évora Monte</t>
  </si>
  <si>
    <t>Estremoz</t>
  </si>
  <si>
    <t>R. de Santa Maria, Évora Monte</t>
  </si>
  <si>
    <t>268950025</t>
  </si>
  <si>
    <t>Palácio na vila medieval palco da Convenção de Évora Monte.</t>
  </si>
  <si>
    <t>Paço dos Infantes (Beja)</t>
  </si>
  <si>
    <t>Terreiro dos Infantes, Beja</t>
  </si>
  <si>
    <t>Restos do paço manuelino onde nasceu D. Manuel I.</t>
  </si>
  <si>
    <t>Palácio dos Maldonados (Beja)</t>
  </si>
  <si>
    <t>Praça Diogo Lopes de Sequeira, Beja</t>
  </si>
  <si>
    <t>Solar ou palácio do séc. Praça Diogo Lopes de Sequeira, Beja em Beja. Arquitectura senhorial portuguesa de referência regional. 284311818.</t>
  </si>
  <si>
    <t>Palácio de Estoi — Pousada</t>
  </si>
  <si>
    <t>R. de São José, 8005-465 Estoi</t>
  </si>
  <si>
    <t>289810560</t>
  </si>
  <si>
    <t>Jardins 09:00-18:00</t>
  </si>
  <si>
    <t>O 'Versalhes do Algarve'. Rococó com jardins e azulejos.</t>
  </si>
  <si>
    <t>Palácio Episcopal de Faro</t>
  </si>
  <si>
    <t>Largo da Sé, 8000-138 Faro</t>
  </si>
  <si>
    <t>289806142</t>
  </si>
  <si>
    <t>3,50€</t>
  </si>
  <si>
    <t>Renascentista. Coleção de azulejaria e arte sacra.</t>
  </si>
  <si>
    <t>Palácio Bívar — Câmara de Faro</t>
  </si>
  <si>
    <t>R. do Município, 8000-398 Faro</t>
  </si>
  <si>
    <t>289870870</t>
  </si>
  <si>
    <t>Edifício neoclássico. Câmara Municipal de Faro.</t>
  </si>
  <si>
    <t>Palácio da Galeria (Museu Tavira)</t>
  </si>
  <si>
    <t>Calçada da Galeria, 8800-306 Tavira</t>
  </si>
  <si>
    <t>281320500</t>
  </si>
  <si>
    <t>10:00-16:30</t>
  </si>
  <si>
    <t>Museu Municipal. Vestígios fenícios no subsolo.</t>
  </si>
  <si>
    <t>Palácio de Silves — Paços do Concelho</t>
  </si>
  <si>
    <t>Largo do Município, Silves</t>
  </si>
  <si>
    <t>282440800</t>
  </si>
  <si>
    <t>09:00-16:00</t>
  </si>
  <si>
    <t>Edifício monumental neoclássico de Silves.</t>
  </si>
  <si>
    <t>Palácio de Sárrea Garfias (Portimão)</t>
  </si>
  <si>
    <t>Praça da República, 8500-540 Portimão</t>
  </si>
  <si>
    <t>282480480</t>
  </si>
  <si>
    <t>Edifício setecentista. Sede da Junta de Freguesia.</t>
  </si>
  <si>
    <t>Palácio da Quinta dos Vales</t>
  </si>
  <si>
    <t>Sítio dos Vales, Lagoa</t>
  </si>
  <si>
    <t>282431036</t>
  </si>
  <si>
    <t>Gratuito (adega paga)</t>
  </si>
  <si>
    <t>Solar moderno em quinta de vinhos e esculturas.</t>
  </si>
  <si>
    <t>Solar do Governador (Lagos)</t>
  </si>
  <si>
    <t>Praça do Infante, Lagos</t>
  </si>
  <si>
    <t>282761410</t>
  </si>
  <si>
    <t>Residência dos Governadores do Algarve. Castelo.</t>
  </si>
  <si>
    <t>Paço Real de Monchique (Ruínas)</t>
  </si>
  <si>
    <t>Caldas de Monchique</t>
  </si>
  <si>
    <t>282910910</t>
  </si>
  <si>
    <t>Livre</t>
  </si>
  <si>
    <t>Local onde D. Sebastião se hospedou. Ruínas históricas.</t>
  </si>
  <si>
    <t>Solar de São Lourenço (Almancil)</t>
  </si>
  <si>
    <t>S. Lourenço, Almancil</t>
  </si>
  <si>
    <t>289395471</t>
  </si>
  <si>
    <t>Ligado à famosa Igreja de S. Lourenço de Almancil.</t>
  </si>
  <si>
    <t>Palácio de Sant'Ana (Ponta Delgada)</t>
  </si>
  <si>
    <t>R. José Jácome Correia, 9500-112 Ponta Delgada</t>
  </si>
  <si>
    <t>296301000</t>
  </si>
  <si>
    <t>10:00-17:00 (Jardins)</t>
  </si>
  <si>
    <t>Residência oficial do Presidente do Gov. Regional.</t>
  </si>
  <si>
    <t>Palácio dos Capitães-Generais</t>
  </si>
  <si>
    <t>Largo dos Reis Magos, 9700-162 Angra do Heroísmo</t>
  </si>
  <si>
    <t>295212700</t>
  </si>
  <si>
    <t>Antiga sede do Governo Geral dos Açores. Aposentos reais.</t>
  </si>
  <si>
    <t>Palácio Bettencourt (Angra)</t>
  </si>
  <si>
    <t>R. da Sé, 9700-191 Angra do Heroísmo</t>
  </si>
  <si>
    <t>295401000</t>
  </si>
  <si>
    <t>Barroco séc. XVII. Biblioteca Pública e Arquivo Regional.</t>
  </si>
  <si>
    <t>Palacete Silveira e Paulo</t>
  </si>
  <si>
    <t>R. da Conceição, 9700-054 Angra do Heroísmo</t>
  </si>
  <si>
    <t>295240800</t>
  </si>
  <si>
    <t>Seg-Sex 09:00-17:00</t>
  </si>
  <si>
    <t>Sede da Direção Regional da Cultura. Luxuoso.</t>
  </si>
  <si>
    <t>Solar Santo André (Museu Carlos Machado)</t>
  </si>
  <si>
    <t>R. de Santo André, Ponta Delgada</t>
  </si>
  <si>
    <t>296202930</t>
  </si>
  <si>
    <t>Museu Carlos Machado. Coleção de arte açoriana.</t>
  </si>
  <si>
    <t>Solar do Aposento (Lajes das Flores)</t>
  </si>
  <si>
    <t>R. da Vila, Lajes das Flores</t>
  </si>
  <si>
    <t>292592144</t>
  </si>
  <si>
    <t>Casa museu de família abastada séc. XIX.</t>
  </si>
  <si>
    <t>Solar de Noronha (Velas, S. Jorge)</t>
  </si>
  <si>
    <t>R. de S. João, Velas, S. Jorge</t>
  </si>
  <si>
    <t>295412113</t>
  </si>
  <si>
    <t>Solar ou palácio do séc. R. de S. João, Velas, S. Jorge em S. Jorge. Arquitectura senhorial portuguesa de referência regional. 295412113.</t>
  </si>
  <si>
    <t>Palácio de São Lourenço (Funchal)</t>
  </si>
  <si>
    <t>Av. Zarco, 9001-902 Funchal</t>
  </si>
  <si>
    <t>291202530</t>
  </si>
  <si>
    <t>Seg-Sex 10:00-17:00; Sáb 10:00-12:00</t>
  </si>
  <si>
    <t>Fortaleza-palácio. Residência do Representante da República. Museu Militar.</t>
  </si>
  <si>
    <t>Quinta Vigia — Presidência Regional</t>
  </si>
  <si>
    <t>Lombo da Vigia, Funchal</t>
  </si>
  <si>
    <t>291212200</t>
  </si>
  <si>
    <t>Seg-Sex 09:00-17:00 (jardins)</t>
  </si>
  <si>
    <t>1,00€</t>
  </si>
  <si>
    <t>Quinta das Cruzes — Museu</t>
  </si>
  <si>
    <t>Antiga residência dos morgados das Cruzes. Museu de Artes Decorativas.</t>
  </si>
  <si>
    <t>Monte Palace Madeira (Quinta/Jardim)</t>
  </si>
  <si>
    <t>09:30-18:00</t>
  </si>
  <si>
    <t>Palácio-jardim tropical. Coleção de cicas. UNESCO candidato.</t>
  </si>
  <si>
    <t>Quinta Magnolia</t>
  </si>
  <si>
    <t>R. Dr. Pita, Funchal</t>
  </si>
  <si>
    <t>291764544</t>
  </si>
  <si>
    <t>Centro cultural</t>
  </si>
  <si>
    <t>Mansão histórica em centro cultural e desportivo.</t>
  </si>
  <si>
    <t>Paço do Concelho do Funchal (Câmara)</t>
  </si>
  <si>
    <t>Praça do Município, Funchal</t>
  </si>
  <si>
    <t>Antigo palácio do Conde de Carvalhal. Pátio e azulejos.</t>
  </si>
  <si>
    <t>Quinta da Junta (Santo da Serra)</t>
  </si>
  <si>
    <t>Santo António da Serra</t>
  </si>
  <si>
    <t>Antiga residência de veraneio da família Blandy. Jardins.</t>
  </si>
  <si>
    <t>Solar dos Esmeraldos (Lombada da Ponta do Sol)</t>
  </si>
  <si>
    <t>Ponta do Sol</t>
  </si>
  <si>
    <t>Lombada da Ponta do Sol</t>
  </si>
  <si>
    <t>291972800</t>
  </si>
  <si>
    <t>Residência histórica do 'Ciclo do Açúcar'. Colonos flamengos.</t>
  </si>
  <si>
    <t>Palácio Belmarço</t>
  </si>
  <si>
    <t>Palácio histórico de Faro. Arquitectura notável que combina artes decorativas, jardins e espaços de representação do poder e da cultura portuguesa.</t>
  </si>
  <si>
    <t>Palácio Bivar</t>
  </si>
  <si>
    <t>Palácio Gama Lobo</t>
  </si>
  <si>
    <t>Palácio dos Bispos de Silves</t>
  </si>
  <si>
    <t>Paço Episcopal de Lagos</t>
  </si>
  <si>
    <t>Paço ou residência senhorial de Faro. Arquitectura histórica de poder religioso ou civil, com espaços de representação e arte da época.</t>
  </si>
  <si>
    <t>Palacete de Olhão</t>
  </si>
  <si>
    <t>Palacete Sárrea Prado (Portimão)</t>
  </si>
  <si>
    <t>Palacete do Marquês de Pombal (VRSA)</t>
  </si>
  <si>
    <t>Paço do Concelho de Alcoutim</t>
  </si>
  <si>
    <t>Paço de Castro Marim</t>
  </si>
  <si>
    <t>Paço de Monchique</t>
  </si>
  <si>
    <t>Paço de Aljezur</t>
  </si>
  <si>
    <t>Palacete de Lagoa</t>
  </si>
  <si>
    <t>Palacete Episcopal (São Brás)</t>
  </si>
  <si>
    <t>Palacete dos Corte-Real (Tavira)</t>
  </si>
  <si>
    <t>Palacete dos Alpoins</t>
  </si>
  <si>
    <t>Palacete Guerreiro (Faro)</t>
  </si>
  <si>
    <t>Palacete Belchior</t>
  </si>
  <si>
    <t>Palacete dos Barreto</t>
  </si>
  <si>
    <t>Palacete dos Cabrita</t>
  </si>
  <si>
    <t>Palacete dos Correia</t>
  </si>
  <si>
    <t>Palacete dos Mascarenhas (Silves)</t>
  </si>
  <si>
    <t>Palacete dos Cabrita de Silves</t>
  </si>
  <si>
    <t>Palácio Barrocal</t>
  </si>
  <si>
    <t>Palácio histórico de Évora. Arquitectura notável que combina artes decorativas, jardins e espaços de representação do poder e da cultura portuguesa.</t>
  </si>
  <si>
    <t>Paço Real de Estremoz</t>
  </si>
  <si>
    <t>Paço ou residência senhorial de Évora. Arquitectura histórica de poder religioso ou civil, com espaços de representação e arte da época.</t>
  </si>
  <si>
    <t>Paço dos Alcaides (Montemor)</t>
  </si>
  <si>
    <t>Montemor-o-Novo</t>
  </si>
  <si>
    <t>Palácio Maldonado e Sousa</t>
  </si>
  <si>
    <t>Palácio histórico de Beja. Arquitectura notável que combina artes decorativas, jardins e espaços de representação do poder e da cultura portuguesa.</t>
  </si>
  <si>
    <t>Paço de Serpa</t>
  </si>
  <si>
    <t>Paço ou residência senhorial de Beja. Arquitectura histórica de poder religioso ou civil, com espaços de representação e arte da época.</t>
  </si>
  <si>
    <t>Paço de Mértola</t>
  </si>
  <si>
    <t>Paço de Aljustrel</t>
  </si>
  <si>
    <t>Aljustrel</t>
  </si>
  <si>
    <t>Paço do Concelho (Castelo de Vide)</t>
  </si>
  <si>
    <t>Castelo de Vide</t>
  </si>
  <si>
    <t>Paço ou residência senhorial de Portalegre. Arquitectura histórica de poder religioso ou civil, com espaços de representação e arte da época.</t>
  </si>
  <si>
    <t>Paço de Marvão</t>
  </si>
  <si>
    <t>Paço de Nisa</t>
  </si>
  <si>
    <t>Nisa</t>
  </si>
  <si>
    <t>Paço de Alter</t>
  </si>
  <si>
    <t>Palácio Landal (Santarém)</t>
  </si>
  <si>
    <t>Palácio histórico de Santarém. Arquitectura notável que combina artes decorativas, jardins e espaços de representação do poder e da cultura portuguesa.</t>
  </si>
  <si>
    <t>Paço Real de Almeirim</t>
  </si>
  <si>
    <t>Almeirim</t>
  </si>
  <si>
    <t>Paço ou residência senhorial de Santarém. Arquitectura histórica de poder religioso ou civil, com espaços de representação e arte da época.</t>
  </si>
  <si>
    <t>Paço Real de Tomar</t>
  </si>
  <si>
    <t>Paço dos Condes de Ourém</t>
  </si>
  <si>
    <t>Paço de Coruche</t>
  </si>
  <si>
    <t>Paço de Redondo</t>
  </si>
  <si>
    <t>Paço de Reguengos</t>
  </si>
  <si>
    <t>Reguengos de Monsaraz</t>
  </si>
  <si>
    <t>Paço de Arraiolos</t>
  </si>
  <si>
    <t>Paço de Borba</t>
  </si>
  <si>
    <t>Palácio do Sobralinho</t>
  </si>
  <si>
    <t>Vila Franca de Xira</t>
  </si>
  <si>
    <t>Palácio Fryxell (Setúbal)</t>
  </si>
  <si>
    <t>Palácio histórico de Setúbal. Arquitectura notável que combina artes decorativas, jardins e espaços de representação do poder e da cultura portuguesa.</t>
  </si>
  <si>
    <t>Paço do Concelho de Palmela</t>
  </si>
  <si>
    <t>Paço ou residência senhorial de Setúbal. Arquitectura histórica de poder religioso ou civil, com espaços de representação e arte da época.</t>
  </si>
  <si>
    <t>Paço de Alcácer do Sal</t>
  </si>
  <si>
    <t>Paço de Grândola</t>
  </si>
  <si>
    <t>Paço de Sesimbra</t>
  </si>
  <si>
    <t>Paço Episcopal de Coimbra</t>
  </si>
  <si>
    <t>Paço ou residência senhorial de Coimbra. Arquitectura histórica de poder religioso ou civil, com espaços de representação e arte da época.</t>
  </si>
  <si>
    <t>Palácio Sub-Ripas</t>
  </si>
  <si>
    <t>Palácio histórico de Coimbra. Arquitectura notável que combina artes decorativas, jardins e espaços de representação do poder e da cultura portuguesa.</t>
  </si>
  <si>
    <t>Palácio da Lousã (Solar)</t>
  </si>
  <si>
    <t>Solar histórico de Coimbra. Casa solarenga com brasão, jardins formais e arquitectura que documenta a nobreza rural portuguesa ao longo de gerações.</t>
  </si>
  <si>
    <t>Palácio dos Bispos de Leiria</t>
  </si>
  <si>
    <t>Palácio histórico de Leiria. Arquitectura notável que combina artes decorativas, jardins e espaços de representação do poder e da cultura portuguesa.</t>
  </si>
  <si>
    <t>Paço Real de Alcobaça</t>
  </si>
  <si>
    <t>Paço ou residência senhorial de Leiria. Arquitectura histórica de poder religioso ou civil, com espaços de representação e arte da época.</t>
  </si>
  <si>
    <t>Paço de Porto de Mós</t>
  </si>
  <si>
    <t>Paço do Alcaide (Óbidos)</t>
  </si>
  <si>
    <t>Palacete Visconde de Sacavém</t>
  </si>
  <si>
    <t>Paço Episcopal de Viseu</t>
  </si>
  <si>
    <t>Paço ou residência senhorial de Viseu. Arquitectura histórica de poder religioso ou civil, com espaços de representação e arte da época.</t>
  </si>
  <si>
    <t>Paço de Sátão</t>
  </si>
  <si>
    <t>Paço de Tondela</t>
  </si>
  <si>
    <t>Paço de Penalva</t>
  </si>
  <si>
    <t>Paço Episcopal da Guarda</t>
  </si>
  <si>
    <t>Guarda</t>
  </si>
  <si>
    <t>Paço ou residência senhorial de Guarda. Arquitectura histórica de poder religioso ou civil, com espaços de representação e arte da época.</t>
  </si>
  <si>
    <t>Paço de Trancoso</t>
  </si>
  <si>
    <t>Trancoso</t>
  </si>
  <si>
    <t>Paço de Pinhel</t>
  </si>
  <si>
    <t>Pinhel</t>
  </si>
  <si>
    <t>Paço Militar de Almeida</t>
  </si>
  <si>
    <t>Paço de Mêda</t>
  </si>
  <si>
    <t>Mêda</t>
  </si>
  <si>
    <t>Paço de Arouca (Mosteiro)</t>
  </si>
  <si>
    <t>Paço ou residência senhorial de Aveiro. Arquitectura histórica de poder religioso ou civil, com espaços de representação e arte da época.</t>
  </si>
  <si>
    <t>Paço de Estarreja</t>
  </si>
  <si>
    <t>Paço de Oliveira (Azeméis)</t>
  </si>
  <si>
    <t>Paço de Vouga</t>
  </si>
  <si>
    <t>Sever do Vouga</t>
  </si>
  <si>
    <t>Palácio dos Carrancas (Museu Soares dos Reis)</t>
  </si>
  <si>
    <t>Palácio histórico de Porto. Arquitectura notável que combina artes decorativas, jardins e espaços de representação do poder e da cultura portuguesa.</t>
  </si>
  <si>
    <t>Palacete Viscondes de Balsemão</t>
  </si>
  <si>
    <t>Paço Arquiepiscopal de Guimarães</t>
  </si>
  <si>
    <t>Paço ou residência senhorial de Braga. Arquitectura histórica de poder religioso ou civil, com espaços de representação e arte da época.</t>
  </si>
  <si>
    <t>Paço dos Condes de Barcelos</t>
  </si>
  <si>
    <t>Paço dos Duques de Bragança (Chaves)</t>
  </si>
  <si>
    <t>Paço ou residência senhorial de Vila Real. Arquitectura histórica de poder religioso ou civil, com espaços de representação e arte da época.</t>
  </si>
  <si>
    <t>Paço de Montalegre</t>
  </si>
  <si>
    <t>Paço de Alijó</t>
  </si>
  <si>
    <t>Paço de Ribeira de Pena</t>
  </si>
  <si>
    <t>Palácio dos Távoras (Viana)</t>
  </si>
  <si>
    <t>Palácio histórico de Viana do Castelo. Arquitectura notável que combina artes decorativas, jardins e espaços de representação do poder e da cultura portuguesa.</t>
  </si>
  <si>
    <t>Paço do Marquês (Ponte de Lima)</t>
  </si>
  <si>
    <t>Paço ou residência senhorial de Viana do Castelo. Arquitectura histórica de poder religioso ou civil, com espaços de representação e arte da época.</t>
  </si>
  <si>
    <t>Paço do Alvarinho (Monção)</t>
  </si>
  <si>
    <t>Paço do Concelho (Caminha)</t>
  </si>
  <si>
    <t>Paço Episcopal de Bragança</t>
  </si>
  <si>
    <t>Paço ou residência senhorial de Bragança. Arquitectura histórica de poder religioso ou civil, com espaços de representação e arte da época.</t>
  </si>
  <si>
    <t>Paço Episcopal de Miranda do Douro</t>
  </si>
  <si>
    <t>Paço de Macedo de Cavaleiros</t>
  </si>
  <si>
    <t>Paço de Vimioso</t>
  </si>
  <si>
    <t>Vimioso</t>
  </si>
  <si>
    <t>Paço de Mirandela</t>
  </si>
  <si>
    <t xml:space="preserve">  🟩  LISBOA  ·  14 entradas</t>
  </si>
  <si>
    <t>Palácio Nacional da Ajuda</t>
  </si>
  <si>
    <t>Palácio real neoclássico inacabado em Lisboa, iniciado por D. João VI. Residência oficial da família real portuguesa no séc. XIX. Colecção de artes decorativas de extraordinária riqueza. Vista sobre o Tejo.</t>
  </si>
  <si>
    <t>Palácio de Belém</t>
  </si>
  <si>
    <t>Palácio histórico de Lisboa. Arquitectura notável que combina artes decorativas, jardins e espaços de representação do poder e da cultura portuguesa.</t>
  </si>
  <si>
    <t>Palácio das Necessidades</t>
  </si>
  <si>
    <t>Palácio Foz</t>
  </si>
  <si>
    <t>Palácio Chiado</t>
  </si>
  <si>
    <t>Palácio Nacional da Pena</t>
  </si>
  <si>
    <t>Palácio romântico na serra de Sintra, em calcário multicolorido e neo-manuelino. Património Mundial UNESCO. Símbolo do romantismo português do séc. XIX, por D. Fernando II. Vista sobre o Atlântico.</t>
  </si>
  <si>
    <t>Palácio medieval-mourisca no centro histórico de Sintra, com as icónicas chaminés cónicas. Residência real do séc. XIV ao XIX. Azulejaria medieval única. Património Mundial UNESCO.</t>
  </si>
  <si>
    <t>Palácio Nacional de Queluz</t>
  </si>
  <si>
    <t>Palácio rococó do séc. XVIII apelidado o "Versailles português". Jardins formais de buxo e fontes barrocas. Residência de D. Maria I e nascimento de D. João VI. Em Sintra.</t>
  </si>
  <si>
    <t>Palácio de Seteais</t>
  </si>
  <si>
    <t>Palácio neoclássico do séc. XVIII na serra de Sintra, hoje hotel de luxo. Dois corpos ligados por arco triunfal. Vista sobre a Pena e o Atlântico. Restaurante histórico.</t>
  </si>
  <si>
    <t>Palácio do Marquês de Pombal (Oeiras)</t>
  </si>
  <si>
    <t>Palácio Anjos</t>
  </si>
  <si>
    <t>Palacete Seixas</t>
  </si>
  <si>
    <t>Palacete dos Condes de Castro Guimarães</t>
  </si>
  <si>
    <t>Palacete Palmela (Cascais)</t>
  </si>
  <si>
    <t xml:space="preserve">  🟧  ALENTEJO  ·  1 entradas</t>
  </si>
  <si>
    <t>Paço dos Henriques (Alcáçovas)</t>
  </si>
  <si>
    <t>Largo da República, Viana do Alentejo</t>
  </si>
  <si>
    <t>266948100</t>
  </si>
  <si>
    <t>Onde se assinou o Tratado de Alcáçovas (1479).</t>
  </si>
  <si>
    <t>🏯  187 entradas  ·  Portugal Vivo  ·  PALÁCIOS E SOLARES DE PORTUGAL</t>
  </si>
  <si>
    <t>🏄  SPOTS DE SURF EM PORTUGAL  —  27 entradas</t>
  </si>
  <si>
    <t>Norte · Centro · Lisboa · Alentejo · Algarve · Açores · Madeira  ·  Praias e Ondas para Surf, Bodyboard e SUP</t>
  </si>
  <si>
    <t>Spot / Praia</t>
  </si>
  <si>
    <t>Tipo de Onda</t>
  </si>
  <si>
    <t>Nível</t>
  </si>
  <si>
    <t xml:space="preserve">  🟦  NORTE  ·  3 entradas</t>
  </si>
  <si>
    <t>Afife</t>
  </si>
  <si>
    <t>Intermédio</t>
  </si>
  <si>
    <t>Beach break — múltiplos picos</t>
  </si>
  <si>
    <t>Um dos mais consistentes do Norte. Vários picos de alta qualidade.</t>
  </si>
  <si>
    <t>Viana do Castelo — Cabedelo</t>
  </si>
  <si>
    <t>Beach break</t>
  </si>
  <si>
    <t>Set-Abr</t>
  </si>
  <si>
    <t>Praia de concursos. Beach break com picos variados.</t>
  </si>
  <si>
    <t>Moledo</t>
  </si>
  <si>
    <t>Av. da Praia, 4920 Caminha</t>
  </si>
  <si>
    <t>Iniciante/Intermédio</t>
  </si>
  <si>
    <t>Mar-Nov</t>
  </si>
  <si>
    <t>Praia larga com ondas acessíveis. Norte de Portugal.</t>
  </si>
  <si>
    <t xml:space="preserve">  🟨  CENTRO  ·  6 entradas</t>
  </si>
  <si>
    <t>Supertubos</t>
  </si>
  <si>
    <t>Av. do Mar, 2520 Peniche</t>
  </si>
  <si>
    <t>Avançado/Pro</t>
  </si>
  <si>
    <t>Beach break — tubo</t>
  </si>
  <si>
    <t>A 'European Pipeline'. Tubos rápidos e pesados. Etapa WSL. Fundo areia.</t>
  </si>
  <si>
    <t>Ribeira d'Ilhas</t>
  </si>
  <si>
    <t>Todos os níveis</t>
  </si>
  <si>
    <t>Point break — direita</t>
  </si>
  <si>
    <t>Primeira Reserva Mundial de Surf da Europa (Ericeira). Direita longa e consistente.</t>
  </si>
  <si>
    <t>Praia do Norte — Nazaré</t>
  </si>
  <si>
    <t>Av. Manuel Remígio, 2450-159 Nazaré</t>
  </si>
  <si>
    <t>Profissionais</t>
  </si>
  <si>
    <t>Beach break — ondas gigantes</t>
  </si>
  <si>
    <t>Out-Mar</t>
  </si>
  <si>
    <t>As maiores ondas do mundo. Canhão submarino. Só para profissionais.</t>
  </si>
  <si>
    <t>Coxos</t>
  </si>
  <si>
    <t>Avançado</t>
  </si>
  <si>
    <t>Reef break — direita</t>
  </si>
  <si>
    <t>Considerada a melhor onda de Portugal. Direita potente e oca sobre rocha. Ericeira.</t>
  </si>
  <si>
    <t>Pedra Branca</t>
  </si>
  <si>
    <t>Reef break</t>
  </si>
  <si>
    <t>Spot icónico da Reserva de Surf de Ericeira. Esquerda potente.</t>
  </si>
  <si>
    <t>São Lourenço</t>
  </si>
  <si>
    <t>Point break</t>
  </si>
  <si>
    <t>Direita divertida e longa. Consistente. Ericeira.</t>
  </si>
  <si>
    <t xml:space="preserve">  🟩  LISBOA  ·  4 entradas</t>
  </si>
  <si>
    <t>Carcavelos</t>
  </si>
  <si>
    <t>A praia mais popular perto de Lisboa. Tubos rápidos. Excelente infraestrutura.</t>
  </si>
  <si>
    <t>Cascais, 2750 Cascais</t>
  </si>
  <si>
    <t>Beach break — vento forte</t>
  </si>
  <si>
    <t>Inverno (N)</t>
  </si>
  <si>
    <t>Beleza selvagem. Melhor com vento de Norte. Intenso e selvagem.</t>
  </si>
  <si>
    <t>Costa da Caparica</t>
  </si>
  <si>
    <t>Extensa praia urbana com picos para todos os níveis.</t>
  </si>
  <si>
    <t>Praia da Areia Branca</t>
  </si>
  <si>
    <t>Spot entre Peniche e Lisboa. Ondas potentes e consistentes.</t>
  </si>
  <si>
    <t>Praia de Odeceixe</t>
  </si>
  <si>
    <t>River mouth</t>
  </si>
  <si>
    <t>Foz de rio. Ondas pequenas e protegidas. Ideal para iniciantes.</t>
  </si>
  <si>
    <t xml:space="preserve">  🟥  ALGARVE  ·  4 entradas</t>
  </si>
  <si>
    <t>Arrifana</t>
  </si>
  <si>
    <t>Aljezur, 8670 Aljezur</t>
  </si>
  <si>
    <t>Bay break</t>
  </si>
  <si>
    <t>Uma das praias mais consistentes. Protegida das tramontanas. Baía.</t>
  </si>
  <si>
    <t>Praia do Amado</t>
  </si>
  <si>
    <t>Carrapateira, 8670 Aljezur</t>
  </si>
  <si>
    <t>Extensão enorme. Muito popular para escolas de surf. Costa Vicentina.</t>
  </si>
  <si>
    <t>Praia do Castelejo</t>
  </si>
  <si>
    <t>Spot bravo e selvagem na Costa Vicentina. Só com swell decente.</t>
  </si>
  <si>
    <t>Sagres — Beliche</t>
  </si>
  <si>
    <t>Av. Commander Matoso, 8650-357 Sagres</t>
  </si>
  <si>
    <t>Beach break — tubos</t>
  </si>
  <si>
    <t>Ponto mais sudoeste da Europa. Ondas potentes e refrescantes.</t>
  </si>
  <si>
    <t xml:space="preserve">  🟪  AÇORES  ·  5 entradas</t>
  </si>
  <si>
    <t>Praia de Santa Bárbara (Ribeira Grande)</t>
  </si>
  <si>
    <t>O spot mais icónico dos Açores. Palco de competições WSL. Vulcânico.</t>
  </si>
  <si>
    <t>Fajã da Caldeira de Santo Cristo</t>
  </si>
  <si>
    <t>Left reef break — calhau</t>
  </si>
  <si>
    <t>A 'meca' do surf nos Açores. Esquerda mítica e remota. Acesso a pé ou moto4.</t>
  </si>
  <si>
    <t>Pópulo / Milícias (Ponta Delgada)</t>
  </si>
  <si>
    <t>Costa sul de S. Miguel. Areia vulcânica escura. Populares entre os locais.</t>
  </si>
  <si>
    <t>Mosteiros (São Miguel)</t>
  </si>
  <si>
    <t>Mixed break</t>
  </si>
  <si>
    <t>Cenário deslumbrante. Picos de direita e esquerda. Vento de Este.</t>
  </si>
  <si>
    <t>Praia dos Moinhos (Terceira)</t>
  </si>
  <si>
    <t>Spot consistente da ilha Terceira.</t>
  </si>
  <si>
    <t>Jardim do Mar</t>
  </si>
  <si>
    <t>Nov-Mar</t>
  </si>
  <si>
    <t>Considerado um dos melhores point breaks do mundo. Direita longa sobre rocha.</t>
  </si>
  <si>
    <t>Paul do Mar</t>
  </si>
  <si>
    <t>Point break — direita tubular</t>
  </si>
  <si>
    <t>Direita clássica e tubular. Grandes ondulações de NO. Fundo de calhau.</t>
  </si>
  <si>
    <t>Fajã da Areia (São Vicente)</t>
  </si>
  <si>
    <t>O mais consistente da Madeira. Direitas e esquerdas. Fundo areia e rocha.</t>
  </si>
  <si>
    <t>Porto da Cruz — Alagoa</t>
  </si>
  <si>
    <t>Iniciante</t>
  </si>
  <si>
    <t>Uma das poucas praias de areia da Madeira. Ideal para escolas.</t>
  </si>
  <si>
    <t>🏄  27 entradas  ·  Portugal Vivo  ·  SPOTS DE SURF EM PORTUGAL</t>
  </si>
  <si>
    <t>🏊  PRAIAS FLUVIAIS E NATURAIS  —  168 entradas</t>
  </si>
  <si>
    <t>Norte · Centro · Lisboa · Alentejo · Algarve · Açores · Madeira  ·  Praias de Rio, Lagoas Naturais e Piscinas Vulcânicas</t>
  </si>
  <si>
    <t>Distrito</t>
  </si>
  <si>
    <t>Rio / Albufeira</t>
  </si>
  <si>
    <t>Qualidade</t>
  </si>
  <si>
    <t>Praia Fluvial do Azibo (Ribeira)</t>
  </si>
  <si>
    <t>Estrada Nacional, Macedo de Cavaleiros</t>
  </si>
  <si>
    <t>Rio Azibo / Albufeira do Azibo</t>
  </si>
  <si>
    <t>Bandeira Azul + Qualidade Ouro</t>
  </si>
  <si>
    <t>Uma das 7 Maravilhas de Portugal. Praia fluvial de excelência. Parque de merendas. Acessível.</t>
  </si>
  <si>
    <t>Praia Fluvial de Vale de Juncal</t>
  </si>
  <si>
    <t>Mirandela, Bragança</t>
  </si>
  <si>
    <t>Rio Tuela</t>
  </si>
  <si>
    <t>Vigiada</t>
  </si>
  <si>
    <t>No Parque Natural Vale do Tua. Parque de merendas. Bar do Rio.</t>
  </si>
  <si>
    <t>Praia Fluvial de Fresulfe</t>
  </si>
  <si>
    <t>Vinhais, Bragança</t>
  </si>
  <si>
    <t>Parque Natural de Montesinho. Moinho de Fresulfe. Zona de recreio e lazer.</t>
  </si>
  <si>
    <t>Praia Fluvial do Rabaçal</t>
  </si>
  <si>
    <t>Valpaços, Vila Real</t>
  </si>
  <si>
    <t>Rio Rabaçal</t>
  </si>
  <si>
    <t>Qualidade Ouro</t>
  </si>
  <si>
    <t>Parque de campismo. Qualidade de ouro. Parque de lazer.</t>
  </si>
  <si>
    <t>Praia Fluvial Rio Olo — Ermelo</t>
  </si>
  <si>
    <t>Mondim de Basto, Vila Real</t>
  </si>
  <si>
    <t>Rio Olo</t>
  </si>
  <si>
    <t>Perto da Ponte D'Olo. Parque de merendas. Animais permitidos.</t>
  </si>
  <si>
    <t>Praia Fluvial do Faial — Vila de Prado</t>
  </si>
  <si>
    <t>Vila Verde, Braga</t>
  </si>
  <si>
    <t>Rio Cávado. Clube Náutico de Prado. Campo polidesportivo. Relva bem tratada.</t>
  </si>
  <si>
    <t>Praia Fluvial de Rebelos — Murça</t>
  </si>
  <si>
    <t>Murça, Vila Real</t>
  </si>
  <si>
    <t>Vale do Tua</t>
  </si>
  <si>
    <t>Debaixo da A4 transmontana. Águas cristalinas. Ideal para crianças. Autocaravanas.</t>
  </si>
  <si>
    <t>Praia Fluvial de Serapicos</t>
  </si>
  <si>
    <t>Vimioso, Bragança</t>
  </si>
  <si>
    <t>Rio Angueira</t>
  </si>
  <si>
    <t>Açude de Serapicos. Parque de merendas. Animais permitidos.</t>
  </si>
  <si>
    <t>Praia Fluvial de Uva</t>
  </si>
  <si>
    <t>Margem direita do Angueira. Bar/restaurante. Animais permitidos.</t>
  </si>
  <si>
    <t>Praia Fluvial do Colado — Quintanilha</t>
  </si>
  <si>
    <t>Bragança, Bragança</t>
  </si>
  <si>
    <t>Rio Maçãs</t>
  </si>
  <si>
    <t>Selvagem</t>
  </si>
  <si>
    <t>Fronteira Portugal–Espanha. Rio Maçãs. Parque Natural de Montesinho.</t>
  </si>
  <si>
    <t>Praia Fluvial do Ermal — Ilha do Ermal</t>
  </si>
  <si>
    <t>Ermal, 4860 Vieira do Minho</t>
  </si>
  <si>
    <t>Albufeira do Ermal</t>
  </si>
  <si>
    <t>Teleski/wakeboard, insufláveis. Campismo. Animais permitidos.</t>
  </si>
  <si>
    <t>Praia Fluvial da Mâmoa</t>
  </si>
  <si>
    <t>Santa Maria da Feira, Aveiro</t>
  </si>
  <si>
    <t>Rio Ul / Albufeira da Mâmoa</t>
  </si>
  <si>
    <t>Bandeira Azul</t>
  </si>
  <si>
    <t>Praia acessível. Parque de lazer. Bandeira azul.</t>
  </si>
  <si>
    <t>Praia Fluvial de Burgães</t>
  </si>
  <si>
    <t>Vale de Cambra, Aveiro</t>
  </si>
  <si>
    <t>Rio Caima</t>
  </si>
  <si>
    <t>Vigiada das 11h às 19h. Autocaravanas permitidas.</t>
  </si>
  <si>
    <t>Piscina Fluvial de Águeda</t>
  </si>
  <si>
    <t>Águeda, Aveiro</t>
  </si>
  <si>
    <t>Rio Águeda</t>
  </si>
  <si>
    <t>Piscina flutuante 18x8m (adultos) + 6x5m (crianças) no centro de Águeda. Nadador salvador.</t>
  </si>
  <si>
    <t>Praia Fluvial da Queimadela — Fafe</t>
  </si>
  <si>
    <t>Fafe, Braga</t>
  </si>
  <si>
    <t>Albufeira da Queimadela</t>
  </si>
  <si>
    <t>Bandeira azul. Campismo. Insufláveis. Parque de merendas.</t>
  </si>
  <si>
    <t>Praia Fluvial de Adaúfe</t>
  </si>
  <si>
    <t>Braga, Braga</t>
  </si>
  <si>
    <t>Ex-líbris das praias fluviais de Braga. Aquapark River. Ecovia do Cávado.</t>
  </si>
  <si>
    <t>Praia Fluvial do Rio Baceiro</t>
  </si>
  <si>
    <t>Rio Baceiro</t>
  </si>
  <si>
    <t>Parque Natural de Montesinho. Açude. Viveiro de trutas de Castrelos.</t>
  </si>
  <si>
    <t>Praia Fluvial da Ponte do Maçãs</t>
  </si>
  <si>
    <t>Dois pontos de entrada. Animais permitidos. Autocaravanas.</t>
  </si>
  <si>
    <t>Praia Fluvial de Ponte Frades — Vinhais</t>
  </si>
  <si>
    <t>Parque Natural de Montesinho. Grande área florestal. Qualidade de ouro.</t>
  </si>
  <si>
    <t>Praia Fluvial Quinta do Rio — Parada de Bouro</t>
  </si>
  <si>
    <t>Vieira do Minho, Braga</t>
  </si>
  <si>
    <t>Gerês. Abaixo da Barragem da Caniçada. Parque Nacional Peneda-Gerês.</t>
  </si>
  <si>
    <t>Praia Fluvial da Ponte Ranha — Cabeceiras de Basto</t>
  </si>
  <si>
    <t>Cabeceiras de Basto, Braga</t>
  </si>
  <si>
    <t>Rio Peio</t>
  </si>
  <si>
    <t>Zona de Lazer da Ranha requalificada. Rio Peio. Sun7Bar.</t>
  </si>
  <si>
    <t>Praia Fluvial de Taboão — Paredes de Coura</t>
  </si>
  <si>
    <t>Paredes de Coura, Viana do Castelo</t>
  </si>
  <si>
    <t>Rio Coura</t>
  </si>
  <si>
    <t>Praia do Festival Paredes de Coura. 1 km do centro. Rio Coura.</t>
  </si>
  <si>
    <t>Praia Fluvial de São Martinho de Angueira</t>
  </si>
  <si>
    <t>Miranda do Douro, Bragança</t>
  </si>
  <si>
    <t>Fronteira com Espanha (2 km). Língua mirandesa. Parque de merendas.</t>
  </si>
  <si>
    <t>Praia Fluvial Foz do Rio Sabor — Moncorvo</t>
  </si>
  <si>
    <t>Torre de Moncorvo</t>
  </si>
  <si>
    <t>Torre de Moncorvo, Bragança</t>
  </si>
  <si>
    <t>Rio Sabor / Douro</t>
  </si>
  <si>
    <t>Foz do Sabor no Douro. Autocaravanas. Animais permitidos.</t>
  </si>
  <si>
    <t>Praia Fluvial de Soutelo — Vila Verde</t>
  </si>
  <si>
    <t>Rio Cávado / Homem</t>
  </si>
  <si>
    <t>Confluência do Homem com o Cávado. Ecovia. Mirante Bar.</t>
  </si>
  <si>
    <t>Praia Fluvial da Espiunca — Arouca</t>
  </si>
  <si>
    <t>Arouca, Aveiro</t>
  </si>
  <si>
    <t>Rio Paiva</t>
  </si>
  <si>
    <t>Junto aos Passadiços do Paiva. Rio Paiva. Autocaravanas.</t>
  </si>
  <si>
    <t>Praia Fluvial de Airão Santa Maria — Guimarães</t>
  </si>
  <si>
    <t>Rio Pele</t>
  </si>
  <si>
    <t>Parque de lazer. Rio Pele. Autocaravanas. Parque de merendas.</t>
  </si>
  <si>
    <t>Praia Fluvial de Ponte da Barca</t>
  </si>
  <si>
    <t>Ponte da Barca</t>
  </si>
  <si>
    <t>Ponte da Barca, Viana do Castelo</t>
  </si>
  <si>
    <t>Rio Lima</t>
  </si>
  <si>
    <t>Centro da vila. Jardim dos Poetas. Rio Lima. Piscina fluvial.</t>
  </si>
  <si>
    <t>Praia Seca — Caldas das Taipas, Guimarães</t>
  </si>
  <si>
    <t>Rio Ave / Rio Agrela</t>
  </si>
  <si>
    <t>Parque de lazer com passadiços. Confluência do Agrela com o Ave. Animais permitidos.</t>
  </si>
  <si>
    <t>Praia Fluvial de Fornelos — Santa Marta de Penaguião</t>
  </si>
  <si>
    <t>Santa Marta de Penaguião</t>
  </si>
  <si>
    <t>Santa Marta de Penaguião, Vila Real</t>
  </si>
  <si>
    <t>Rio Aguilhão</t>
  </si>
  <si>
    <t>2 parques de merendas, bar e balneários. N2. Rio Aguilhão.</t>
  </si>
  <si>
    <t>Praia Fluvial do Souto do Rio — Borralha, Águeda</t>
  </si>
  <si>
    <t>Rio Alfusqueiro</t>
  </si>
  <si>
    <t>Mega parque de merendas. Grande área de sombra. Ponte dos Violantes.</t>
  </si>
  <si>
    <t>Praia Fluvial de Vila Meã — Amarante</t>
  </si>
  <si>
    <t>Amarante, Porto</t>
  </si>
  <si>
    <t>Rio Odres</t>
  </si>
  <si>
    <t>Parque de lazer do Rio Odres. Ponte romana. Junto à estação de comboios.</t>
  </si>
  <si>
    <t>Praia Fluvial de Arnelas — Vila Nova de Gaia</t>
  </si>
  <si>
    <t>Vila Nova de Gaia</t>
  </si>
  <si>
    <t>Vila Nova de Gaia, Porto</t>
  </si>
  <si>
    <t>Rio Douro</t>
  </si>
  <si>
    <t>Rio Douro — margem esquerda. Clube Náutico de Arnelas.</t>
  </si>
  <si>
    <t>Praia Fluvial da Várzea — Castelo de Paiva</t>
  </si>
  <si>
    <t>Castelo de Paiva, Aveiro</t>
  </si>
  <si>
    <t>Rio Paiva. Zona selvagem de natureza pura.</t>
  </si>
  <si>
    <t>Praia Fluvial do Rio Homem — Terras de Bouro</t>
  </si>
  <si>
    <t>Terras de Bouro, Braga</t>
  </si>
  <si>
    <t>Rio Homem</t>
  </si>
  <si>
    <t>5 min do centro de Terras de Bouro. Parque Natural Peneda-Gerês. Águas da Serra do Gerês.</t>
  </si>
  <si>
    <t>Praia Fluvial de Rega — Terras de Bouro</t>
  </si>
  <si>
    <t>Aldeia da Rega, Moimenta. Ecovia do Cávado e Homem. Parque Nacional Peneda-Gerês.</t>
  </si>
  <si>
    <t>Praia Fluvial de Larim — Gondar, Amarante</t>
  </si>
  <si>
    <t>Rio Carneiro</t>
  </si>
  <si>
    <t>Margem do Rio Carneiro junto à N15. Parque rural de Gondar. Animais permitidos.</t>
  </si>
  <si>
    <t>Praia Fluvial do México — Gerês</t>
  </si>
  <si>
    <t>Albufeira da Caniçada</t>
  </si>
  <si>
    <t>Parque Nacional Peneda-Gerês. Perto de Santo Amaro e Faldrem. Acesso a pé.</t>
  </si>
  <si>
    <t>Praia Fluvial da Lomba — Gondomar</t>
  </si>
  <si>
    <t>Gondomar, Porto</t>
  </si>
  <si>
    <t>Margem esquerda do Douro. Campismo. Bar. Qualidade de Ouro. Vigiada.</t>
  </si>
  <si>
    <t>Praia Fluvial da Valeta — Arcos de Valdevez</t>
  </si>
  <si>
    <t>Arcos de Valdevez, Viana do Castelo</t>
  </si>
  <si>
    <t>Rio Vez</t>
  </si>
  <si>
    <t>Centro de Arcos de Valdevez. Passadiço. Ecovia. Parque infantil. Rio Vez.</t>
  </si>
  <si>
    <t>Praia Fluvial de Navarra — Braga</t>
  </si>
  <si>
    <t>10 km do centro de Braga. Margem esquerda do Cávado. Santa Lucrécia de Algeriz.</t>
  </si>
  <si>
    <t>Praia do Castelo / Ilha dos Amores — Castelo de Paiva</t>
  </si>
  <si>
    <t>Rio Douro / Rio Paiva</t>
  </si>
  <si>
    <t>Dois rios. Ilha no meio. Piscina municipal. Animais permitidos.</t>
  </si>
  <si>
    <t>Praia Fluvial da Rede — Mesão Frio</t>
  </si>
  <si>
    <t>Mesão Frio, Vila Real</t>
  </si>
  <si>
    <t>Estação ferroviária da Rede. Alto Douro Vinhateiro. Cais da Rede.</t>
  </si>
  <si>
    <t>Praia Fluvial da Rola — Porto D'Ave, Póvoa de Lanhoso</t>
  </si>
  <si>
    <t>Póvoa de Lanhoso</t>
  </si>
  <si>
    <t>Póvoa de Lanhoso, Braga</t>
  </si>
  <si>
    <t>Margem esquerda do Ave. Dois moinhos de água. Bar da Rola. Percursos pedestres.</t>
  </si>
  <si>
    <t>Parque Fluvial de Felinhos — Amares</t>
  </si>
  <si>
    <t>Amares, Braga</t>
  </si>
  <si>
    <t>Zona de lazer de Felinhos. Azenha histórica. Parque de lazer e merendas. Autocaravanas.</t>
  </si>
  <si>
    <t>Praia Fluvial de Verim — Póvoa de Lanhoso</t>
  </si>
  <si>
    <t>Milhares de visitantes anuais. Qualidade Ouro. Vigiada. Parque de merendas.</t>
  </si>
  <si>
    <t>Praia Fluvial de Miradeses — Mirandela</t>
  </si>
  <si>
    <t>Mira, Coimbra</t>
  </si>
  <si>
    <t>Rio Rabaçal / Rio Torto</t>
  </si>
  <si>
    <t>Fronteira Bragança / Vila Real. Parque Natural Vale do Tua. Rio Rabaçal.</t>
  </si>
  <si>
    <t>Praia Fluvial de Zebreiros — Gondomar</t>
  </si>
  <si>
    <t>Margem direita do Douro. N108. Foz do Sousa e Covelo.</t>
  </si>
  <si>
    <t>Praia Fluvial de Pontemieiro — Vale de Cambra</t>
  </si>
  <si>
    <t>Rio Amarela / Rio Arões</t>
  </si>
  <si>
    <t>Açude que fecha no verão. Parque de lazer de Junqueira.</t>
  </si>
  <si>
    <t>Praia Fluvial Gerês Albufeira — Terras de Bouro</t>
  </si>
  <si>
    <t>Albufeira da Caniçada / Rio Cávado</t>
  </si>
  <si>
    <t>Vilar da Veiga. Parque Nacional Peneda-Gerês. Albufeira da Caniçada.</t>
  </si>
  <si>
    <t>Praia Fluvial da Quinta do Barco — Paradela, Sever do Vouga</t>
  </si>
  <si>
    <t>Sever do Vouga, Aveiro</t>
  </si>
  <si>
    <t>Rio Vouga</t>
  </si>
  <si>
    <t>Piscina flutuante. Bandeira Azul. Rota da Água e da Pedra. Turnagua.</t>
  </si>
  <si>
    <t>Praias Fluviais da Barragem — Gerês (Ipanema / Ilha)</t>
  </si>
  <si>
    <t>Duas praias: Barragem + Ipanema. Ilha do Gerês. Admes/Bairro. N309.</t>
  </si>
  <si>
    <t>Praia Fluvial de Porto Carrero — Soutelo, Vila Verde</t>
  </si>
  <si>
    <t>Ideal para crianças. Areal extenso. Ecovia do Cávado e Homem. Falésia Lounge Bar.</t>
  </si>
  <si>
    <t>Praia Fluvial do Vau — Arouca</t>
  </si>
  <si>
    <t>Canelas. Passadiços do Paiva. Água calma. Bar do Vau.</t>
  </si>
  <si>
    <t>Praia Fluvial de Quintas — Mirandela</t>
  </si>
  <si>
    <t>Rio Tua</t>
  </si>
  <si>
    <t>Zona balnear natural. Rio Tua. Sombra. Iluminação. WC portátil.</t>
  </si>
  <si>
    <t>Praia Fluvial de Ponte de Lima — Parque do Arnado</t>
  </si>
  <si>
    <t>Ponte de Lima, Viana do Castelo</t>
  </si>
  <si>
    <t>Centro histórico. Ponte Romana. Parque do Arnado. Parque temático.</t>
  </si>
  <si>
    <t>Praia Fluvial de Luzim — Penafiel</t>
  </si>
  <si>
    <t>Penafiel</t>
  </si>
  <si>
    <t>Penafiel, Porto</t>
  </si>
  <si>
    <t>Rio Tâmega</t>
  </si>
  <si>
    <t>Margem direita do Tâmega. Desportos náuticos. Canoagem. Moto de água.</t>
  </si>
  <si>
    <t>Praia Fluvial das Taipas — Caldas das Taipas, Guimarães</t>
  </si>
  <si>
    <t>Ponte Romana sobre o Ave. Parque das Taipas. Campismo. Autocaravanas. Termal.</t>
  </si>
  <si>
    <t>Praia Fluvial de Vilar — Terras de Bouro</t>
  </si>
  <si>
    <t>Acesso por trilho de terra batida. Parque Nacional Peneda-Gerês. Natural.</t>
  </si>
  <si>
    <t>Praia Fluvial do Pedorido — Castelo de Paiva</t>
  </si>
  <si>
    <t>Rio Arda</t>
  </si>
  <si>
    <t>Zona de lazer do Choupal. N222. Rio Arda. Percurso Viver o Douro.</t>
  </si>
  <si>
    <t>Praia Fluvial de Bolfiar — Borralha, Águeda</t>
  </si>
  <si>
    <t>Rio Agadão / Rio Alfusqueiro</t>
  </si>
  <si>
    <t>Bar, piqueniques, relvado, guarda-sóis. Parque Fluvial de Bolfiar.</t>
  </si>
  <si>
    <t>Praia Fluvial de Melres — Gondomar</t>
  </si>
  <si>
    <t>Melres, 4515 Gondomar</t>
  </si>
  <si>
    <t>Excelente acessibilidade. N108. Vigiada 15 jun–15 set. Parque infantil.</t>
  </si>
  <si>
    <t>Praia Fluvial das Azenhas de Estorãos — Ponte de Lima</t>
  </si>
  <si>
    <t>Rio Estorãos</t>
  </si>
  <si>
    <t>Ponte romana. Serra d'Arga. Alojamento local. Tranquilidade absoluta.</t>
  </si>
  <si>
    <t>Praia Fluvial Aurora — Amarante</t>
  </si>
  <si>
    <t>Centro de Amarante. Margem direita do Tâmega. Campismo. Bar do Poços.</t>
  </si>
  <si>
    <t>Praia Fluvial da Cabreia — Sever do Vouga</t>
  </si>
  <si>
    <t>Cascata da Cabreia</t>
  </si>
  <si>
    <t>Cascata de 25m. Serra de Aveiro. Rota da Água e da Pedra. Idílico.</t>
  </si>
  <si>
    <t>Praia Fluvial da Mizarela — Albergaria da Serra</t>
  </si>
  <si>
    <t>Serra da Freita. Nascente do Rio Caima. Limite Vale de Cambra / Arouca.</t>
  </si>
  <si>
    <t>Praia Fluvial do Cavadinho — Crespos, Braga</t>
  </si>
  <si>
    <t>Crespos e Pousada. Zona de sombra de carvalhos. Qualidade Ouro. Animais permitidos.</t>
  </si>
  <si>
    <t xml:space="preserve">  🟨  CENTRO  ·  65 entradas</t>
  </si>
  <si>
    <t>Praia Fluvial do Sorraia</t>
  </si>
  <si>
    <t>Coruche, Santarém</t>
  </si>
  <si>
    <t>Rio Sorraia</t>
  </si>
  <si>
    <t>Época balnear de junho a setembro. Bar, percursos pedestres e parque do Sorraia.</t>
  </si>
  <si>
    <t>Praia Fluvial da Zaboeira</t>
  </si>
  <si>
    <t>Barragem de Pracana, Vila de Rei</t>
  </si>
  <si>
    <t>Albufeira Castelo de Bode</t>
  </si>
  <si>
    <t>Piscina flutuante para adultos e crianças. Na barragem de Castelo de Bode. Restaurante.</t>
  </si>
  <si>
    <t>Praia Fluvial de Fernandaires</t>
  </si>
  <si>
    <t>Vila de Rei, Castelo Branco</t>
  </si>
  <si>
    <t>Piscina flutuante. Wakeboard. Bar aberto diariamente.</t>
  </si>
  <si>
    <t>Praia Fluvial do Pego das Cancelas</t>
  </si>
  <si>
    <t>Ribeira da Isna</t>
  </si>
  <si>
    <t>Açude, parque de merendas. Perto da Ponte dos 3 Concelhos.</t>
  </si>
  <si>
    <t>Praia Fluvial de Caldas de Sangemil</t>
  </si>
  <si>
    <t>Tondela, Viseu</t>
  </si>
  <si>
    <t>Rio Dão</t>
  </si>
  <si>
    <t>Junto às Termas de Sangemil. Rio Dão. Parque infantil e merendas.</t>
  </si>
  <si>
    <t>Praia Fluvial de Campelo</t>
  </si>
  <si>
    <t>Figueiró dos Vinhos</t>
  </si>
  <si>
    <t>Figueiró dos Vinhos, Leiria</t>
  </si>
  <si>
    <t>Ribeira de Alge</t>
  </si>
  <si>
    <t>Piscina fluvial. Viveiro de trutas. Parque de merendas.</t>
  </si>
  <si>
    <t>Praia Fluvial de Castelo Novo</t>
  </si>
  <si>
    <t>Fundão, Castelo Branco</t>
  </si>
  <si>
    <t>Ribeira de Alpreade</t>
  </si>
  <si>
    <t>Aldeia histórica de Castelo Novo. 13 km do Fundão. Autocaravanas permitidas.</t>
  </si>
  <si>
    <t>Praia Fluvial de Alvito da Beira</t>
  </si>
  <si>
    <t>Proença-a-Nova</t>
  </si>
  <si>
    <t>Albufeira de Alvito, 7920 Alvito</t>
  </si>
  <si>
    <t>Ribeira do Alvito</t>
  </si>
  <si>
    <t>Aldeias do Xisto. Águas límpidas, relvado, parque de merendas e bar/restaurante.</t>
  </si>
  <si>
    <t>Escaroupim — Praia Fluvial do Tejo</t>
  </si>
  <si>
    <t>Salvaterra de Magos</t>
  </si>
  <si>
    <t>Salvaterra de Magos, Santarém</t>
  </si>
  <si>
    <t>Rio Tejo</t>
  </si>
  <si>
    <t>Aldeia avieira típica. 7 km de Salvaterra de Magos. Museu avieiro.</t>
  </si>
  <si>
    <t>Praia Fluvial Poço do Lagar</t>
  </si>
  <si>
    <t>Ribeira de Alvoco</t>
  </si>
  <si>
    <t>Parque Natural da Serra da Estrela. Águas cristalinas. Autocaravanas permitidas.</t>
  </si>
  <si>
    <t>Praia Fluvial Couca Cerejeira</t>
  </si>
  <si>
    <t>Proença-a-Nova, Castelo Branco</t>
  </si>
  <si>
    <t>Aldeias do Xisto. Açude natural. Autocaravanas permitidas. Bar da praia.</t>
  </si>
  <si>
    <t>Praia Fluvial Senhora da Ribeira</t>
  </si>
  <si>
    <t>Santa Comba Dão</t>
  </si>
  <si>
    <t>Santa Comba Dão, Viseu</t>
  </si>
  <si>
    <t>Albufeira da Aguieira</t>
  </si>
  <si>
    <t>Barragem da Aguieira. Campismo. Sky Lake Sports. Wakeboard.</t>
  </si>
  <si>
    <t>Praia Fluvial de Constância</t>
  </si>
  <si>
    <t>R. José Saramago, 2250 Constância</t>
  </si>
  <si>
    <t>Rio Zêzere / Tejo</t>
  </si>
  <si>
    <t>Confluência do Zêzere com o Tejo. Campismo e caravanismo. Zona ribeirinha histórica.</t>
  </si>
  <si>
    <t>Praia Fluvial das Canaveias</t>
  </si>
  <si>
    <t>Góis, Coimbra</t>
  </si>
  <si>
    <t>Rio Ceira</t>
  </si>
  <si>
    <t>Aldeias do Xisto. Extenso manto verde. Autocaravanas. Estrada Nacional 2.</t>
  </si>
  <si>
    <t>Poço Azul — Praia Fluvial Selvagem</t>
  </si>
  <si>
    <t>São Pedro do Sul</t>
  </si>
  <si>
    <t>São Pedro do Sul, Viseu</t>
  </si>
  <si>
    <t>Rio (Santa Cruz da Trapa)</t>
  </si>
  <si>
    <t>Poço natural de acesso fácil. Águas cristalinas. Serra do Caramulo.</t>
  </si>
  <si>
    <t>Praia Fluvial do Trízio — Sertã</t>
  </si>
  <si>
    <t>Sertã, Castelo Branco</t>
  </si>
  <si>
    <t>Centro Náutico do Zêzere. Wakeboard. Campismo. Animais permitidos.</t>
  </si>
  <si>
    <t>Praia Fluvial do Carvoeiro — Mação</t>
  </si>
  <si>
    <t>Mação</t>
  </si>
  <si>
    <t>Mação, Santarém</t>
  </si>
  <si>
    <t>Rio (Mação)</t>
  </si>
  <si>
    <t>17 anos consecutivos de Bandeira Azul. Qualidade de Ouro. Aldeias do Xisto.</t>
  </si>
  <si>
    <t>Praia Fluvial de Fragas de São Simão</t>
  </si>
  <si>
    <t>Aldeias do Xisto. Bandeira Azul. Parque de merendas.</t>
  </si>
  <si>
    <t>Praia Fluvial da Louçainha — Penela</t>
  </si>
  <si>
    <t>Penela, Coimbra</t>
  </si>
  <si>
    <t>Rio Dueça / Ribeira da Azenha</t>
  </si>
  <si>
    <t>Serra do Espinhal. Aldeias do Xisto. Represas naturais. Bandeira Azul.</t>
  </si>
  <si>
    <t>Praia Fluvial do Vimieiro — S. Pedro de Alva</t>
  </si>
  <si>
    <t>Penacova</t>
  </si>
  <si>
    <t>Rio Alva</t>
  </si>
  <si>
    <t>Rio Alva. Campismo. Bandeira Azul. Qualidade de Ouro. N2.</t>
  </si>
  <si>
    <t>Praia Fluvial Ana de Aviz — Figueiró dos Vinhos</t>
  </si>
  <si>
    <t>Rio (Figueiró dos Vinhos)</t>
  </si>
  <si>
    <t>Bandeira Azul. Parque de merendas. Aldeia surpreendente.</t>
  </si>
  <si>
    <t>Reconquinho — Praia Fluvial de Penacova</t>
  </si>
  <si>
    <t>Margem do Rio Mondego, 3360 Penacova</t>
  </si>
  <si>
    <t>Rio Mondego</t>
  </si>
  <si>
    <t>Rio Mondego. N2. Campismo. Fluvioteca. Bandeira Azul. Qualidade Ouro.</t>
  </si>
  <si>
    <t>Praia Fluvial de Vila Cova à Coelheira</t>
  </si>
  <si>
    <t>Parque Natural da Serra da Estrela. Campismo. Águas de excelente qualidade.</t>
  </si>
  <si>
    <t>Praia Fluvial do Lago Azul — Castanheira</t>
  </si>
  <si>
    <t>Ferreira do Zêzere, Santarém</t>
  </si>
  <si>
    <t>Clube Náutico do Lago Azul. Wakeboard. Bandeira Azul. Qualidade Ouro.</t>
  </si>
  <si>
    <t>Praia Fluvial de Lapa dos Dinheiros</t>
  </si>
  <si>
    <t>Rio Alva / Ribeira da Caniça</t>
  </si>
  <si>
    <t>Serra da Estrela. Bandeira Azul. Parque de merendas. Piscina fluvial.</t>
  </si>
  <si>
    <t>Praia Fluvial de Unhais da Serra</t>
  </si>
  <si>
    <t>Unhais da Serra, Covilhã</t>
  </si>
  <si>
    <t>Ribeira de Paul</t>
  </si>
  <si>
    <t>Serra da Estrela. Campismo e caravanismo. Bandeira Azul. Parque desportivo.</t>
  </si>
  <si>
    <t>Praia Fluvial da Folgosa — Castro Daire</t>
  </si>
  <si>
    <t>Castro Daire</t>
  </si>
  <si>
    <t>Castro Daire, Viseu</t>
  </si>
  <si>
    <t>Rio Paiva. Bandeira Azul. Qualidade Ouro. N2. Vigiada.</t>
  </si>
  <si>
    <t>Praia Fluvial de Cardigos — Mação</t>
  </si>
  <si>
    <t>Praia do Vergancinho. Piscinas fluviais. Qualidade Ouro. Churrasqueiras.</t>
  </si>
  <si>
    <t>Praia Fluvial de Alverangel — Tomar</t>
  </si>
  <si>
    <t>Na albufeira de Castelo de Bode. 10 min da barragem.</t>
  </si>
  <si>
    <t>Praia Fluvial Paraíso — São João do Monte</t>
  </si>
  <si>
    <t>Serra do Caramulo. Rio Águeda. Parque de merendas.</t>
  </si>
  <si>
    <t>Praia Fluvial do Ourondo — Covilhã</t>
  </si>
  <si>
    <t>Covilhã, Castelo Branco</t>
  </si>
  <si>
    <t>Ribeira da Caia</t>
  </si>
  <si>
    <t>Entre as serras da Cebola e da Gardunha. 30 km da Covilhã. Passadiços.</t>
  </si>
  <si>
    <t>Praia Fluvial da Devesa — Sabugal</t>
  </si>
  <si>
    <t>Sabugal, Guarda</t>
  </si>
  <si>
    <t>Rio Côa</t>
  </si>
  <si>
    <t>Centro histórico do Sabugal. Rio Côa. Passadiços. Vigiada.</t>
  </si>
  <si>
    <t>Praia Fluvial de Pouves — São Pedro do Sul</t>
  </si>
  <si>
    <t>Rio Sul</t>
  </si>
  <si>
    <t>4 min do centro de São Pedro do Sul. Açude. Bar. Animais permitidos.</t>
  </si>
  <si>
    <t>Praia Fluvial de Pessegueiro — Pampilhosa da Serra</t>
  </si>
  <si>
    <t>Pampilhosa da Serra</t>
  </si>
  <si>
    <t>Pampilhosa da Serra, Coimbra</t>
  </si>
  <si>
    <t>Ribeira da Loisa / Preles</t>
  </si>
  <si>
    <t>Aldeias do Xisto. Bungalows. Bandeira Azul. Piscina infantil. N2.</t>
  </si>
  <si>
    <t>Praia Fluvial do Vau — Mortágua</t>
  </si>
  <si>
    <t>Mortágua</t>
  </si>
  <si>
    <t>Mortágua, Viseu</t>
  </si>
  <si>
    <t>Ribeira de Mortágua</t>
  </si>
  <si>
    <t>Parque Verde da Ponte. Centro de BTT de Mortágua. EN234.</t>
  </si>
  <si>
    <t>Praia Fluvial de Loriga — Seia</t>
  </si>
  <si>
    <t>Loriga, 6270 Seia</t>
  </si>
  <si>
    <t>Ribeira de Loriga / Ribeira da Nave</t>
  </si>
  <si>
    <t>800m de altitude. Serra da Estrela. Bandeira Azul. Qualidade Ouro. Parque infantil.</t>
  </si>
  <si>
    <t>Praia Fluvial do Teixo / Rio Dornas</t>
  </si>
  <si>
    <t>Rio Agadão</t>
  </si>
  <si>
    <t>Serra do Caramulo. Aldeia do Teixo. Sem vigilância.</t>
  </si>
  <si>
    <t>Praia Fluvial do Agroal — Ourém</t>
  </si>
  <si>
    <t>Ourém, Santarém</t>
  </si>
  <si>
    <t>Rio Nabão</t>
  </si>
  <si>
    <t>Água gelada. Bandeira Azul. Cafetaria. Galfurra. Piscina fluvial.</t>
  </si>
  <si>
    <t>Praia Doce — Salvaterra de Magos</t>
  </si>
  <si>
    <t>Requalificada em 2005. Rio Tejo. Parque de merendas. Perto de Lisboa.</t>
  </si>
  <si>
    <t>Praia Fluvial de Quadrazais — Sabugal</t>
  </si>
  <si>
    <t>Zona de lazer da Lameira. Serra da Malcata. Qualidade Ouro. Autocaravanas. Vigiada.</t>
  </si>
  <si>
    <t>Praia Fluvial de Nandufe — Tondela</t>
  </si>
  <si>
    <t>Rio Dinha</t>
  </si>
  <si>
    <t>20 km de Viseu. Parque de merendas. Churrasqueira. Rio Dinha.</t>
  </si>
  <si>
    <t>Praia Fluvial da Srª da Graça — Serpins, Lousã</t>
  </si>
  <si>
    <t>Lousã, Coimbra</t>
  </si>
  <si>
    <t>Serra da Lousã. Campismo. Passadiço. Bandeira Azul. Autocaravanas.</t>
  </si>
  <si>
    <t>Praia Fluvial da Barragem de Alfaiates — Sabugal</t>
  </si>
  <si>
    <t>Ribeira de Alfaiates</t>
  </si>
  <si>
    <t>Inaugurada 2017. Piscina flutuante. Parque de merendas.</t>
  </si>
  <si>
    <t>Praia Fluvial de Alpedriz — Alcobaça</t>
  </si>
  <si>
    <t>Alcobaça, Leiria</t>
  </si>
  <si>
    <t>Nascentes das Loureiras</t>
  </si>
  <si>
    <t>Águas cristalinas das nascentes. Ideal para crianças. Animais permitidos.</t>
  </si>
  <si>
    <t>Praias Fluviais de Alcafache</t>
  </si>
  <si>
    <t>Mangualde, Viseu</t>
  </si>
  <si>
    <t>Duas praias — a montante e a jusante da Ponte de Alcafache. Bica termal. Percurso pedestre.</t>
  </si>
  <si>
    <t>Praia Fluvial do Poço da Corga — Castanheira de Pêra</t>
  </si>
  <si>
    <t>Castanheira de Pêra</t>
  </si>
  <si>
    <t>Castanheira de Pêra, Leiria</t>
  </si>
  <si>
    <t>Ribeira de Pera</t>
  </si>
  <si>
    <t>Campismo O Moinho. Parque de merendas. Serra da Lousã.</t>
  </si>
  <si>
    <t>Praia Fluvial de Aldeia do Mato — Abrantes</t>
  </si>
  <si>
    <t>Abrantes, Santarém</t>
  </si>
  <si>
    <t>Piscina flutuante. Bandeira Azul. Barragem Castelo de Bode.</t>
  </si>
  <si>
    <t>Praia Fluvial de Sandomil — Seia</t>
  </si>
  <si>
    <t>Serra da Estrela. Rio Alva. Ponte romana. Ponte pedonal de ferro. Parque infantil.</t>
  </si>
  <si>
    <t>Praia Fluvial do Pego Escuro — Góis</t>
  </si>
  <si>
    <t>Centro de Góis. Moinho Bar. N2. Bandeira Azul. Qualidade Ouro. Passadiço.</t>
  </si>
  <si>
    <t>Praia Fluvial do Malhadal — Proença-a-Nova</t>
  </si>
  <si>
    <t>Represa na Serra de Alvéolos. 7 km de Proença-a-Nova. Piscina flutuante.</t>
  </si>
  <si>
    <t>Praia Fluvial de Almaceda — Castelo Branco</t>
  </si>
  <si>
    <t>Castelo Branco, Castelo Branco</t>
  </si>
  <si>
    <t>Mais antiga da região. Oliveiras e laranjeiras. Zona desportiva.</t>
  </si>
  <si>
    <t>Praia Fluvial de Mosteiro — Pedrogão Grande</t>
  </si>
  <si>
    <t>Pedrogão Grande</t>
  </si>
  <si>
    <t>Pedrógão Grande, Leiria</t>
  </si>
  <si>
    <t>Aldeias do Xisto. Bungalows Fugas. Bandeira Azul. Bar + restaurante.</t>
  </si>
  <si>
    <t>Praia Fluvial de Paúl — Covilhã</t>
  </si>
  <si>
    <t>Ribeira de Paúl</t>
  </si>
  <si>
    <t>Duas praias: cascata + zona tranquila. Piscina natural com queda de água.</t>
  </si>
  <si>
    <t>Praia Fluvial de Rapoula do Côa — Sabugal</t>
  </si>
  <si>
    <t>Passadiços do Sabugal. Rio Côa. Parque de merendas. Sunset Côa.</t>
  </si>
  <si>
    <t>Praia Fluvial de Aldeia Ruiva — Proença-a-Nova</t>
  </si>
  <si>
    <t>IC8. Campismo e caravanismo. Koyzas Bar. Churrasqueira. Parque infantil.</t>
  </si>
  <si>
    <t>Praia Fluvial de Sete Fontes — Cantanhede</t>
  </si>
  <si>
    <t>Cantanhede, Coimbra</t>
  </si>
  <si>
    <t>Rio (Sete Fontes)</t>
  </si>
  <si>
    <t>Parque das Sete Fontes. Piscina fluvial. Parque infantil. Ourentã.</t>
  </si>
  <si>
    <t>Praia Fluvial de Montes — Tomar</t>
  </si>
  <si>
    <t>Albufeira Castelo de Bode. Wakeboard / Cable Park Montes. Qualidade Ouro.</t>
  </si>
  <si>
    <t>Praia Fluvial da Chamusca</t>
  </si>
  <si>
    <t>Chamusca</t>
  </si>
  <si>
    <t>Chamusca, Santarém</t>
  </si>
  <si>
    <t>Porto das Mulheres. Zona fluvial não oficial. N118. Dique Nossa Srª das Dores.</t>
  </si>
  <si>
    <t>Praia Fluvial de Lavacolhos — Fundão</t>
  </si>
  <si>
    <t>Ribeira da Gardunha</t>
  </si>
  <si>
    <t>Serra da Gardunha. 13 km do Fundão. Área de lazer. Parque de merendas.</t>
  </si>
  <si>
    <t>Praia Fluvial de Fontes — Abrantes</t>
  </si>
  <si>
    <t>Vigiada. Bandeira Azul. Qualidade Ouro. N2. Tasquinha ao Rio. Grande Rota do Zêzere.</t>
  </si>
  <si>
    <t>Praia Fluvial de Aldeia Viçosa — Guarda</t>
  </si>
  <si>
    <t>Guarda, Guarda</t>
  </si>
  <si>
    <t>Parque Natural Serra da Estrela. Bandeira Azul. Rio Mondego nascente.</t>
  </si>
  <si>
    <t>Praia Fluvial Olhos d'Água — Alcanena</t>
  </si>
  <si>
    <t>Alcanena, Santarém</t>
  </si>
  <si>
    <t>Nascente do Rio Alviela</t>
  </si>
  <si>
    <t>Nascente do Alviela. Campismo. Peixes na água. Autocaravanas. Parque infantil.</t>
  </si>
  <si>
    <t>Praia Fluvial do Cornicovo — Penacova</t>
  </si>
  <si>
    <t>Entre Hombres e Laborins. Rio Alva. Afluente do Mondego. São Pedro de Alva.</t>
  </si>
  <si>
    <t>Praia Fluvial de Porto Várzea — Vouzela</t>
  </si>
  <si>
    <t>Vouzela</t>
  </si>
  <si>
    <t>Vouzela, Viseu</t>
  </si>
  <si>
    <t>Campia. Água tranquila e quentinha. Bar Porto Várzea. Rio Alfusqueiro.</t>
  </si>
  <si>
    <t>Praia Fluvial do Troviscal — Sertã</t>
  </si>
  <si>
    <t>Rio (Sertã)</t>
  </si>
  <si>
    <t>Investimento 850K€. Lagar da Ponte. Passadiço do Troviscal.</t>
  </si>
  <si>
    <t xml:space="preserve">  🟩  LISBOA  ·  9 entradas</t>
  </si>
  <si>
    <t>Praia Fluvial da Foz do Lizandro</t>
  </si>
  <si>
    <t>Ericeira, Mafra</t>
  </si>
  <si>
    <t>Rio Lizandro</t>
  </si>
  <si>
    <t>Praia 2 em 1 — fluvial e marítima. Passadiço de madeira.</t>
  </si>
  <si>
    <t>Praia Fluvial da Saúde — Setúbal</t>
  </si>
  <si>
    <t>Setúbal, Lisboa</t>
  </si>
  <si>
    <t>Rio Sado (estuário)</t>
  </si>
  <si>
    <t>Praia 2 em 1 — fluvial e oceânica. Jardim da Saúde. Arrábida.</t>
  </si>
  <si>
    <t>Praia Fluvial do Rosário — Moita</t>
  </si>
  <si>
    <t>Moita</t>
  </si>
  <si>
    <t>Moita, Lisboa</t>
  </si>
  <si>
    <t>Rio Tejo (estuário)</t>
  </si>
  <si>
    <t>Areal de ~1 km. Última praia fluvial do Tejo. Jardim do Rosário.</t>
  </si>
  <si>
    <t>Praia Fluvial do Samouco — Alcochete</t>
  </si>
  <si>
    <t>Alcochete</t>
  </si>
  <si>
    <t>Alcochete, Lisboa</t>
  </si>
  <si>
    <t>Zona de lazer. Parque infantil. Estuário do Tejo. Perto de Lisboa.</t>
  </si>
  <si>
    <t>Bico do Mexilhoeiro — Praia Fluvial do Barreiro</t>
  </si>
  <si>
    <t>Barreiro</t>
  </si>
  <si>
    <t>Barreiro, Lisboa</t>
  </si>
  <si>
    <t>Circuito Ribeirinho do Barreiro. Clube Naval. Passadiços. Perto de Lisboa.</t>
  </si>
  <si>
    <t>Praia Fluvial de Alburrica — Barreiro</t>
  </si>
  <si>
    <t>Circuito Ribeirinho do Barreiro. 3 moinhos de vento. Passadiços. Oásis urbano.</t>
  </si>
  <si>
    <t>Praia Fluvial dos Moinhos — Alcochete</t>
  </si>
  <si>
    <t>3 moinhos de vento históricos. Estuário do Tejo. Perto de Lisboa. Skate parque.</t>
  </si>
  <si>
    <t>Praia Ponta dos Corvos — Seixal</t>
  </si>
  <si>
    <t>Seixal</t>
  </si>
  <si>
    <t>Seixal, Lisboa</t>
  </si>
  <si>
    <t>Perto do Seixal. Estação Náutica da Baía do Seixal. Passadiços. Perto de Lisboa.</t>
  </si>
  <si>
    <t>Praia Fluvial de Copacabana — Barreiro</t>
  </si>
  <si>
    <t>Circuito Ribeirinho do Barreiro. Zona de passeio. Pesca desportiva.</t>
  </si>
  <si>
    <t xml:space="preserve">  🟧  ALENTEJO  ·  14 entradas</t>
  </si>
  <si>
    <t>Azenhas do Guadiana — Praia Fluvial</t>
  </si>
  <si>
    <t>Rio Guadiana</t>
  </si>
  <si>
    <t>Azenhas e moinhos históricos. 5 min a Este de Mértola. Circuito dos moinhos de água.</t>
  </si>
  <si>
    <t>Praia Fluvial da Ribeira da Venda — Comenda</t>
  </si>
  <si>
    <t>Gavião</t>
  </si>
  <si>
    <t>Gavião, Portalegre</t>
  </si>
  <si>
    <t>Ribeira da Venda</t>
  </si>
  <si>
    <t>Piscina adultos e infantil. Parque de merendas D.º José Bastos. Bar.</t>
  </si>
  <si>
    <t>Praia Fluvial de Monsaraz — Alqueva</t>
  </si>
  <si>
    <t>Reguengos de Monsaraz, Évora</t>
  </si>
  <si>
    <t>Albufeira do Alqueva</t>
  </si>
  <si>
    <t>1ª Praia do Alqueva. Nadadores salvadores. Bar/restaurante. Autocaravanas.</t>
  </si>
  <si>
    <t>Praia Fluvial da Tapada Grande — Mina de São Domingos</t>
  </si>
  <si>
    <t>Albufeira da Tapada Grande</t>
  </si>
  <si>
    <t>Mina de São Domingos. Festival Ilha dos Sons. Nadador salvador.</t>
  </si>
  <si>
    <t>Praia Fluvial de Avis — Albufeira do Maranhão</t>
  </si>
  <si>
    <t>Avis, Portalegre</t>
  </si>
  <si>
    <t>Albufeira do Maranhão</t>
  </si>
  <si>
    <t>Clube Náutico. Bandeira Azul. Campismo. Autocaravanas. Vigiada.</t>
  </si>
  <si>
    <t>Praia Fluvial de Albergaria dos Fusos — Cuba</t>
  </si>
  <si>
    <t>Cuba</t>
  </si>
  <si>
    <t>Cuba, Beja</t>
  </si>
  <si>
    <t>Barragem de Alvito</t>
  </si>
  <si>
    <t>Ecoparque do Alentejo Central. Piscina flutuante. Autocaravanas.</t>
  </si>
  <si>
    <t>Pego das Pias — Praia Fluvial Selvagem</t>
  </si>
  <si>
    <t>Odemira, Beja</t>
  </si>
  <si>
    <t>Ribeira do Torgal</t>
  </si>
  <si>
    <t>5 km de Odemira. Entre rochas e escarpas. Arcadas naturais. Piscina natural.</t>
  </si>
  <si>
    <t>Praia Fluvial de Azenhas d'El Rei — Alandroal</t>
  </si>
  <si>
    <t>Alandroal, Évora</t>
  </si>
  <si>
    <t>Albufeira do Alqueva / Guadiana</t>
  </si>
  <si>
    <t>5 km de Monte Juntos. Capelins. Alqueva. Bandeira Azul. Autocaravanas.</t>
  </si>
  <si>
    <t>Praia Fluvial de Alqueva — Portel</t>
  </si>
  <si>
    <t>Portel</t>
  </si>
  <si>
    <t>Portel, Évora</t>
  </si>
  <si>
    <t>Inaugurada 2021. 150m de areal. Vigiada 9h-19h. Bar com esplanada. Autocaravanas.</t>
  </si>
  <si>
    <t>Praia Fluvial da Barragem de Montargil</t>
  </si>
  <si>
    <t>Ponte de Sôr</t>
  </si>
  <si>
    <t>Ponte de Sôr, Portalegre</t>
  </si>
  <si>
    <t>Albufeira de Montargil</t>
  </si>
  <si>
    <t>Água quente. N2. Autocaravanas. Vários pontos de banho.</t>
  </si>
  <si>
    <t>Praia Fluvial do Gameiro — Cabeção, Mora</t>
  </si>
  <si>
    <t>Mora, Évora</t>
  </si>
  <si>
    <t>Rio (Cabeção)</t>
  </si>
  <si>
    <t>Parque Ecológico do Gameiro. N2. Alentejo. Parque infantil.</t>
  </si>
  <si>
    <t>Praia Fluvial de Santa Clara — Odemira</t>
  </si>
  <si>
    <t>Albufeira de Santa Clara</t>
  </si>
  <si>
    <t>Barragem de Santa Clara. Santa Clara-a-Velha. Bandeira Azul. Vigiada.</t>
  </si>
  <si>
    <t>Praia Fluvial de Odivelas — Ferreira do Alentejo</t>
  </si>
  <si>
    <t>Ferreira do Alentejo</t>
  </si>
  <si>
    <t>Albufeira de Odivelas</t>
  </si>
  <si>
    <t>Entre Torrão e Ferreira do Alentejo. N2. Campismo Markádia. Bar.</t>
  </si>
  <si>
    <t>Praia Fluvial do Alamal — Gavião</t>
  </si>
  <si>
    <t>Uma das mais procuradas de Portugal. Bandeira Azul. Campismo. Bar. Rio Tejo.</t>
  </si>
  <si>
    <t>Praia Fluvial da Barragem de Odeleite</t>
  </si>
  <si>
    <t>Castro Marim, Faro</t>
  </si>
  <si>
    <t>Albufeira de Odeleite</t>
  </si>
  <si>
    <t>Nova zona balnear em Castro Marim. Miradouro da Barragem. Zona de lazer.</t>
  </si>
  <si>
    <t>Praia Fluvial do Pego Fundo — Alcoutim</t>
  </si>
  <si>
    <t>Alcoutim, Faro</t>
  </si>
  <si>
    <t>Ribeira de Cadavais</t>
  </si>
  <si>
    <t>Única praia fluvial do Algarve (vila). Bar. Tá-se Bem Beach Club.</t>
  </si>
  <si>
    <t>Praia Fluvial de Odeceixe — Aljezur</t>
  </si>
  <si>
    <t>Aljezur, Faro</t>
  </si>
  <si>
    <t>Ribeira de Seixe</t>
  </si>
  <si>
    <t>Costa Vicentina. Bandeira Azul. Praia 2 em 1 (fluvial + marítima). Rota Vicentina.</t>
  </si>
  <si>
    <t>Praia Fluvial da Amoreira — Aljezur</t>
  </si>
  <si>
    <t>Ribeira de Aljezur</t>
  </si>
  <si>
    <t>Costa Vicentina. Rota Vicentina. Vista para o Atlântico. Praia 2 em 1.</t>
  </si>
  <si>
    <t>🏊  159 entradas  ·  Portugal Vivo</t>
  </si>
  <si>
    <t>Piscinas Naturais de Porto Moniz</t>
  </si>
  <si>
    <t>Oceano Atlântico / Rocha Basáltica</t>
  </si>
  <si>
    <t>As mais famosas piscinas naturais da Madeira — esculpidas em lava basáltica na costa norte. Protegidas por afloramentos de rocha. Usadas desde séc. XIX pelos pescadores locais.</t>
  </si>
  <si>
    <t>Piscinas Naturais de Seixal</t>
  </si>
  <si>
    <t>São Vicente</t>
  </si>
  <si>
    <t>Seixal, São Vicente, Madeira</t>
  </si>
  <si>
    <t>Oceano Atlântico / Cascata</t>
  </si>
  <si>
    <t>Piscinas únicas com cascata de água doce a desembocar directamente no oceano. Basalto preto e verde intenso. A mais fotogénica das piscinas da Madeira.</t>
  </si>
  <si>
    <t>Poços do Rabaçal — 25 Fontes</t>
  </si>
  <si>
    <t>Calheta</t>
  </si>
  <si>
    <t>Rabaçal, Calheta, Madeira</t>
  </si>
  <si>
    <t>Ribeiro das 25 Fontes / Laurissilva</t>
  </si>
  <si>
    <t>Poço de água doce na levada das 25 Fontes, no coração da Floresta Laurissilva UNESCO. Alimentado por 25 nascentes distintas. Água glacialmente fria. Zona de banho natural secular.</t>
  </si>
  <si>
    <t>Piscinas Naturais dos Biscoitos</t>
  </si>
  <si>
    <t>Biscoitos, Terceira</t>
  </si>
  <si>
    <t>Oceano Atlântico / Lava Vulcânica</t>
  </si>
  <si>
    <t>Piscinas naturais esculpidas em lava basáltica — as mais fotografadas dos Açores. Água do oceano em lagoas protegidas de ondas por formações de lava de 2000 anos.</t>
  </si>
  <si>
    <t>Sete Cidades, São Miguel</t>
  </si>
  <si>
    <t>Lagoa Vulcânica Dupla</t>
  </si>
  <si>
    <t>Vigiada (Verão)</t>
  </si>
  <si>
    <t>Lagoa Azul + Lagoa Verde numa caldeira vulcânica de 5 km. Fenómeno geológico único por diferenças de flora algal e profundidade. Uma das 7 Maravilhas Naturais de Portugal.</t>
  </si>
  <si>
    <t>Lagoa do Fogo — Serra da Água de Pau</t>
  </si>
  <si>
    <t>Serra de Água de Pau, São Miguel</t>
  </si>
  <si>
    <t>Lagoa Vulcânica de Cratera</t>
  </si>
  <si>
    <t>A mais alta e intocada de São Miguel (590m). Névoa permanente e paisagem de outro mundo. Rara gaivota de bico rubro nidifica nas margens. Acesso por trilho PR7.</t>
  </si>
  <si>
    <t>Caldeira Velha — Nascente Termal</t>
  </si>
  <si>
    <t>Caldeira Velha, Ribeira Grande</t>
  </si>
  <si>
    <t>Nascente Geotérmica</t>
  </si>
  <si>
    <t>Balneológica</t>
  </si>
  <si>
    <t>Cascata termal com piscina natural a 35°C no interior da floresta laurissilva. Água sulfurosa de origem vulcânica entre fetos gigantes e hortênsias azuis.</t>
  </si>
  <si>
    <t>Lagoa das Furnas — Banhos Geotérmicos</t>
  </si>
  <si>
    <t>Furnas, Lagoa, São Miguel</t>
  </si>
  <si>
    <t>Lagoa de Cratera Geotérmica</t>
  </si>
  <si>
    <t>Termal</t>
  </si>
  <si>
    <t>Banhos a 35–40°C em piscinas geotérmicas junto a fumarolas activas. Os açorianos cozinham o cozido das Furnas enterrado a 1m no solo vulcânico a 100°C.</t>
  </si>
  <si>
    <t>Lagoa das Patas — Flores</t>
  </si>
  <si>
    <t>Santa Cruz das Flores</t>
  </si>
  <si>
    <t>Lagoa Vulcânica</t>
  </si>
  <si>
    <t>Lagoa de cratera na ilha mais ocidental da Europa, rodeada por hortênsias e cascatas. Uma das mais intocadas dos Açores. A ilha das Flores tem mais lagoas por km² que qualquer ilha do mundo.</t>
  </si>
  <si>
    <t>Produtor / POI</t>
  </si>
  <si>
    <t>Contacto</t>
  </si>
  <si>
    <t xml:space="preserve">  🟦  NORTE  ·  157 entradas</t>
  </si>
  <si>
    <t>A Queijeira do Rabaçal</t>
  </si>
  <si>
    <t>Queijaria</t>
  </si>
  <si>
    <t>Rabaçal</t>
  </si>
  <si>
    <t>Queijaria, Restaurante</t>
  </si>
  <si>
    <t>Rua da Queijeira</t>
  </si>
  <si>
    <t>Queijaria artesanal em Rabaçal especializada em Rabaçal. Produção com leite de rebanhos locais seguindo métodos tradicionais certificados pela denominação de origem protegida.</t>
  </si>
  <si>
    <t>Agostinho Saraiva Pais – Queijaria Tia Amélia</t>
  </si>
  <si>
    <t>Rua Nossa Senhora das Dores, nº37</t>
  </si>
  <si>
    <t>Queijaria artesanal em Serra da Estrela especializada em Serra da Estrela. Produção com leite de rebanhos locais seguindo métodos tradicionais certificados pela denominação de origem protegida.</t>
  </si>
  <si>
    <t>Agroturismo Vale do Beijames</t>
  </si>
  <si>
    <t>Produtos Biológicos</t>
  </si>
  <si>
    <t>Alojamento, Exploração Agropecuária</t>
  </si>
  <si>
    <t>CM 501, Km 4</t>
  </si>
  <si>
    <t>Produtor artesanal certificado em Serra da Estrela. Especializado em Alojamento, Exploração Agropecuária, preservando métodos autênticos da gastronomia e do campo português.</t>
  </si>
  <si>
    <t>ApiJardins</t>
  </si>
  <si>
    <t>Mel / Apiário</t>
  </si>
  <si>
    <t>Beira Baixa</t>
  </si>
  <si>
    <t>Experiência</t>
  </si>
  <si>
    <t>Estrada Nacional 233 1, Vilares de Cima</t>
  </si>
  <si>
    <t>Apicultor de Beira Baixa com mel DOP de Beira Baixa. Apiários em habitat natural com mel puro de floradas autóctones certificadas.</t>
  </si>
  <si>
    <t>BeiraLacte – Lacticínios da Beira Baixa</t>
  </si>
  <si>
    <t>Vale de Sandim, 207</t>
  </si>
  <si>
    <t>Queijaria artesanal em Beira Baixa especializada em Beira Baixa. Produção com leite de rebanhos locais seguindo métodos tradicionais certificados pela denominação de origem protegida.</t>
  </si>
  <si>
    <t>Burel Factory</t>
  </si>
  <si>
    <t>Artesanato Alimentar</t>
  </si>
  <si>
    <t>Rua de Benguela 4</t>
  </si>
  <si>
    <t>Produtor artesanal certificado em Serra da Estrela. Especializado em Experiência, preservando métodos autênticos da gastronomia e do campo português.</t>
  </si>
  <si>
    <t>Restaurante, Queijaria, Alojamento</t>
  </si>
  <si>
    <t>Parador Casa da Ínsua</t>
  </si>
  <si>
    <t>Casa das Palmeiras</t>
  </si>
  <si>
    <t>Experiência, Alojamento</t>
  </si>
  <si>
    <t>Avenida da Liberdade nº 33</t>
  </si>
  <si>
    <t>Produtor artesanal certificado em Serra da Estrela. Especializado em Experiência, Alojamento, preservando métodos autênticos da gastronomia e do campo português.</t>
  </si>
  <si>
    <t>Ecolã</t>
  </si>
  <si>
    <t>Fábrica de Burel – Bairro Amieiros Verdes</t>
  </si>
  <si>
    <t>Estrela Artesanal – Queijaria, Lda</t>
  </si>
  <si>
    <t>Estrada da Ribeirinha, SN</t>
  </si>
  <si>
    <t>Museu, Restaurante</t>
  </si>
  <si>
    <t>Rua de Santana, Quinta Fonte do Marrão</t>
  </si>
  <si>
    <t>Produtor artesanal certificado em Serra da Estrela. Especializado em Museu, Restaurante, preservando métodos autênticos da gastronomia e do campo português.</t>
  </si>
  <si>
    <t>New Hand Lab</t>
  </si>
  <si>
    <t>Rua Mateus Fernandes – Travessa do Ranito</t>
  </si>
  <si>
    <t>Ponte dos Cavaleiros</t>
  </si>
  <si>
    <t>Rua Dr. Sílvio Gomes Henriques 1</t>
  </si>
  <si>
    <t>Prado da Sicó</t>
  </si>
  <si>
    <t>Restaurante, Queijaria</t>
  </si>
  <si>
    <t>Rua do Cemitério</t>
  </si>
  <si>
    <t>Queijaria Almeida – Comércio e Indústria de Queijo</t>
  </si>
  <si>
    <t>Zona Industrial, Rua 5 Lote 46</t>
  </si>
  <si>
    <t>Queijaria DAMAR – Queijos Tavares SA</t>
  </si>
  <si>
    <t>Zona Industrial, Lote 162</t>
  </si>
  <si>
    <t>Queijaria Dos Lobos</t>
  </si>
  <si>
    <t>Rua Principal, nº 20 Gramaços</t>
  </si>
  <si>
    <t>Queijaria Lameiras</t>
  </si>
  <si>
    <t>Rua da Cruz, 13</t>
  </si>
  <si>
    <t>Queijaria Quinta da Pena</t>
  </si>
  <si>
    <t>Rua das Barreiras, nº 13</t>
  </si>
  <si>
    <t>Queijaria da Licínia, Lda</t>
  </si>
  <si>
    <t>Rua do Casal – Cotas</t>
  </si>
  <si>
    <t>Queijaria do Germil</t>
  </si>
  <si>
    <t>Quinta do Patarrego</t>
  </si>
  <si>
    <t>Quinta São Cosme</t>
  </si>
  <si>
    <t>Rua Santa Bárbara, nº 23, Paçoinhos</t>
  </si>
  <si>
    <t>Quinta da Estaca – Lucília Rosa Assunção Loureiro</t>
  </si>
  <si>
    <t>Rua das Bocas, 28 – Vilar Seco</t>
  </si>
  <si>
    <t>Quinta do Cruzeiro</t>
  </si>
  <si>
    <t>Rua dos Combatentes da Grande Guerra, nº20</t>
  </si>
  <si>
    <t>Sabores da Soalheira</t>
  </si>
  <si>
    <t>Zona Industrial, lote nº2, Rua J</t>
  </si>
  <si>
    <t>Serras do Rabaçal</t>
  </si>
  <si>
    <t>Rua da Jã (antiga Estrada do Pombalinho)</t>
  </si>
  <si>
    <t>Vale da Estrela</t>
  </si>
  <si>
    <t>Estrada Nacional 16, n.º 43 São Cosmado</t>
  </si>
  <si>
    <t>Queijaria Terra de Montes</t>
  </si>
  <si>
    <t>Terras de Trás-os-Montes</t>
  </si>
  <si>
    <t>Queijo de Cabra Transmontano DOP</t>
  </si>
  <si>
    <t>Montalegre, Vila Real</t>
  </si>
  <si>
    <t>276 511 200</t>
  </si>
  <si>
    <t>Queijaria artesanal em Terras de Trás-os-Montes especializada em Terras de Trás-os-Montes. Produção com leite de rebanhos locais seguindo métodos tradicionais certificados pela denominação de origem protegida.</t>
  </si>
  <si>
    <t>Queijaria Nordeste</t>
  </si>
  <si>
    <t>Queijo Terrincho DOP, Queijo de Azeitão</t>
  </si>
  <si>
    <t>Terra de Montalegre</t>
  </si>
  <si>
    <t>276 510 450</t>
  </si>
  <si>
    <t>Queijaria artesanal em Trás-os-Montes especializada em Trás-os-Montes. Produção com leite de rebanhos locais seguindo métodos tradicionais certificados pela denominação de origem protegida.</t>
  </si>
  <si>
    <t>Queijos de Cabra D.O.</t>
  </si>
  <si>
    <t>273 321 540</t>
  </si>
  <si>
    <t>Lacticínios Souto da Casa</t>
  </si>
  <si>
    <t>Queijo Amarelo da Beira Baixa DOP</t>
  </si>
  <si>
    <t>275 752 410</t>
  </si>
  <si>
    <t>Queijaria do Rabaçal</t>
  </si>
  <si>
    <t>Rabaçal DOP</t>
  </si>
  <si>
    <t>Queijo de Rabaçal DOP (meias-curas e curados)</t>
  </si>
  <si>
    <t>Rabaçal, Penela</t>
  </si>
  <si>
    <t>239 560 180</t>
  </si>
  <si>
    <t>Queijaria artesanal em Rabaçal DOP especializada em Rabaçal DOP. Produção com leite de rebanhos locais seguindo métodos tradicionais certificados pela denominação de origem protegida.</t>
  </si>
  <si>
    <t>Cooperativa Lactimontes</t>
  </si>
  <si>
    <t>Serra da Estrela DOP</t>
  </si>
  <si>
    <t>Queijo Serra da Estrela DOP (cremoso)</t>
  </si>
  <si>
    <t>238 310 200</t>
  </si>
  <si>
    <t>Queijaria artesanal em Serra da Estrela DOP especializada em Serra da Estrela DOP. Produção com leite de rebanhos locais seguindo métodos tradicionais certificados pela denominação de origem protegida.</t>
  </si>
  <si>
    <t>Queijaria São Paulo da Serra</t>
  </si>
  <si>
    <t>Queijo Serra da Estrela DOP velho</t>
  </si>
  <si>
    <t>Gouveia, Guarda</t>
  </si>
  <si>
    <t>238 490 310</t>
  </si>
  <si>
    <t>Alva Queijo</t>
  </si>
  <si>
    <t>Queijo Serra da Estrela DOP e iogurtes artesanais</t>
  </si>
  <si>
    <t>275 981 440</t>
  </si>
  <si>
    <t>Queijaria Herdade do Pinheiro</t>
  </si>
  <si>
    <t>Queijo de Évora DOP, Queijo de Serpa DOP</t>
  </si>
  <si>
    <t>266 741 220</t>
  </si>
  <si>
    <t>Queijaria artesanal em Alentejo especializada em Alentejo. Produção com leite de rebanhos locais seguindo métodos tradicionais certificados pela denominação de origem protegida.</t>
  </si>
  <si>
    <t>Queijos de Serpa SA</t>
  </si>
  <si>
    <t>Serpa DOP</t>
  </si>
  <si>
    <t>Queijo de Serpa DOP (semi-curado)</t>
  </si>
  <si>
    <t>Serpa, Beja</t>
  </si>
  <si>
    <t>284 540 130</t>
  </si>
  <si>
    <t>Queijaria artesanal em Serpa DOP especializada em Serpa DOP. Produção com leite de rebanhos locais seguindo métodos tradicionais certificados pela denominação de origem protegida.</t>
  </si>
  <si>
    <t>Queijaria São Cristóvão</t>
  </si>
  <si>
    <t>Évora DOP</t>
  </si>
  <si>
    <t>Queijo de Évora DOP (duro e semi-duro)</t>
  </si>
  <si>
    <t>266 703 890</t>
  </si>
  <si>
    <t>Queijaria artesanal em Évora DOP especializada em Évora DOP. Produção com leite de rebanhos locais seguindo métodos tradicionais certificados pela denominação de origem protegida.</t>
  </si>
  <si>
    <t>Queijaria Terras de Moura</t>
  </si>
  <si>
    <t>Queijo de Moura, Queijo de Ovelha</t>
  </si>
  <si>
    <t>Moura, Beja</t>
  </si>
  <si>
    <t>285 251 760</t>
  </si>
  <si>
    <t>Queijaria artesanal em Baixo Alentejo especializada em Baixo Alentejo. Produção com leite de rebanhos locais seguindo métodos tradicionais certificados pela denominação de origem protegida.</t>
  </si>
  <si>
    <t>Queijaria Serra do Caldeirão</t>
  </si>
  <si>
    <t>Queijo de Cabra algarvia, Mel + Queijo</t>
  </si>
  <si>
    <t>289 416 610</t>
  </si>
  <si>
    <t>Queijaria artesanal em Algarve especializada em Algarve. Produção com leite de rebanhos locais seguindo métodos tradicionais certificados pela denominação de origem protegida.</t>
  </si>
  <si>
    <t>Cooperativa Pecuária de São Miguel</t>
  </si>
  <si>
    <t>São Miguel DOP</t>
  </si>
  <si>
    <t>Queijo São Miguel DOP, manteiga artesanal</t>
  </si>
  <si>
    <t>Rabo de Peixe, São Miguel</t>
  </si>
  <si>
    <t>296 498 600</t>
  </si>
  <si>
    <t>Queijaria artesanal em São Miguel DOP especializada em São Miguel DOP. Produção com leite de rebanhos locais seguindo métodos tradicionais certificados pela denominação de origem protegida.</t>
  </si>
  <si>
    <t>Queijaria São Jorge</t>
  </si>
  <si>
    <t>São Jorge DOP</t>
  </si>
  <si>
    <t>Queijo São Jorge DOP (cura 60 e 180 dias)</t>
  </si>
  <si>
    <t>Calheta, São Jorge</t>
  </si>
  <si>
    <t>295 416 120</t>
  </si>
  <si>
    <t>Queijaria artesanal em São Jorge DOP especializada em São Jorge DOP. Produção com leite de rebanhos locais seguindo métodos tradicionais certificados pela denominação de origem protegida.</t>
  </si>
  <si>
    <t>Lacticínios das Flores</t>
  </si>
  <si>
    <t>Flores DOP</t>
  </si>
  <si>
    <t>Queijo das Flores DOP, manteiga das Flores</t>
  </si>
  <si>
    <t>292 592 400</t>
  </si>
  <si>
    <t>Queijaria artesanal em Flores DOP especializada em Flores DOP. Produção com leite de rebanhos locais seguindo métodos tradicionais certificados pela denominação de origem protegida.</t>
  </si>
  <si>
    <t>Queijaria São Vicente</t>
  </si>
  <si>
    <t>Queijo Fresco da Madeira, requeijão</t>
  </si>
  <si>
    <t>291 842 240</t>
  </si>
  <si>
    <t>Queijaria artesanal em Madeira especializada em Madeira. Produção com leite de rebanhos locais seguindo métodos tradicionais certificados pela denominação de origem protegida.</t>
  </si>
  <si>
    <t>Mel do Algarve — Cooperativa Melgal</t>
  </si>
  <si>
    <t>Algarve DOP</t>
  </si>
  <si>
    <t>Mel do Algarve DOP, Mel de Medronheiro</t>
  </si>
  <si>
    <t>Silves, Faro</t>
  </si>
  <si>
    <t>282 440 710</t>
  </si>
  <si>
    <t>Apicultor de Algarve DOP com mel DOP de Algarve DOP. Apiários em habitat natural com mel puro de floradas autóctones certificadas.</t>
  </si>
  <si>
    <t>Apiários do Gerês</t>
  </si>
  <si>
    <t>Gerês — Norte</t>
  </si>
  <si>
    <t>Mel de Urze, Mel de Rosmaninho DOP</t>
  </si>
  <si>
    <t>253 391 580</t>
  </si>
  <si>
    <t>Apicultor de Gerês — Norte com mel DOP de Gerês — Norte. Apiários em habitat natural com mel puro de floradas autóctones certificadas.</t>
  </si>
  <si>
    <t>Mel de Barroso — ACOB</t>
  </si>
  <si>
    <t>Barroso DOP</t>
  </si>
  <si>
    <t>Mel de Barroso DOP (ericáceas e castanheiro)</t>
  </si>
  <si>
    <t>276 512 770</t>
  </si>
  <si>
    <t>Apicultor de Barroso DOP com mel DOP de Barroso DOP. Apiários em habitat natural com mel puro de floradas autóctones certificadas.</t>
  </si>
  <si>
    <t>Mieles del Norte</t>
  </si>
  <si>
    <t>Mel de Castanheiro e Giesta</t>
  </si>
  <si>
    <t>273 338 400</t>
  </si>
  <si>
    <t>Apicultor de Trás-os-Montes com mel DOP de Trás-os-Montes. Apiários em habitat natural com mel puro de floradas autóctones certificadas.</t>
  </si>
  <si>
    <t>Cooperativa Apicultores Alentejo</t>
  </si>
  <si>
    <t>Mel de Alecrim, Mel de Lavar DOP</t>
  </si>
  <si>
    <t>266 759 200</t>
  </si>
  <si>
    <t>Apicultor de Alentejo com mel DOP de Alentejo. Apiários em habitat natural com mel puro de floradas autóctones certificadas.</t>
  </si>
  <si>
    <t>Quinta da Abelha — Ribatejo</t>
  </si>
  <si>
    <t>Ribatejo</t>
  </si>
  <si>
    <t>Mel de Flor de Laranjeira, mel cru</t>
  </si>
  <si>
    <t>243 321 650</t>
  </si>
  <si>
    <t>Apicultor de Ribatejo com mel DOP de Ribatejo. Apiários em habitat natural com mel puro de floradas autóctones certificadas.</t>
  </si>
  <si>
    <t>AVICAR — Alheira de Mirandela</t>
  </si>
  <si>
    <t>Enchidos / Charcutaria</t>
  </si>
  <si>
    <t>Trás-os-Montes DOP</t>
  </si>
  <si>
    <t>Alheira de Mirandela IGP</t>
  </si>
  <si>
    <t>278 264 280</t>
  </si>
  <si>
    <t>Produtor de enchidos e fumeiro de Trás-os-Montes DOP. Receitas tradicionais com carne de porco criado ao ar livre e fumagem em lenha de carvalho.</t>
  </si>
  <si>
    <t>Enchidos de Vinhais</t>
  </si>
  <si>
    <t>Vinhais DOP</t>
  </si>
  <si>
    <t>Linguiça e Chouriça de Vinhais IGP, Alheira</t>
  </si>
  <si>
    <t>273 771 460</t>
  </si>
  <si>
    <t>Produtor de enchidos e fumeiro de Vinhais DOP. Receitas tradicionais com carne de porco criado ao ar livre e fumagem em lenha de carvalho.</t>
  </si>
  <si>
    <t>Fumeiro de Barroso</t>
  </si>
  <si>
    <t>Barroso</t>
  </si>
  <si>
    <t>Butelo, Chouriço Grosso, Salpicão</t>
  </si>
  <si>
    <t>276 511 800</t>
  </si>
  <si>
    <t>Produtor de enchidos e fumeiro de Barroso. Receitas tradicionais com carne de porco criado ao ar livre e fumagem em lenha de carvalho.</t>
  </si>
  <si>
    <t>Porco Bísaro do Nordeste</t>
  </si>
  <si>
    <t>Presunto, Cachaço Bísaro, Chouriço Morcela</t>
  </si>
  <si>
    <t>273 770 340</t>
  </si>
  <si>
    <t>Produtor de enchidos e fumeiro de Trás-os-Montes. Receitas tradicionais com carne de porco criado ao ar livre e fumagem em lenha de carvalho.</t>
  </si>
  <si>
    <t>Enchidos Tradicionais do Alentejo</t>
  </si>
  <si>
    <t>Chouriço Preto, Morcela de Porco Alentejano</t>
  </si>
  <si>
    <t>266 741 550</t>
  </si>
  <si>
    <t>Produtor de enchidos e fumeiro de Alentejo. Receitas tradicionais com carne de porco criado ao ar livre e fumagem em lenha de carvalho.</t>
  </si>
  <si>
    <t>Casa do Fumeiro — Guarda</t>
  </si>
  <si>
    <t>Beira Alta</t>
  </si>
  <si>
    <t>Chouriça de Carne de Porco da Beira Alta</t>
  </si>
  <si>
    <t>271 212 780</t>
  </si>
  <si>
    <t>Produtor de enchidos e fumeiro de Beira Alta. Receitas tradicionais com carne de porco criado ao ar livre e fumagem em lenha de carvalho.</t>
  </si>
  <si>
    <t>Herdade do Esporão — Azeite</t>
  </si>
  <si>
    <t>Azeite / Olivicultura</t>
  </si>
  <si>
    <t>Alentejo DOP</t>
  </si>
  <si>
    <t>Azeite Virgem Extra DOP Moura e Alentejo</t>
  </si>
  <si>
    <t>266 509 280</t>
  </si>
  <si>
    <t>Produtor de azeite DOP em Alentejo DOP. Olivais centenários e produção artesanal com carácter único do território e processo de extracção a frio.</t>
  </si>
  <si>
    <t>Cooperativa Azeites do Norte</t>
  </si>
  <si>
    <t>Azeite de Trás-os-Montes DOP (Verdeal, Madural)</t>
  </si>
  <si>
    <t>278 263 320</t>
  </si>
  <si>
    <t>Produtor de azeite DOP em Trás-os-Montes DOP. Olivais centenários e produção artesanal com carácter único do território e processo de extracção a frio.</t>
  </si>
  <si>
    <t>UNIAGRO — Azeite de Moura</t>
  </si>
  <si>
    <t>Moura DOP</t>
  </si>
  <si>
    <t>Azeite de Moura DOP (categoria Superior)</t>
  </si>
  <si>
    <t>285 252 200</t>
  </si>
  <si>
    <t>Produtor de azeite DOP em Moura DOP. Olivais centenários e produção artesanal com carácter único do território e processo de extracção a frio.</t>
  </si>
  <si>
    <t>Quinta da Lixa — Azeite</t>
  </si>
  <si>
    <t>Azeite Virgem Extra, Picual e Arbequina</t>
  </si>
  <si>
    <t>243 315 820</t>
  </si>
  <si>
    <t>Produtor de azeite DOP em Ribatejo. Olivais centenários e produção artesanal com carácter único do território e processo de extracção a frio.</t>
  </si>
  <si>
    <t>Cooperativa Olivicultores Beira Baixa</t>
  </si>
  <si>
    <t>Beira Baixa DOP</t>
  </si>
  <si>
    <t>Azeite da Beira Baixa DOP (Galega, Carrasquenha)</t>
  </si>
  <si>
    <t>272 328 430</t>
  </si>
  <si>
    <t>Produtor de azeite DOP em Beira Baixa DOP. Olivais centenários e produção artesanal com carácter único do território e processo de extracção a frio.</t>
  </si>
  <si>
    <t>Quinta de Vale do Côa</t>
  </si>
  <si>
    <t>Azeite e vinho, tours olivicultura</t>
  </si>
  <si>
    <t>279 765 410</t>
  </si>
  <si>
    <t>Adega de Trás-os-Montes produtora de Azeite e vinho, tours olivicultura. Tradição vitivinícola regional com castas autóctones e terroir único da enologia portuguesa.</t>
  </si>
  <si>
    <t>Conservas Ramirez</t>
  </si>
  <si>
    <t>Conservas / Fumados</t>
  </si>
  <si>
    <t>Porto — Matosinhos</t>
  </si>
  <si>
    <t>Conservas de atum, sardinha e cavala DOP</t>
  </si>
  <si>
    <t>Matosinhos, Porto</t>
  </si>
  <si>
    <t>229 390 500</t>
  </si>
  <si>
    <t>Produtor artesanal certificado em Porto — Matosinhos. Especializado em Conservas de atum, sardinha e cavala DOP, preservando métodos autênticos da gastronomia e do campo português.</t>
  </si>
  <si>
    <t>José Gourmet</t>
  </si>
  <si>
    <t>Conservas artesanais premium, lulas e berbigão</t>
  </si>
  <si>
    <t>234 380 650</t>
  </si>
  <si>
    <t>Produtor artesanal certificado em Aveiro. Especializado em Conservas artesanais premium, lulas e berbigão, preservando métodos autênticos da gastronomia e do campo português.</t>
  </si>
  <si>
    <t>Cofaco — Açores Atlantis</t>
  </si>
  <si>
    <t>Atum Açores DOP, conservas naturais</t>
  </si>
  <si>
    <t>Ponta Delgada, Açores</t>
  </si>
  <si>
    <t>296 302 800</t>
  </si>
  <si>
    <t>Produtor artesanal certificado em São Miguel DOP. Especializado em Atum Açores DOP, conservas naturais, preservando métodos autênticos da gastronomia e do campo português.</t>
  </si>
  <si>
    <t>Sabores do Atlântico</t>
  </si>
  <si>
    <t>Conservas de atum e polvo dos Açores</t>
  </si>
  <si>
    <t>292 293 410</t>
  </si>
  <si>
    <t>Produtor artesanal certificado em Açores. Especializado em Conservas de atum e polvo dos Açores, preservando métodos autênticos da gastronomia e do campo português.</t>
  </si>
  <si>
    <t>Trufas e Fumados Samontes</t>
  </si>
  <si>
    <t>Truta fumada e conservas artesanais fluviais</t>
  </si>
  <si>
    <t>253 391 210</t>
  </si>
  <si>
    <t>Produtor artesanal certificado em Norte. Especializado em Truta fumada e conservas artesanais fluviais, preservando métodos autênticos da gastronomia e do campo português.</t>
  </si>
  <si>
    <t>Queijaria Artesanal do Barroso</t>
  </si>
  <si>
    <t>Norte — Barroso</t>
  </si>
  <si>
    <t>Queijo de Cabra Transmontano DOP, Requeijao</t>
  </si>
  <si>
    <t>276 512 340</t>
  </si>
  <si>
    <t>Queijaria artesanal em Norte — Barroso especializada em Norte — Barroso. Produção com leite de rebanhos locais seguindo métodos tradicionais certificados pela denominação de origem protegida.</t>
  </si>
  <si>
    <t>Cooperativa Lacticinios Nordeste</t>
  </si>
  <si>
    <t>Norte — Tras-os-Montes</t>
  </si>
  <si>
    <t>Queijo Terrincho DOP, Queijo de Ovelha Curado</t>
  </si>
  <si>
    <t>Miranda do Douro, Braganca</t>
  </si>
  <si>
    <t>273 431 280</t>
  </si>
  <si>
    <t>Queijaria artesanal em Norte — Tras-os-Montes especializada em Norte — Tras-os-Montes. Produção com leite de rebanhos locais seguindo métodos tradicionais certificados pela denominação de origem protegida.</t>
  </si>
  <si>
    <t>Queijos do Geres Quinta Lavandeira</t>
  </si>
  <si>
    <t>Queijo fresco de ovelha, Queijo curado artesanal</t>
  </si>
  <si>
    <t>253 391 460</t>
  </si>
  <si>
    <t>Queijaria artesanal em Norte — Minho especializada em Norte — Minho. Produção com leite de rebanhos locais seguindo métodos tradicionais certificados pela denominação de origem protegida.</t>
  </si>
  <si>
    <t>Lacticinios Vale do Douro</t>
  </si>
  <si>
    <t>Queijo de Pasta Mole, Requeijao, Iogurte artesanal</t>
  </si>
  <si>
    <t>Regua, Vila Real</t>
  </si>
  <si>
    <t>254 320 870</t>
  </si>
  <si>
    <t>Queijaria artesanal em Norte — Douro especializada em Norte — Douro. Produção com leite de rebanhos locais seguindo métodos tradicionais certificados pela denominação de origem protegida.</t>
  </si>
  <si>
    <t>Mel de Barroso ACOB</t>
  </si>
  <si>
    <t>Norte — Barroso DOP</t>
  </si>
  <si>
    <t>Mel de Barroso DOP (castanheiro e ericaceas)</t>
  </si>
  <si>
    <t>Apicultor de Norte — Barroso DOP com mel DOP de Norte — Barroso DOP. Apiários em habitat natural com mel puro de floradas autóctones certificadas.</t>
  </si>
  <si>
    <t>Apiarios do Geres</t>
  </si>
  <si>
    <t>Mel de Urze, Mel de Rosmaninho, Propolis</t>
  </si>
  <si>
    <t>Apicultor de Norte — Minho com mel DOP de Norte — Minho. Apiários em habitat natural com mel puro de floradas autóctones certificadas.</t>
  </si>
  <si>
    <t>Casa do Mel Sabores do Minho</t>
  </si>
  <si>
    <t>Norte — Minho / Viana</t>
  </si>
  <si>
    <t>Mel de Laranjeira, Mel Polifloral, Vinagre de Mel</t>
  </si>
  <si>
    <t>258 943 210</t>
  </si>
  <si>
    <t>Apicultor de Norte — Minho / Viana com mel DOP de Norte — Minho / Viana. Apiários em habitat natural com mel puro de floradas autóctones certificadas.</t>
  </si>
  <si>
    <t>Fumeiro do Nordeste</t>
  </si>
  <si>
    <t>Norte — Vinhais IGP</t>
  </si>
  <si>
    <t>Chourico Grosso, Salpicao de Vinhais IGP, Cachaco</t>
  </si>
  <si>
    <t>Vinhais, Braganca</t>
  </si>
  <si>
    <t>273 770 560</t>
  </si>
  <si>
    <t>Produtor de enchidos e fumeiro de Norte — Vinhais IGP. Receitas tradicionais com carne de porco criado ao ar livre e fumagem em lenha de carvalho.</t>
  </si>
  <si>
    <t>Carnes e Enchidos Bom Savor</t>
  </si>
  <si>
    <t>Vitela de Lafoes, Fumeiro artesanal, Alheira caseira</t>
  </si>
  <si>
    <t>253 810 540</t>
  </si>
  <si>
    <t>Produtor de enchidos e fumeiro de Norte — Minho. Receitas tradicionais com carne de porco criado ao ar livre e fumagem em lenha de carvalho.</t>
  </si>
  <si>
    <t>Quinta do Passadouro Azeite</t>
  </si>
  <si>
    <t>Azeite Virgem Extra, Olive Experience</t>
  </si>
  <si>
    <t>Sabrosa, Vila Real</t>
  </si>
  <si>
    <t>259 945 430</t>
  </si>
  <si>
    <t>Produtor de azeite DOP em Norte — Douro. Olivais centenários e produção artesanal com carácter único do território e processo de extracção a frio.</t>
  </si>
  <si>
    <t>Cooperativa Azeites Tras-os-Montes</t>
  </si>
  <si>
    <t>Norte — Tras-os-Montes DOP</t>
  </si>
  <si>
    <t>Azeite de Tras-os-Montes DOP (Verdeal, Madural)</t>
  </si>
  <si>
    <t>Mirandela, Braganca</t>
  </si>
  <si>
    <t>Produtor de azeite DOP em Norte — Tras-os-Montes DOP. Olivais centenários e produção artesanal com carácter único do território e processo de extracção a frio.</t>
  </si>
  <si>
    <t>Herdade da Courela Azeite Norte</t>
  </si>
  <si>
    <t>Azeite monovarietal Madural, Verdeal Transmontana</t>
  </si>
  <si>
    <t>276 321 450</t>
  </si>
  <si>
    <t>Produtor de azeite DOP em Norte — Tras-os-Montes. Olivais centenários e produção artesanal com carácter único do território e processo de extracção a frio.</t>
  </si>
  <si>
    <t>Associacao Castanha Transmontana</t>
  </si>
  <si>
    <t>Frutos / Legumes DOP</t>
  </si>
  <si>
    <t>Norte — Castanha DOP</t>
  </si>
  <si>
    <t>Castanha Transmontana DOP, Farinha de Castanha</t>
  </si>
  <si>
    <t>273 770 210</t>
  </si>
  <si>
    <t>Produtor artesanal certificado em Norte — Castanha DOP. Especializado em Castanha Transmontana DOP, Farinha de Castanha, preservando métodos autênticos da gastronomia e do campo português.</t>
  </si>
  <si>
    <t>Cerejeiras do Douro Cooperativa</t>
  </si>
  <si>
    <t>Cereja da Beira IGP, Compotas, Aguardente de Cereja</t>
  </si>
  <si>
    <t>254 321 680</t>
  </si>
  <si>
    <t>Produtor artesanal certificado em Norte — Douro. Especializado em Cereja da Beira IGP, Compotas, Aguardente de Cereja, preservando métodos autênticos da gastronomia e do campo português.</t>
  </si>
  <si>
    <t>Conservas Ramirez Matosinhos</t>
  </si>
  <si>
    <t>Norte — Porto</t>
  </si>
  <si>
    <t>Conservas de Sardinha, Atum, Cavala — desde 1853</t>
  </si>
  <si>
    <t>Produtor artesanal certificado em Norte — Porto. Especializado em Conservas de Sardinha, Atum, Cavala — desde 1853, preservando métodos autênticos da gastronomia e do campo português.</t>
  </si>
  <si>
    <t>Tricana Conservas Artesanais</t>
  </si>
  <si>
    <t>Polvo, Ameijoas, Sardinhas Premium em Azeite</t>
  </si>
  <si>
    <t>258 822 760</t>
  </si>
  <si>
    <t>Produtor de azeite DOP em Norte — Minho. Olivais centenários e produção artesanal com carácter único do território e processo de extracção a frio.</t>
  </si>
  <si>
    <t>Samontes Truta Fumada</t>
  </si>
  <si>
    <t>Norte — Geres</t>
  </si>
  <si>
    <t>Truta Fumada artesanal, Truta em azeite, Pate</t>
  </si>
  <si>
    <t>Produtor de azeite DOP em Norte — Geres. Olivais centenários e produção artesanal com carácter único do território e processo de extracção a frio.</t>
  </si>
  <si>
    <t>Lacticinios Primalact Viana</t>
  </si>
  <si>
    <t>Laticínios / Manteigas</t>
  </si>
  <si>
    <t>Manteiga artesanal, Requeijao, Natas regionais</t>
  </si>
  <si>
    <t>258 821 340</t>
  </si>
  <si>
    <t>Produtor de produtos lácteos artesanais de Norte — Minho. Leite de rebanhos locais processado segundo métodos tradicionais e certificação DOP.</t>
  </si>
  <si>
    <t>Apiarios da Estrela</t>
  </si>
  <si>
    <t>Mel de Urze da Estrela, Mel de Lavanda, Meis Premium</t>
  </si>
  <si>
    <t>238 314 560</t>
  </si>
  <si>
    <t>Apicultor de Centro — Serra da Estrela com mel DOP de Centro — Serra da Estrela. Apiários em habitat natural com mel puro de floradas autóctones certificadas.</t>
  </si>
  <si>
    <t>Mel da Serra da Lousa</t>
  </si>
  <si>
    <t>Centro — Serra da Lousa DOP</t>
  </si>
  <si>
    <t>Mel da Serra da Lousa DOP, Propolis, Cera virgem</t>
  </si>
  <si>
    <t>Lousa, Coimbra</t>
  </si>
  <si>
    <t>239 991 380</t>
  </si>
  <si>
    <t>Apicultor de Centro — Serra da Lousa DOP com mel DOP de Centro — Serra da Lousa DOP. Apiários em habitat natural com mel puro de floradas autóctones certificadas.</t>
  </si>
  <si>
    <t>Casa da Abelha Fundao</t>
  </si>
  <si>
    <t>Centro — Beira Baixa</t>
  </si>
  <si>
    <t>Mel da Cova da Beira, Mel de Cerejeira, Compotas</t>
  </si>
  <si>
    <t>Fundao, Castelo Branco</t>
  </si>
  <si>
    <t>275 772 340</t>
  </si>
  <si>
    <t>Apicultor de Centro — Beira Baixa com mel DOP de Centro — Beira Baixa. Apiários em habitat natural com mel puro de floradas autóctones certificadas.</t>
  </si>
  <si>
    <t>Fumeiro da Estrela</t>
  </si>
  <si>
    <t>Chourico, Morcela, Farinheira artesanais da serra</t>
  </si>
  <si>
    <t>238 315 320</t>
  </si>
  <si>
    <t>Produtor de enchidos e fumeiro de Centro — Serra da Estrela. Receitas tradicionais com carne de porco criado ao ar livre e fumagem em lenha de carvalho.</t>
  </si>
  <si>
    <t>Enchidos Tradicionais do Centro</t>
  </si>
  <si>
    <t>Chourico Mouro, Morcela de Cacao, Enchidos Ovelha</t>
  </si>
  <si>
    <t>Covilha, Castelo Branco</t>
  </si>
  <si>
    <t>275 323 110</t>
  </si>
  <si>
    <t>Produtor de enchidos e fumeiro de Centro — Beira Baixa. Receitas tradicionais com carne de porco criado ao ar livre e fumagem em lenha de carvalho.</t>
  </si>
  <si>
    <t>Quinta do Cruzeiro Azeite</t>
  </si>
  <si>
    <t>Centro — Beira Alta</t>
  </si>
  <si>
    <t>Azeite da Beira Alta DOP, Visita a Lagar</t>
  </si>
  <si>
    <t>232 418 770</t>
  </si>
  <si>
    <t>Produtor de azeite DOP em Centro — Beira Alta. Olivais centenários e produção artesanal com carácter único do território e processo de extracção a frio.</t>
  </si>
  <si>
    <t>Herdade do Sobreiro Azeite Centro</t>
  </si>
  <si>
    <t>Azeite Virgem Extra, Visita ao Olival, Picnics</t>
  </si>
  <si>
    <t>239 811 340</t>
  </si>
  <si>
    <t>Produtor de azeite DOP em Centro — Coimbra. Olivais centenários e produção artesanal com carácter único do território e processo de extracção a frio.</t>
  </si>
  <si>
    <t>Associacao Produtores Maca de Alcobaca</t>
  </si>
  <si>
    <t>Centro — Oeste DOP</t>
  </si>
  <si>
    <t>Maca de Alcobaca IGP, Sumos, Compotas, Cidra</t>
  </si>
  <si>
    <t>Alcobaca, Leiria</t>
  </si>
  <si>
    <t>262 590 110</t>
  </si>
  <si>
    <t>Produtor artesanal certificado em Centro — Oeste DOP. Especializado em Maca de Alcobaca IGP, Sumos, Compotas, Cidra, preservando métodos autênticos da gastronomia e do campo português.</t>
  </si>
  <si>
    <t>Cereja da Cova da Beira Cooperativa</t>
  </si>
  <si>
    <t>Centro — Cova da Beira IGP</t>
  </si>
  <si>
    <t>Cereja da Cova da Beira IGP, Licor, Compotas</t>
  </si>
  <si>
    <t>275 774 440</t>
  </si>
  <si>
    <t>Produtor artesanal certificado em Centro — Cova da Beira IGP. Especializado em Cereja da Cova da Beira IGP, Licor, Compotas, preservando métodos autênticos da gastronomia e do campo português.</t>
  </si>
  <si>
    <t>Quinta Boa Esperanca Pera Rocha</t>
  </si>
  <si>
    <t>Pera Rocha do Oeste DOP, Sumos, Mermeladas</t>
  </si>
  <si>
    <t>Caldas da Rainha, Leiria</t>
  </si>
  <si>
    <t>262 840 320</t>
  </si>
  <si>
    <t>Apicultor de Centro — Oeste DOP com mel DOP de Centro — Oeste DOP. Apiários em habitat natural com mel puro de floradas autóctones certificadas.</t>
  </si>
  <si>
    <t>Sal da Costa Flor de Sal Aveiro</t>
  </si>
  <si>
    <t>Flor de Sal de Aveiro, Sal negro, Condimentos de Sal</t>
  </si>
  <si>
    <t>Ilhavo, Aveiro</t>
  </si>
  <si>
    <t>234 321 780</t>
  </si>
  <si>
    <t>Produtor artesanal certificado em Centro — Aveiro. Especializado em Flor de Sal de Aveiro, Sal negro, Condimentos de Sal, preservando métodos autênticos da gastronomia e do campo português.</t>
  </si>
  <si>
    <t>Arroz Carolino Mondego</t>
  </si>
  <si>
    <t>Centro — Baixo Mondego IGP</t>
  </si>
  <si>
    <t>Arroz Carolino do Baixo Mondego IGP, Variedades heritage</t>
  </si>
  <si>
    <t>Estarreja, Aveiro</t>
  </si>
  <si>
    <t>234 831 210</t>
  </si>
  <si>
    <t>Produtor artesanal certificado em Centro — Baixo Mondego IGP. Especializado em Arroz Carolino do Baixo Mondego IGP, Variedades heritage, preservando métodos autênticos da gastronomia e do campo português.</t>
  </si>
  <si>
    <t>Queijaria da Aldeia de Azeitao</t>
  </si>
  <si>
    <t>LVT — Azeitao DOP</t>
  </si>
  <si>
    <t>Queijo de Azeitao DOP (amanteigado artesanal)</t>
  </si>
  <si>
    <t>Azeitao, Setubal</t>
  </si>
  <si>
    <t>265 975 230</t>
  </si>
  <si>
    <t>Queijaria artesanal em LVT — Azeitao DOP especializada em LVT — Azeitao DOP. Produção com leite de rebanhos locais seguindo métodos tradicionais certificados pela denominação de origem protegida.</t>
  </si>
  <si>
    <t>Cooperativa Queijeiros Palmela</t>
  </si>
  <si>
    <t>LVT — Palmela / Setubal</t>
  </si>
  <si>
    <t>Queijo de Azeitao DOP, Queijo Fresco</t>
  </si>
  <si>
    <t>Palmela, Setubal</t>
  </si>
  <si>
    <t>212 330 760</t>
  </si>
  <si>
    <t>Queijaria artesanal em LVT — Palmela / Setubal especializada em LVT — Palmela / Setubal. Produção com leite de rebanhos locais seguindo métodos tradicionais certificados pela denominação de origem protegida.</t>
  </si>
  <si>
    <t>Quinta da Ribeirinha Queijo Fresco</t>
  </si>
  <si>
    <t>LVT — Ribatejo</t>
  </si>
  <si>
    <t>Queijo Fresco de Ovelha, Requeijao, Iogurte</t>
  </si>
  <si>
    <t>Santarem</t>
  </si>
  <si>
    <t>243 319 580</t>
  </si>
  <si>
    <t>Queijaria artesanal em LVT — Ribatejo especializada em LVT — Ribatejo. Produção com leite de rebanhos locais seguindo métodos tradicionais certificados pela denominação de origem protegida.</t>
  </si>
  <si>
    <t>Quinta da Abelha Ribatejo</t>
  </si>
  <si>
    <t>Mel de Laranjeira, Mel de Alecrim, Mel Polifloral</t>
  </si>
  <si>
    <t>Apicultor de LVT — Ribatejo com mel DOP de LVT — Ribatejo. Apiários em habitat natural com mel puro de floradas autóctones certificadas.</t>
  </si>
  <si>
    <t>Colmeias da Arrabida</t>
  </si>
  <si>
    <t>LVT — Setubal</t>
  </si>
  <si>
    <t>Mel da Arrabida, Mel de Alfarrobeira, Mel de Rosmaninho</t>
  </si>
  <si>
    <t>Sesimbra, Setubal</t>
  </si>
  <si>
    <t>212 685 340</t>
  </si>
  <si>
    <t>Apicultor de LVT — Setubal com mel DOP de LVT — Setubal. Apiários em habitat natural com mel puro de floradas autóctones certificadas.</t>
  </si>
  <si>
    <t>ANPPA Pera Rocha do Oeste</t>
  </si>
  <si>
    <t>LVT — Oeste DOP</t>
  </si>
  <si>
    <t>Pera Rocha do Oeste DOP, Maca de Alcobaca IGP</t>
  </si>
  <si>
    <t>Torres Novas, Lisboa</t>
  </si>
  <si>
    <t>261 315 440</t>
  </si>
  <si>
    <t>Produtor artesanal certificado em LVT — Oeste DOP. Especializado em Pera Rocha do Oeste DOP, Maca de Alcobaca IGP, preservando métodos autênticos da gastronomia e do campo português.</t>
  </si>
  <si>
    <t>Quinta do Reguengo Laranja</t>
  </si>
  <si>
    <t>Laranja e Citrinos do Ribatejo, Sumos naturais</t>
  </si>
  <si>
    <t>Alenquer, Lisboa</t>
  </si>
  <si>
    <t>263 770 340</t>
  </si>
  <si>
    <t>Produtor artesanal certificado em LVT — Ribatejo. Especializado em Laranja e Citrinos do Ribatejo, Sumos naturais, preservando métodos autênticos da gastronomia e do campo português.</t>
  </si>
  <si>
    <t>Cooperativa Azeite Alcacer</t>
  </si>
  <si>
    <t>LVT — Alentejo Litoral</t>
  </si>
  <si>
    <t>Azeite Virgem Extra premiado, Visita ao lagar</t>
  </si>
  <si>
    <t>Alcacer do Sal, Setubal</t>
  </si>
  <si>
    <t>265 611 330</t>
  </si>
  <si>
    <t>Produtor de azeite DOP em LVT — Alentejo Litoral. Olivais centenários e produção artesanal com carácter único do território e processo de extracção a frio.</t>
  </si>
  <si>
    <t>Salicornia de Alcochete</t>
  </si>
  <si>
    <t>LVT — Estuario do Tejo</t>
  </si>
  <si>
    <t>Salicornia fresca e desidratada, Flor de Sal do Tejo</t>
  </si>
  <si>
    <t>Alcochete, Setubal</t>
  </si>
  <si>
    <t>212 340 780</t>
  </si>
  <si>
    <t>Produtor artesanal certificado em LVT — Estuario do Tejo. Especializado em Salicornia fresca e desidratada, Flor de Sal do Tejo, preservando métodos autênticos da gastronomia e do campo português.</t>
  </si>
  <si>
    <t>Conservas Tasty Fish Setubal</t>
  </si>
  <si>
    <t>LVT — Costa Setubal</t>
  </si>
  <si>
    <t>Conservas de Sardinha, Atum e Polvo artesanais</t>
  </si>
  <si>
    <t>Setubal</t>
  </si>
  <si>
    <t>265 241 880</t>
  </si>
  <si>
    <t>Produtor artesanal certificado em LVT — Costa Setubal. Especializado em Conservas de Sardinha, Atum e Polvo artesanais, preservando métodos autênticos da gastronomia e do campo português.</t>
  </si>
  <si>
    <t>Leite Zezere Laticínios Ribatejo</t>
  </si>
  <si>
    <t>Manteiga de ovelha artesanal, Requeijao, Iogurte</t>
  </si>
  <si>
    <t>Tomar, Santarem</t>
  </si>
  <si>
    <t>249 312 440</t>
  </si>
  <si>
    <t>Produtor de produtos lácteos artesanais de LVT — Ribatejo. Leite de rebanhos locais processado segundo métodos tradicionais e certificação DOP.</t>
  </si>
  <si>
    <t>Herdade da Malhadinha Nova Queijo</t>
  </si>
  <si>
    <t>Alentejo — Baixo Alentejo</t>
  </si>
  <si>
    <t>Queijo de Ovelha Curado, Requeijao, Iogurte de Ovelha</t>
  </si>
  <si>
    <t>284 965 432</t>
  </si>
  <si>
    <t>Queijaria artesanal em Alentejo — Baixo Alentejo especializada em Alentejo — Baixo Alentejo. Produção com leite de rebanhos locais seguindo métodos tradicionais certificados pela denominação de origem protegida.</t>
  </si>
  <si>
    <t>Cooperativa Caprina do Alentejo</t>
  </si>
  <si>
    <t>Queijo de Cabra, Queijo Mestico de Tolosa IGP</t>
  </si>
  <si>
    <t>245 330 780</t>
  </si>
  <si>
    <t>Queijaria artesanal em Alentejo — Portalegre especializada em Alentejo — Portalegre. Produção com leite de rebanhos locais seguindo métodos tradicionais certificados pela denominação de origem protegida.</t>
  </si>
  <si>
    <t>Mel do Alentejo Herdade da Ribeira</t>
  </si>
  <si>
    <t>Mel de Girassol, Mel de Lavar, Mel de Medronheiro</t>
  </si>
  <si>
    <t>284 321 670</t>
  </si>
  <si>
    <t>Apicultor de Alentejo — Baixo Alentejo com mel DOP de Alentejo — Baixo Alentejo. Apiários em habitat natural com mel puro de floradas autóctones certificadas.</t>
  </si>
  <si>
    <t>Quinta da Saude Mel e Espargos</t>
  </si>
  <si>
    <t>Alentejo — Evora</t>
  </si>
  <si>
    <t>Espargos do Alentejo, Mel de Alecrim, Polen</t>
  </si>
  <si>
    <t>Evora</t>
  </si>
  <si>
    <t>266 750 320</t>
  </si>
  <si>
    <t>Apicultor de Alentejo — Evora com mel DOP de Alentejo — Evora. Apiários em habitat natural com mel puro de floradas autóctones certificadas.</t>
  </si>
  <si>
    <t>Herdade Sao Lourenco do Barrocal</t>
  </si>
  <si>
    <t>Alentejo — Porco Preto DOP</t>
  </si>
  <si>
    <t>Presunto de Porco Preto, Chourico Negro, Paio</t>
  </si>
  <si>
    <t>266 509 210</t>
  </si>
  <si>
    <t>Produtor de enchidos e fumeiro de Alentejo — Porco Preto DOP. Receitas tradicionais com carne de porco criado ao ar livre e fumagem em lenha de carvalho.</t>
  </si>
  <si>
    <t>Monte da Ravasqueira Fumeiro</t>
  </si>
  <si>
    <t>Alentejo — Alto Alentejo</t>
  </si>
  <si>
    <t>Enchidos de Porco Preto, Presunto curado 24 meses</t>
  </si>
  <si>
    <t>Arraiolos, Evora</t>
  </si>
  <si>
    <t>266 490 540</t>
  </si>
  <si>
    <t>Produtor de enchidos e fumeiro de Alentejo — Alto Alentejo. Receitas tradicionais com carne de porco criado ao ar livre e fumagem em lenha de carvalho.</t>
  </si>
  <si>
    <t>Cooperativa Olivicultores Alentejo</t>
  </si>
  <si>
    <t>Alentejo — Alentejo Interior</t>
  </si>
  <si>
    <t>Azeite Virgem Extra, Saoes de Azeitona</t>
  </si>
  <si>
    <t>Elvas, Portalegre</t>
  </si>
  <si>
    <t>268 625 330</t>
  </si>
  <si>
    <t>Produtor de azeite DOP em Alentejo — Alentejo Interior. Olivais centenários e produção artesanal com carácter único do território e processo de extracção a frio.</t>
  </si>
  <si>
    <t>Quinta do Sobreiro Azeite Cortica</t>
  </si>
  <si>
    <t>Azeite monovarietal, Cortica artesanal, Visitas</t>
  </si>
  <si>
    <t>Montemor-o-Novo, Evora</t>
  </si>
  <si>
    <t>266 890 440</t>
  </si>
  <si>
    <t>Produtor de azeite DOP em Alentejo — Evora. Olivais centenários e produção artesanal com carácter único do território e processo de extracção a frio.</t>
  </si>
  <si>
    <t>COMPAL Tomate do Alentejo</t>
  </si>
  <si>
    <t>Tomate do Alentejo, Polpa, Ketchup artesanal</t>
  </si>
  <si>
    <t>Santiago do Cacem, Setubal</t>
  </si>
  <si>
    <t>269 820 560</t>
  </si>
  <si>
    <t>Produtor artesanal certificado em Alentejo — Baixo Alentejo. Especializado em Tomate do Alentejo, Polpa, Ketchup artesanal, preservando métodos autênticos da gastronomia e do campo português.</t>
  </si>
  <si>
    <t>Espargos do Alentejo Cooperativa</t>
  </si>
  <si>
    <t>Alentejo — Alentejo</t>
  </si>
  <si>
    <t>Espargos brancos e verdes, Cogumelos silvestres</t>
  </si>
  <si>
    <t>266 745 310</t>
  </si>
  <si>
    <t>Apicultor de Alentejo — Alentejo com mel DOP de Alentejo — Alentejo. Apiários em habitat natural com mel puro de floradas autóctones certificadas.</t>
  </si>
  <si>
    <t>Azeite e Conservas Monte Alentejano</t>
  </si>
  <si>
    <t>Azeitonas em azeite, Conserva de Tomate, Pate de Caca</t>
  </si>
  <si>
    <t>266 750 670</t>
  </si>
  <si>
    <t>Adega Cooperativa de Borba</t>
  </si>
  <si>
    <t>Vinho / Cerveja</t>
  </si>
  <si>
    <t>Alentejo — Borba DOP</t>
  </si>
  <si>
    <t>Vinho tinto e branco DOP Borba, Visita a adega</t>
  </si>
  <si>
    <t>Borba, Evora</t>
  </si>
  <si>
    <t>268 891 160</t>
  </si>
  <si>
    <t>Adega de Alentejo — Borba DOP produtora de Vinho tinto e branco DOP Borba, Visita a adega. Tradição vitivinícola regional com castas autóctones e terroir único da enologia portuguesa.</t>
  </si>
  <si>
    <t>Herdade do Rocim</t>
  </si>
  <si>
    <t>Alentejo — Vidigueira DOP</t>
  </si>
  <si>
    <t>Vinhos de garagem, Amphora, Enoturismo</t>
  </si>
  <si>
    <t>Vidigueira, Beja</t>
  </si>
  <si>
    <t>284 416 060</t>
  </si>
  <si>
    <t>Adega de Alentejo — Vidigueira DOP produtora de Vinhos de garagem, Amphora, Enoturismo. Tradição vitivinícola regional com castas autóctones e terroir único da enologia portuguesa.</t>
  </si>
  <si>
    <t>Herdade dos Almargens Queijo Cabra</t>
  </si>
  <si>
    <t>Algarve — Monchique</t>
  </si>
  <si>
    <t>Queijo fresco de Cabra, Queijo Curado, Mel e Queijo</t>
  </si>
  <si>
    <t>Monchique, Faro</t>
  </si>
  <si>
    <t>282 913 460</t>
  </si>
  <si>
    <t>Queijaria artesanal em Algarve — Monchique especializada em Algarve — Monchique. Produção com leite de rebanhos locais seguindo métodos tradicionais certificados pela denominação de origem protegida.</t>
  </si>
  <si>
    <t>Monte da Eira Queijo Artesanal</t>
  </si>
  <si>
    <t>Algarve — Interior Algarve</t>
  </si>
  <si>
    <t>Queijo de Ovelha regional, Requeijao, Iogurte</t>
  </si>
  <si>
    <t>Tavira, Faro</t>
  </si>
  <si>
    <t>281 321 780</t>
  </si>
  <si>
    <t>Queijaria artesanal em Algarve — Interior Algarve especializada em Algarve — Interior Algarve. Produção com leite de rebanhos locais seguindo métodos tradicionais certificados pela denominação de origem protegida.</t>
  </si>
  <si>
    <t>Casa do Mel Algarvio</t>
  </si>
  <si>
    <t>Mel de Laranjeira, Propolis, Cera virgem</t>
  </si>
  <si>
    <t>Loule, Faro</t>
  </si>
  <si>
    <t>289 410 560</t>
  </si>
  <si>
    <t>Apicultor de Algarve — Faro com mel DOP de Algarve — Faro. Apiários em habitat natural com mel puro de floradas autóctones certificadas.</t>
  </si>
  <si>
    <t>DIGA Alfarroba Algarve</t>
  </si>
  <si>
    <t>Algarve — Alfarroba IGP</t>
  </si>
  <si>
    <t>Alfarroba do Algarve IGP, Farinha, Xarope</t>
  </si>
  <si>
    <t>281 320 670</t>
  </si>
  <si>
    <t>Produtor artesanal certificado em Algarve — Alfarroba IGP. Especializado em Alfarroba do Algarve IGP, Farinha, Xarope, preservando métodos autênticos da gastronomia e do campo português.</t>
  </si>
  <si>
    <t>Figos de Portimao Herdade Boa Vista</t>
  </si>
  <si>
    <t>Algarve — Figo IGP</t>
  </si>
  <si>
    <t>Figo de Portimao IGP, Figos secos, Doce de Figo</t>
  </si>
  <si>
    <t>Portimao, Faro</t>
  </si>
  <si>
    <t>282 415 220</t>
  </si>
  <si>
    <t>Produtor artesanal certificado em Algarve — Figo IGP. Especializado em Figo de Portimao IGP, Figos secos, Doce de Figo, preservando métodos autênticos da gastronomia e do campo português.</t>
  </si>
  <si>
    <t>Amendoeiras do Algarve Cooperativa</t>
  </si>
  <si>
    <t>Algarve — Fruto Seco</t>
  </si>
  <si>
    <t>Amendoa do Algarve, Farinha de Amendoa, Marzipan</t>
  </si>
  <si>
    <t>281 324 560</t>
  </si>
  <si>
    <t>Produtor artesanal certificado em Algarve — Fruto Seco. Especializado em Amendoa do Algarve, Farinha de Amendoa, Marzipan, preservando métodos autênticos da gastronomia e do campo português.</t>
  </si>
  <si>
    <t>Laranjeiras da Costa Citrinos</t>
  </si>
  <si>
    <t>Algarve — Citrinos IGP</t>
  </si>
  <si>
    <t>Laranja e Tangerina Algarvia, Sumos, Marmeladas</t>
  </si>
  <si>
    <t>282 442 310</t>
  </si>
  <si>
    <t>Apicultor de Algarve — Citrinos IGP com mel DOP de Algarve — Citrinos IGP. Apiários em habitat natural com mel puro de floradas autóctones certificadas.</t>
  </si>
  <si>
    <t>Cooperativa Agricola Faro Azeite</t>
  </si>
  <si>
    <t>Algarve — Monchique Loule</t>
  </si>
  <si>
    <t>Azeite Virgem Extra Algarve, Azeitonas de Mesa</t>
  </si>
  <si>
    <t>289 415 890</t>
  </si>
  <si>
    <t>Produtor de azeite DOP em Algarve — Monchique Loule. Olivais centenários e produção artesanal com carácter único do território e processo de extracção a frio.</t>
  </si>
  <si>
    <t>Salmarim Flor de Sal Castro Marim</t>
  </si>
  <si>
    <t>Algarve — Castro Marim</t>
  </si>
  <si>
    <t>Flor de Sal do Algarve, Sal Negro, Condimentos</t>
  </si>
  <si>
    <t>281 510 630</t>
  </si>
  <si>
    <t>Produtor artesanal certificado em Algarve — Castro Marim. Especializado em Flor de Sal do Algarve, Sal Negro, Condimentos, preservando métodos autênticos da gastronomia e do campo português.</t>
  </si>
  <si>
    <t>Atum das Ilhas Sagres</t>
  </si>
  <si>
    <t>Algarve — Sotavento</t>
  </si>
  <si>
    <t>Conservas de Atum, Sardinha, Polvo em Azeite Algarve</t>
  </si>
  <si>
    <t>282 620 340</t>
  </si>
  <si>
    <t>Produtor de azeite DOP em Algarve — Sotavento. Olivais centenários e produção artesanal com carácter único do território e processo de extracção a frio.</t>
  </si>
  <si>
    <t>Enchidos do Caldeirao</t>
  </si>
  <si>
    <t>Linguica algarvia, Chourico de porco preto</t>
  </si>
  <si>
    <t>282 912 780</t>
  </si>
  <si>
    <t>Produtor de enchidos e fumeiro de Algarve — Interior Algarve. Receitas tradicionais com carne de porco criado ao ar livre e fumagem em lenha de carvalho.</t>
  </si>
  <si>
    <t>Queijaria Sao Jorge DOP</t>
  </si>
  <si>
    <t>Acores — Sao Jorge DOP</t>
  </si>
  <si>
    <t>Queijo Sao Jorge DOP 60 dias, 180 dias, curado 1 ano</t>
  </si>
  <si>
    <t>Calheta, Sao Jorge</t>
  </si>
  <si>
    <t>Queijaria artesanal em Acores — Sao Jorge DOP especializada em Acores — Sao Jorge DOP. Produção com leite de rebanhos locais seguindo métodos tradicionais certificados pela denominação de origem protegida.</t>
  </si>
  <si>
    <t>Lacticinios das Flores</t>
  </si>
  <si>
    <t>Acores — Flores DOP</t>
  </si>
  <si>
    <t>Queijo das Flores DOP, Manteiga das Flores</t>
  </si>
  <si>
    <t>Queijaria artesanal em Acores — Flores DOP especializada em Acores — Flores DOP. Produção com leite de rebanhos locais seguindo métodos tradicionais certificados pela denominação de origem protegida.</t>
  </si>
  <si>
    <t>Queijo do Pico Artesanal</t>
  </si>
  <si>
    <t>Acores — Pico DOP</t>
  </si>
  <si>
    <t>Queijo do Pico DOP, Requeijao, Queijo Fresco</t>
  </si>
  <si>
    <t>292 622 330</t>
  </si>
  <si>
    <t>Queijaria artesanal em Acores — Pico DOP especializada em Acores — Pico DOP. Produção com leite de rebanhos locais seguindo métodos tradicionais certificados pela denominação de origem protegida.</t>
  </si>
  <si>
    <t>Quinta dos Acores Queijo Terceira</t>
  </si>
  <si>
    <t>Acores — Terceira</t>
  </si>
  <si>
    <t>Queijo amanteigado de Terceira, Queijo Curado</t>
  </si>
  <si>
    <t>Angra do Heroismo, Terceira</t>
  </si>
  <si>
    <t>295 213 450</t>
  </si>
  <si>
    <t>Queijaria artesanal em Acores — Terceira especializada em Acores — Terceira. Produção com leite de rebanhos locais seguindo métodos tradicionais certificados pela denominação de origem protegida.</t>
  </si>
  <si>
    <t>Mel dos Acores DOP Cooperativa</t>
  </si>
  <si>
    <t>Acores — Sao Miguel DOP</t>
  </si>
  <si>
    <t>Mel dos Acores DOP, Mel de Criptomeria, Propolis</t>
  </si>
  <si>
    <t>Ponta Delgada, Sao Miguel</t>
  </si>
  <si>
    <t>296 301 780</t>
  </si>
  <si>
    <t>Apicultor de Acores — Sao Miguel DOP com mel DOP de Acores — Sao Miguel DOP. Apiários em habitat natural com mel puro de floradas autóctones certificadas.</t>
  </si>
  <si>
    <t>Apiarios do Pico</t>
  </si>
  <si>
    <t>Acores — Pico</t>
  </si>
  <si>
    <t>Mel de Pico, Mel de Urze vulcanica</t>
  </si>
  <si>
    <t>292 622 140</t>
  </si>
  <si>
    <t>Apicultor de Acores — Pico com mel DOP de Acores — Pico. Apiários em habitat natural com mel puro de floradas autóctones certificadas.</t>
  </si>
  <si>
    <t>Ananasal Ananas dos Acores DOP</t>
  </si>
  <si>
    <t>Ananas dos Acores DOP, Geleia de Ananas, Licor</t>
  </si>
  <si>
    <t>296 287 670</t>
  </si>
  <si>
    <t>Produtor artesanal certificado em Acores — Sao Miguel DOP. Especializado em Ananas dos Acores DOP, Geleia de Ananas, Licor, preservando métodos autênticos da gastronomia e do campo português.</t>
  </si>
  <si>
    <t>Cha Gorreana Unico Cha da Europa</t>
  </si>
  <si>
    <t>Acores — Sao Miguel</t>
  </si>
  <si>
    <t>Cha Verde e Preto dos Acores (unico da Europa)</t>
  </si>
  <si>
    <t>Ribeira Grande, Sao Miguel</t>
  </si>
  <si>
    <t>296 442 349</t>
  </si>
  <si>
    <t>Produtor artesanal certificado em Acores — Sao Miguel. Especializado em Cha Verde e Preto dos Acores (unico da Europa), preservando métodos autênticos da gastronomia e do campo português.</t>
  </si>
  <si>
    <t>Ananases Porto Formoso</t>
  </si>
  <si>
    <t>Ananas em estufa, Sumos artesanais, Tours estufas</t>
  </si>
  <si>
    <t>296 410 350</t>
  </si>
  <si>
    <t>Produtor artesanal certificado em Acores — Sao Miguel. Especializado em Ananas em estufa, Sumos artesanais, Tours estufas, preservando métodos autênticos da gastronomia e do campo português.</t>
  </si>
  <si>
    <t>Cofaco Conservas Acores DOP</t>
  </si>
  <si>
    <t>Atum Acores DOP, Garoupa, Conservas naturais</t>
  </si>
  <si>
    <t>Produtor artesanal certificado em Acores — Sao Miguel DOP. Especializado em Atum Acores DOP, Garoupa, Conservas naturais, preservando métodos autênticos da gastronomia e do campo português.</t>
  </si>
  <si>
    <t>Conservas Insulares do Atlantico</t>
  </si>
  <si>
    <t>Acores — Faial</t>
  </si>
  <si>
    <t>Atum, Espada, Limpete em azeite Acoriano</t>
  </si>
  <si>
    <t>292 292 560</t>
  </si>
  <si>
    <t>Produtor de azeite DOP em Acores — Faial. Olivais centenários e produção artesanal com carácter único do território e processo de extracção a frio.</t>
  </si>
  <si>
    <t>Cooperativa Vitivinicola do Pico</t>
  </si>
  <si>
    <t>Acores — Pico DOP UNESCO</t>
  </si>
  <si>
    <t>Vinho do Pico DOP, Verdelho, Arinto dos Acores</t>
  </si>
  <si>
    <t>292 622 262</t>
  </si>
  <si>
    <t>Adega de Acores — Pico DOP UNESCO produtora de Vinho do Pico DOP, Verdelho, Arinto dos Acores. Tradição vitivinícola regional com castas autóctones e terroir único da enologia portuguesa.</t>
  </si>
  <si>
    <t>Adega do Vulcao Sao Miguel</t>
  </si>
  <si>
    <t>Vinho Regional Acores, Branco e Rose de Basalto</t>
  </si>
  <si>
    <t>Furnas, Sao Miguel</t>
  </si>
  <si>
    <t>296 584 300</t>
  </si>
  <si>
    <t>Adega de Acores — Sao Miguel produtora de Vinho Regional Acores, Branco e Rose de Basalto. Tradição vitivinícola regional com castas autóctones e terroir único da enologia portuguesa.</t>
  </si>
  <si>
    <t>Queijo do Curral das Freiras</t>
  </si>
  <si>
    <t>Madeira — Curral das Freiras</t>
  </si>
  <si>
    <t>Queijo regional da Madeira, Requeijao de Cabra</t>
  </si>
  <si>
    <t>Camara de Lobos, Madeira</t>
  </si>
  <si>
    <t>291 720 540</t>
  </si>
  <si>
    <t>Queijaria artesanal em Madeira — Curral das Freiras especializada em Madeira — Curral das Freiras. Produção com leite de rebanhos locais seguindo métodos tradicionais certificados pela denominação de origem protegida.</t>
  </si>
  <si>
    <t>Empresa de Mel da Madeira EMME</t>
  </si>
  <si>
    <t>Madeira — Madeira DOP</t>
  </si>
  <si>
    <t>Mel de Urze da Madeira DOP, Mel de Rosmaninho</t>
  </si>
  <si>
    <t>291 225 670</t>
  </si>
  <si>
    <t>Apicultor de Madeira — Madeira DOP com mel DOP de Madeira — Madeira DOP. Apiários em habitat natural com mel puro de floradas autóctones certificadas.</t>
  </si>
  <si>
    <t>Apiarios dos Picos Madeira</t>
  </si>
  <si>
    <t>Madeira — Paul da Serra</t>
  </si>
  <si>
    <t>Mel Polifloral de altitude, Propolis da Madeira</t>
  </si>
  <si>
    <t>Ribeira Brava, Madeira</t>
  </si>
  <si>
    <t>291 952 340</t>
  </si>
  <si>
    <t>Apicultor de Madeira — Paul da Serra com mel DOP de Madeira — Paul da Serra. Apiários em habitat natural com mel puro de floradas autóctones certificadas.</t>
  </si>
  <si>
    <t>Bananeira da Madeira Cooperativa</t>
  </si>
  <si>
    <t>Madeira — Banana IGP</t>
  </si>
  <si>
    <t>Banana da Madeira IGP, Doce de Banana, Licor</t>
  </si>
  <si>
    <t>291 220 780</t>
  </si>
  <si>
    <t>Produtor artesanal certificado em Madeira — Banana IGP. Especializado em Banana da Madeira IGP, Doce de Banana, Licor, preservando métodos autênticos da gastronomia e do campo português.</t>
  </si>
  <si>
    <t>Maracujas da Madeira Quinta Boa Vista</t>
  </si>
  <si>
    <t>Madeira — Madeira</t>
  </si>
  <si>
    <t>Maracuja fresco, Sumo, Aguardente de frutos</t>
  </si>
  <si>
    <t>291 720 430</t>
  </si>
  <si>
    <t>Produtor artesanal certificado em Madeira — Madeira. Especializado em Maracuja fresco, Sumo, Aguardente de frutos, preservando métodos autênticos da gastronomia e do campo português.</t>
  </si>
  <si>
    <t>Espada Preta Conservas Madeira</t>
  </si>
  <si>
    <t>Espada preta fumada, Conservas em azeite</t>
  </si>
  <si>
    <t>291 222 340</t>
  </si>
  <si>
    <t>Produtor de azeite DOP em Madeira — Madeira. Olivais centenários e produção artesanal com carácter único do território e processo de extracção a frio.</t>
  </si>
  <si>
    <t>Sal e Sabor Madeira</t>
  </si>
  <si>
    <t>Madeira — Camara de Lobos</t>
  </si>
  <si>
    <t>Atum, Salmonete e Espada em conserva artesanal</t>
  </si>
  <si>
    <t>291 720 560</t>
  </si>
  <si>
    <t>Produtor artesanal certificado em Madeira — Camara de Lobos. Especializado em Atum, Salmonete e Espada em conserva artesanal, preservando métodos autênticos da gastronomia e do campo português.</t>
  </si>
  <si>
    <t>Blandys Wine Lodge</t>
  </si>
  <si>
    <t>Madeira — Vinho Madeira DOP</t>
  </si>
  <si>
    <t>Vinho Madeira DOP (Malmsey, Bual, Verdelho), Tours</t>
  </si>
  <si>
    <t>291 228 978</t>
  </si>
  <si>
    <t>Adega de Madeira — Vinho Madeira DOP produtora de Vinho Madeira DOP (Malmsey, Bual, Verdelho), Tours. Tradição vitivinícola regional com castas autóctones e terroir único da enologia portuguesa.</t>
  </si>
  <si>
    <t>Henriques e Henriques</t>
  </si>
  <si>
    <t>Vinho Madeira DOP colheita e reserva, Visita Adega</t>
  </si>
  <si>
    <t>291 941 551</t>
  </si>
  <si>
    <t>Adega de Madeira — Vinho Madeira DOP produtora de Vinho Madeira DOP colheita e reserva, Visita Adega. Tradição vitivinícola regional com castas autóctones e terroir único da enologia portuguesa.</t>
  </si>
  <si>
    <t>Artur de Barros e Sousa</t>
  </si>
  <si>
    <t>Vinho Madeira DOP artesanal, lotes antigos, Visitas</t>
  </si>
  <si>
    <t>291 220 622</t>
  </si>
  <si>
    <t>Adega de Madeira — Vinho Madeira DOP produtora de Vinho Madeira DOP artesanal, lotes antigos, Visitas. Tradição vitivinícola regional com castas autóctones e terroir único da enologia portuguesa.</t>
  </si>
  <si>
    <t>Engenho do Norte Mel de Cana</t>
  </si>
  <si>
    <t>Madeira — Sao Vicente</t>
  </si>
  <si>
    <t>Mel de Cana da Madeira DOP, Aguardente, Poncha base</t>
  </si>
  <si>
    <t>Sao Vicente Madeira</t>
  </si>
  <si>
    <t>291 840 100</t>
  </si>
  <si>
    <t>Apicultor de Madeira — Sao Vicente com mel DOP de Madeira — Sao Vicente. Apiários em habitat natural com mel puro de floradas autóctones certificadas.</t>
  </si>
  <si>
    <t>Cooperativa Agricola Camacha</t>
  </si>
  <si>
    <t>Madeira — Camacha</t>
  </si>
  <si>
    <t>Manteiga de Ovelha artesanal, Nata, Iogurte Regional</t>
  </si>
  <si>
    <t>Camacha, Madeira</t>
  </si>
  <si>
    <t>291 922 110</t>
  </si>
  <si>
    <t>Produtor de produtos lácteos artesanais de Madeira — Camacha. Leite de rebanhos locais processado segundo métodos tradicionais e certificação DOP.</t>
  </si>
  <si>
    <t>🧭  AGENTES E OPERADORES TURÍSTICOS  —  108 entradas</t>
  </si>
  <si>
    <t>Norte · Centro · Lisboa · Alentejo · Algarve · Açores · Madeira  ·  Guias, Operadores, Agências e Centros de Visitantes</t>
  </si>
  <si>
    <t xml:space="preserve">  🟦  NORTE  ·  72 entradas</t>
  </si>
  <si>
    <t>Alojamento Rural Quinta Bouqueirão</t>
  </si>
  <si>
    <t>Alojamento</t>
  </si>
  <si>
    <t>Bouca de Dentro, Miranda do Douro</t>
  </si>
  <si>
    <t>2</t>
  </si>
  <si>
    <t>Alojamento e turismo rural em Bouca de Dentro. Acolhimento genuíno num ambiente preservado, com acesso ao património e à paisagem natural da região portuguesa.</t>
  </si>
  <si>
    <t>Casa dos Arcos — Turismo Rural</t>
  </si>
  <si>
    <t>Rubiães, Paredes de Coura</t>
  </si>
  <si>
    <t>Alojamento e turismo rural em Rubiães. Acolhimento genuíno num ambiente preservado, com acesso ao património e à paisagem natural da região portuguesa.</t>
  </si>
  <si>
    <t>Quinta da Pacheca — Barris Dormir</t>
  </si>
  <si>
    <t>Alojamento, Experiencia</t>
  </si>
  <si>
    <t>Quinta da Pacheca, Cambres</t>
  </si>
  <si>
    <t>Lamego, Douro</t>
  </si>
  <si>
    <t>6</t>
  </si>
  <si>
    <t>Operador de experiências em Quinta da Pacheca, especializado em turismo cultural e activo. Actividades imersivas que revelam o território, a história e as tradições da região.</t>
  </si>
  <si>
    <t>Quinta do Crasto — Enoturismo Douro</t>
  </si>
  <si>
    <t>5</t>
  </si>
  <si>
    <t>Quinta de enoturismo em Sabrosa com alojamento integrado em vinha. Experiências de prova, vindima e visita à adega numa imersão total na cultura vitivinícola portuguesa.</t>
  </si>
  <si>
    <t>Quinta do Vallado — Enoturismo</t>
  </si>
  <si>
    <t>Quinta do Vallado, Peso da Regua</t>
  </si>
  <si>
    <t>Peso da Regua, Vila Real</t>
  </si>
  <si>
    <t>8</t>
  </si>
  <si>
    <t>Quinta de enoturismo em Quinta do Vallado com alojamento integrado em vinha. Experiências de prova, vindima e visita à adega numa imersão total na cultura vitivinícola portuguesa.</t>
  </si>
  <si>
    <t>Albergaria de Sao Bento — Minho</t>
  </si>
  <si>
    <t>Alojamento, Restaurante</t>
  </si>
  <si>
    <t>3</t>
  </si>
  <si>
    <t>Turismo rural com alojamento e restaurante regional em Gerês. Gastronomia da casa, produtos da quinta e autenticidade portuguesa longe do turismo massificado.</t>
  </si>
  <si>
    <t>Solar de Bertiandos — Casa Solarenga</t>
  </si>
  <si>
    <t>Solar de Bertiandos, Ponte de Lima</t>
  </si>
  <si>
    <t>4</t>
  </si>
  <si>
    <t>Turismo rural com alojamento e restaurante regional em Solar de Bertiandos. Gastronomia da casa, produtos da quinta e autenticidade portuguesa longe do turismo massificado.</t>
  </si>
  <si>
    <t>Fumeiro da Aldeia — Vinhais</t>
  </si>
  <si>
    <t>Norte — Vinhais</t>
  </si>
  <si>
    <t>Experiencia</t>
  </si>
  <si>
    <t>Operador de experiências em Vinhais, especializado em turismo cultural e activo. Actividades imersivas que revelam o território, a história e as tradições da região.</t>
  </si>
  <si>
    <t>Casa de Mouraz — Biodynamic Wines</t>
  </si>
  <si>
    <t>Experiencia, Alojamento</t>
  </si>
  <si>
    <t>Operador de experiências em Tondela, especializado em turismo cultural e activo. Actividades imersivas que revelam o território, a história e as tradições da região.</t>
  </si>
  <si>
    <t>Quinta da Aveleda — Vinho Verde</t>
  </si>
  <si>
    <t>Aveleda, Penafiel</t>
  </si>
  <si>
    <t>Operador de experiências em Aveleda, especializado em turismo cultural e activo. Actividades imersivas que revelam o território, a história e as tradições da região.</t>
  </si>
  <si>
    <t>Adega Velha — Pinhao Enoturismo</t>
  </si>
  <si>
    <t>Restaurante, Experiencia</t>
  </si>
  <si>
    <t>Rua da Fonte, Pinhao</t>
  </si>
  <si>
    <t>Pinhao, Vila Real</t>
  </si>
  <si>
    <t>Operador de experiências em Rua da Fonte, especializado em turismo cultural e activo. Actividades imersivas que revelam o território, a história e as tradições da região.</t>
  </si>
  <si>
    <t>Tasca do Chico — Fado e Petiscos Porto</t>
  </si>
  <si>
    <t>Rua do Mundo 3, Porto</t>
  </si>
  <si>
    <t>Operador de experiências em Rua do Mundo 3, especializado em turismo cultural e activo. Actividades imersivas que revelam o território, a história e as tradições da região.</t>
  </si>
  <si>
    <t>Casa da Fonte — Obidos</t>
  </si>
  <si>
    <t>LVT — Obidos</t>
  </si>
  <si>
    <t>Obidos, Leiria</t>
  </si>
  <si>
    <t>Alojamento e turismo rural em Obidos. Acolhimento genuíno num ambiente preservado, com acesso ao património e à paisagem natural da região portuguesa.</t>
  </si>
  <si>
    <t>Herdade do Sado — Ecoturismo</t>
  </si>
  <si>
    <t>LVT — Reserva do Sado</t>
  </si>
  <si>
    <t>Comporta, Grandola</t>
  </si>
  <si>
    <t>Operador de experiências em Comporta, especializado em turismo cultural e activo. Actividades imersivas que revelam o território, a história e as tradições da região.</t>
  </si>
  <si>
    <t>Adega Mae — Torres Vedras</t>
  </si>
  <si>
    <t>LVT — Oeste</t>
  </si>
  <si>
    <t>Experiencia, Restaurante</t>
  </si>
  <si>
    <t>Torres Vedras, Lisboa</t>
  </si>
  <si>
    <t>Operador de experiências em Torres Vedras, especializado em turismo cultural e activo. Actividades imersivas que revelam o território, a história e as tradições da região.</t>
  </si>
  <si>
    <t>Jose Maria da Fonseca — Azeitao</t>
  </si>
  <si>
    <t>Vila Nogueira de Azeirao, Setubal</t>
  </si>
  <si>
    <t>Operador de experiências em Vila Nogueira de Azeirao, especializado em turismo cultural e activo. Actividades imersivas que revelam o território, a história e as tradições da região.</t>
  </si>
  <si>
    <t>Quinta da Bacalhoa — Azeitao</t>
  </si>
  <si>
    <t>Operador de experiências em Azeitao, especializado em turismo cultural e activo. Actividades imersivas que revelam o território, a história e as tradições da região.</t>
  </si>
  <si>
    <t>Casa das Salamandras — Flores</t>
  </si>
  <si>
    <t>Acores — Flores</t>
  </si>
  <si>
    <t>Operador de experiências em Santa Cruz das Flores, especializado em turismo cultural e activo. Actividades imersivas que revelam o território, a história e as tradições da região.</t>
  </si>
  <si>
    <t>Terra Nostra Garden Hotel</t>
  </si>
  <si>
    <t>Furnas, Sao Miguel, Acores</t>
  </si>
  <si>
    <t>Operador de experiências em Furnas, especializado em turismo cultural e activo. Actividades imersivas que revelam o território, a história e as tradições da região.</t>
  </si>
  <si>
    <t>Pousada de Sao Bras — Terceira</t>
  </si>
  <si>
    <t>Turismo rural com alojamento e restaurante regional em Angra do Heroismo. Gastronomia da casa, produtos da quinta e autenticidade portuguesa longe do turismo massificado.</t>
  </si>
  <si>
    <t>Quinta do Martelo — Terceira</t>
  </si>
  <si>
    <t>Alojamento, Restaurante, Experiencia</t>
  </si>
  <si>
    <t>Sao Mateus, Angra do Heroismo</t>
  </si>
  <si>
    <t>Turismo rural com alojamento e restaurante regional em Sao Mateus. Gastronomia da casa, produtos da quinta e autenticidade portuguesa longe do turismo massificado.</t>
  </si>
  <si>
    <t>Adega Cooperativa de Sao Miguel</t>
  </si>
  <si>
    <t>Pico da Pedra, Sao Miguel</t>
  </si>
  <si>
    <t>Operador de experiências em Pico da Pedra, especializado em turismo cultural e activo. Actividades imersivas que revelam o território, a história e as tradições da região.</t>
  </si>
  <si>
    <t>Furna do Enxofre — Graciosa</t>
  </si>
  <si>
    <t>Acores — Graciosa</t>
  </si>
  <si>
    <t>Operador de experiências em Santa Cruz da Graciosa, especializado em turismo cultural e activo. Actividades imersivas que revelam o território, a história e as tradições da região.</t>
  </si>
  <si>
    <t>Whale Watching Acores — Faial</t>
  </si>
  <si>
    <t>Operador de experiências em Horta, especializado em turismo cultural e activo. Actividades imersivas que revelam o território, a história e as tradições da região.</t>
  </si>
  <si>
    <t>Vinhos do Pico — Cooperativa</t>
  </si>
  <si>
    <t>Operador de experiências em Madalena, especializado em turismo cultural e activo. Actividades imersivas que revelam o território, a história e as tradições da região.</t>
  </si>
  <si>
    <t>Arca dos Animais</t>
  </si>
  <si>
    <t>Quinta da Ribeirinha, S/N</t>
  </si>
  <si>
    <t>Caféde, Castelo Branco</t>
  </si>
  <si>
    <t>Alojamento e turismo rural em Quinta da Ribeirinha. Acolhimento genuíno num ambiente preservado, com acesso ao património e à paisagem natural da região portuguesa.</t>
  </si>
  <si>
    <t>Casa das Raposas</t>
  </si>
  <si>
    <t>Rua do Caminho de Santiago 13</t>
  </si>
  <si>
    <t>Zambujal, Condeixa-a-Nova</t>
  </si>
  <si>
    <t>Alojamento e turismo rural em Rua do Caminho de Santiago 13. Acolhimento genuíno num ambiente preservado, com acesso ao património e à paisagem natural da região portuguesa.</t>
  </si>
  <si>
    <t>Casas do Almourão</t>
  </si>
  <si>
    <t>Rua da Capela, Foz do Cobrão</t>
  </si>
  <si>
    <t>Alojamento e turismo rural em Rua da Capela. Acolhimento genuíno num ambiente preservado, com acesso ao património e à paisagem natural da região portuguesa.</t>
  </si>
  <si>
    <t>Cerca Design House</t>
  </si>
  <si>
    <t>Largo da Praça, nº1, Chãos</t>
  </si>
  <si>
    <t>Donas, Fundão</t>
  </si>
  <si>
    <t>Alojamento e turismo rural em Largo da Praça. Acolhimento genuíno num ambiente preservado, com acesso ao património e à paisagem natural da região portuguesa.</t>
  </si>
  <si>
    <t>Hotel da Fábrica – Ecolã</t>
  </si>
  <si>
    <t>Quinta de Santa Clara, EN 232</t>
  </si>
  <si>
    <t>Alojamento e turismo rural em Quinta de Santa Clara. Acolhimento genuíno num ambiente preservado, com acesso ao património e à paisagem natural da região portuguesa.</t>
  </si>
  <si>
    <t>Quinta das Sesmarias</t>
  </si>
  <si>
    <t>Estrada Nacional 18, km 95</t>
  </si>
  <si>
    <t>Alcains, Castelo Branco</t>
  </si>
  <si>
    <t>Alojamento e turismo rural em Estrada Nacional 18. Acolhimento genuíno num ambiente preservado, com acesso ao património e à paisagem natural da região portuguesa.</t>
  </si>
  <si>
    <t>Refúgio do Raposo</t>
  </si>
  <si>
    <t>Rua Principal, S/N, Casalinho da Ribeira</t>
  </si>
  <si>
    <t>Montes da Senhora, Proença-a-Nova</t>
  </si>
  <si>
    <t>Alojamento e turismo rural em Rua Principal. Acolhimento genuíno num ambiente preservado, com acesso ao património e à paisagem natural da região portuguesa.</t>
  </si>
  <si>
    <t>Vale de Amoreira, Manteigas</t>
  </si>
  <si>
    <t>Alojamento e turismo rural em CM 501. Acolhimento genuíno num ambiente preservado, com acesso ao património e à paisagem natural da região portuguesa.</t>
  </si>
  <si>
    <t>Casa das Penhas Douradas</t>
  </si>
  <si>
    <t>Estrada Nacional 232, Penhas Douradas</t>
  </si>
  <si>
    <t>Turismo rural com alojamento e restaurante regional em Estrada Nacional 232. Gastronomia da casa, produtos da quinta e autenticidade portuguesa longe do turismo massificado.</t>
  </si>
  <si>
    <t>Casa de São Lourenço</t>
  </si>
  <si>
    <t>EN 232, km 49,3 Campo Romão</t>
  </si>
  <si>
    <t>Turismo rural com alojamento e restaurante regional em EN 232. Gastronomia da casa, produtos da quinta e autenticidade portuguesa longe do turismo massificado.</t>
  </si>
  <si>
    <t>Convento do Seixo Boutique Hotel &amp; Spa</t>
  </si>
  <si>
    <t>Quinta do Convento</t>
  </si>
  <si>
    <t>Turismo rural com alojamento e restaurante regional em Quinta do Convento. Gastronomia da casa, produtos da quinta e autenticidade portuguesa longe do turismo massificado.</t>
  </si>
  <si>
    <t>Eco Nature Glamping</t>
  </si>
  <si>
    <t>Natura Glamping, Apartado 4</t>
  </si>
  <si>
    <t>Turismo rural com alojamento e restaurante regional em Natura Glamping. Gastronomia da casa, produtos da quinta e autenticidade portuguesa longe do turismo massificado.</t>
  </si>
  <si>
    <t>Quinta Madre de Água</t>
  </si>
  <si>
    <t>Vinhó, Gouveia</t>
  </si>
  <si>
    <t>Turismo rural com alojamento e restaurante regional em Quinta Madre de Água. Gastronomia da casa, produtos da quinta e autenticidade portuguesa longe do turismo massificado.</t>
  </si>
  <si>
    <t>Sarzedas, Castelo Branco</t>
  </si>
  <si>
    <t>Operador de experiências em Estrada Nacional 233 1, especializado em turismo cultural e activo. Actividades imersivas que revelam o território, a história e as tradições da região.</t>
  </si>
  <si>
    <t>Operador de experiências em Rua de Benguela 4, especializado em turismo cultural e activo. Actividades imersivas que revelam o território, a história e as tradições da região.</t>
  </si>
  <si>
    <t>Operador de experiências em Fábrica de Burel – Bairro Amieiros Verdes, especializado em turismo cultural e activo. Actividades imersivas que revelam o território, a história e as tradições da região.</t>
  </si>
  <si>
    <t>Operador de experiências em Rua Mateus Fernandes – Travessa do Ranito, especializado em turismo cultural e activo. Actividades imersivas que revelam o território, a história e as tradições da região.</t>
  </si>
  <si>
    <t>Gandufe, Mangualde</t>
  </si>
  <si>
    <t>Operador de experiências em Avenida da Liberdade nº 33, especializado em turismo cultural e activo. Actividades imersivas que revelam o território, a história e as tradições da região.</t>
  </si>
  <si>
    <t>Operador turístico em Rua de Santana, região de Serra da Estrela. Conhecimento profundo do território e das tradições, com propostas de descoberta autêntica da região.</t>
  </si>
  <si>
    <t>Vale da Ribeira, Celorico da Beira</t>
  </si>
  <si>
    <t>Operador turístico em Rua Nossa Senhora das Dores, região de Serra da Estrela. Conhecimento profundo do território e das tradições, com propostas de descoberta autêntica da região.</t>
  </si>
  <si>
    <t>Alcaria, Fundão</t>
  </si>
  <si>
    <t>Operador turístico em Vale de Sandim, região de Beira Baixa. Conhecimento profundo do território e das tradições, com propostas de descoberta autêntica da região.</t>
  </si>
  <si>
    <t>Lagares da Beira, Oliveira do Hospital</t>
  </si>
  <si>
    <t>Operador turístico em Estrada da Ribeirinha, região de Serra da Estrela. Conhecimento profundo do território e das tradições, com propostas de descoberta autêntica da região.</t>
  </si>
  <si>
    <t>Operador turístico em Zona Industrial, região de Beira Baixa. Conhecimento profundo do território e das tradições, com propostas de descoberta autêntica da região.</t>
  </si>
  <si>
    <t>Operador turístico em Rua Principal, região de Serra da Estrela. Conhecimento profundo do território e das tradições, com propostas de descoberta autêntica da região.</t>
  </si>
  <si>
    <t>Vila Franca da Beira</t>
  </si>
  <si>
    <t>Operador turístico em Rua da Cruz, região de Serra da Estrela. Conhecimento profundo do território e das tradições, com propostas de descoberta autêntica da região.</t>
  </si>
  <si>
    <t>Operador turístico em Rua das Barreiras, região de Serra da Estrela. Conhecimento profundo do território e das tradições, com propostas de descoberta autêntica da região.</t>
  </si>
  <si>
    <t>Pombalinho, Soure</t>
  </si>
  <si>
    <t>Operador turístico em Rua do Casal – Cotas, região de Rabaçal. Conhecimento profundo do território e das tradições, com propostas de descoberta autêntica da região.</t>
  </si>
  <si>
    <t>Germil, Penalva do Castelo</t>
  </si>
  <si>
    <t>Operador turístico em Quinta do Patarrego, região de Serra da Estrela. Conhecimento profundo do território e das tradições, com propostas de descoberta autêntica da região.</t>
  </si>
  <si>
    <t>Vila Nova de Tázem</t>
  </si>
  <si>
    <t>Operador turístico em Rua Santa Bárbara, região de Serra da Estrela. Conhecimento profundo do território e das tradições, com propostas de descoberta autêntica da região.</t>
  </si>
  <si>
    <t>Operador turístico em Rua das Bocas, região de Serra da Estrela. Conhecimento profundo do território e das tradições, com propostas de descoberta autêntica da região.</t>
  </si>
  <si>
    <t>Seixo da Beira, Oliveira do Hospital</t>
  </si>
  <si>
    <t>Operador turístico em Rua dos Combatentes da Grande Guerra, região de Serra da Estrela. Conhecimento profundo do território e das tradições, com propostas de descoberta autêntica da região.</t>
  </si>
  <si>
    <t>Operador turístico em Rua da Jã (antiga Estrada do Pombalinho), região de Rabaçal. Conhecimento profundo do território e das tradições, com propostas de descoberta autêntica da região.</t>
  </si>
  <si>
    <t>Operador turístico em Estrada Nacional 16, região de Serra da Estrela. Conhecimento profundo do território e das tradições, com propostas de descoberta autêntica da região.</t>
  </si>
  <si>
    <t>Rabaçal - Penela</t>
  </si>
  <si>
    <t>Operador turístico em Rua da Queijeira, região de Rabaçal. Conhecimento profundo do território e das tradições, com propostas de descoberta autêntica da região.</t>
  </si>
  <si>
    <t>Arcozelo da Serra, Gouveia</t>
  </si>
  <si>
    <t>Operador turístico em Rua Dr. Sílvio Gomes Henriques 1, região de Serra da Estrela. Conhecimento profundo do território e das tradições, com propostas de descoberta autêntica da região.</t>
  </si>
  <si>
    <t>Restaurante Alkimya</t>
  </si>
  <si>
    <t>Restaurante</t>
  </si>
  <si>
    <t>Avenida Frei Heitor Pinto Nº1</t>
  </si>
  <si>
    <t>Operador turístico em Avenida Frei Heitor Pinto Nº1, região de Beira Baixa. Conhecimento profundo do território e das tradições, com propostas de descoberta autêntica da região.</t>
  </si>
  <si>
    <t>Restaurante Cabra Preta</t>
  </si>
  <si>
    <t>Rua de Santa Maria 13</t>
  </si>
  <si>
    <t>Operador turístico em Rua de Santa Maria 13, região de Beira Baixa. Conhecimento profundo do território e das tradições, com propostas de descoberta autêntica da região.</t>
  </si>
  <si>
    <t>Restaurante Cova da Loba</t>
  </si>
  <si>
    <t>Largo da Igreja</t>
  </si>
  <si>
    <t>Linhares da Beira</t>
  </si>
  <si>
    <t>Operador turístico em Largo da Igreja, região de Serra da Estrela. Conhecimento profundo do território e das tradições, com propostas de descoberta autêntica da região.</t>
  </si>
  <si>
    <t>Restaurante Dom Sesnando</t>
  </si>
  <si>
    <t>Escadas da Praça da República S/N</t>
  </si>
  <si>
    <t>Operador turístico em Escadas da Praça da República S/N, região de Rabaçal. Conhecimento profundo do território e das tradições, com propostas de descoberta autêntica da região.</t>
  </si>
  <si>
    <t>Restaurante Olea</t>
  </si>
  <si>
    <t>Travessa dos Vales, n.º 7</t>
  </si>
  <si>
    <t>Bobadela</t>
  </si>
  <si>
    <t>Operador turístico em Travessa dos Vales, região de Serra da Estrela. Conhecimento profundo do território e das tradições, com propostas de descoberta autêntica da região.</t>
  </si>
  <si>
    <t>Restaurante ViRiDi</t>
  </si>
  <si>
    <t>Parque das Águas Romanas</t>
  </si>
  <si>
    <t>Operador turístico em Parque das Águas Romanas, região de Rabaçal. Conhecimento profundo do território e das tradições, com propostas de descoberta autêntica da região.</t>
  </si>
  <si>
    <t>Amoras Country House – Despensa à Nova</t>
  </si>
  <si>
    <t>Restaurante, Alojamento</t>
  </si>
  <si>
    <t>Rua Comendador Assis Roda, 25</t>
  </si>
  <si>
    <t>Turismo rural com alojamento e restaurante regional em Rua Comendador Assis Roda. Gastronomia da casa, produtos da quinta e autenticidade portuguesa longe do turismo massificado.</t>
  </si>
  <si>
    <t>VilaPortuguesa</t>
  </si>
  <si>
    <t>Restaurante, Experiência</t>
  </si>
  <si>
    <t>Rua das Pesqueiras N.33</t>
  </si>
  <si>
    <t>Operador de experiências em Rua das Pesqueiras N.33, especializado em turismo cultural e activo. Actividades imersivas que revelam o território, a história e as tradições da região.</t>
  </si>
  <si>
    <t>Santiago da Guarda, Ansião</t>
  </si>
  <si>
    <t>Operador turístico em Rua do Cemitério, região de Rabaçal. Conhecimento profundo do território e das tradições, com propostas de descoberta autêntica da região.</t>
  </si>
  <si>
    <t>Turismo rural com alojamento e restaurante regional em Parador Casa da Ínsua. Gastronomia da casa, produtos da quinta e autenticidade portuguesa longe do turismo massificado.</t>
  </si>
  <si>
    <t xml:space="preserve">  🟨  CENTRO  ·  10 entradas</t>
  </si>
  <si>
    <t>Hotel da Fabrica Ecolã</t>
  </si>
  <si>
    <t>Alojamento e turismo rural em Manteigas. Acolhimento genuíno num ambiente preservado, com acesso ao património e à paisagem natural da região portuguesa.</t>
  </si>
  <si>
    <t>Quinta do Prado — Lousã</t>
  </si>
  <si>
    <t>Centro — Lousã</t>
  </si>
  <si>
    <t>Operador de experiências em Lousã, especializado em turismo cultural e activo. Actividades imersivas que revelam o território, a história e as tradições da região.</t>
  </si>
  <si>
    <t>Penhas Douradas, Manteigas</t>
  </si>
  <si>
    <t>Turismo rural com alojamento e restaurante regional em Penhas Douradas. Gastronomia da casa, produtos da quinta e autenticidade portuguesa longe do turismo massificado.</t>
  </si>
  <si>
    <t>Convento do Seixo Boutique Spa</t>
  </si>
  <si>
    <t>Seixo, Fundao</t>
  </si>
  <si>
    <t>Turismo rural com alojamento e restaurante regional em Seixo. Gastronomia da casa, produtos da quinta e autenticidade portuguesa longe do turismo massificado.</t>
  </si>
  <si>
    <t>Quinta Madre de Agua</t>
  </si>
  <si>
    <t>Celorico da Beira, Guarda</t>
  </si>
  <si>
    <t>Turismo rural com alojamento e restaurante regional em Celorico da Beira. Gastronomia da casa, produtos da quinta e autenticidade portuguesa longe do turismo massificado.</t>
  </si>
  <si>
    <t>Burel Factory — Serra da Estrela</t>
  </si>
  <si>
    <t>Operador de experiências em Manteigas, especializado em turismo cultural e activo. Actividades imersivas que revelam o território, a história e as tradições da região.</t>
  </si>
  <si>
    <t>Ecolã — Experiencias da Serra</t>
  </si>
  <si>
    <t>Casa das Palmeiras Experiencias</t>
  </si>
  <si>
    <t>Covilha, Guarda</t>
  </si>
  <si>
    <t>Operador de experiências em Covilha, especializado em turismo cultural e activo. Actividades imersivas que revelam o território, a história e as tradições da região.</t>
  </si>
  <si>
    <t>Museu do Pao — Seia</t>
  </si>
  <si>
    <t>Av. Movimento das Forcas Armadas, Seia</t>
  </si>
  <si>
    <t>Operador turístico em Av. Movimento das Forcas Armadas, região de Serra da Estrela. Conhecimento profundo do território e das tradições, com propostas de descoberta autêntica da região.</t>
  </si>
  <si>
    <t>Sabores da Serra — Aldeias Xisto</t>
  </si>
  <si>
    <t>Centro — Schist Villages</t>
  </si>
  <si>
    <t>Aldeia de Xisto, Arganil</t>
  </si>
  <si>
    <t>Operador de experiências em Aldeia de Xisto, especializado em turismo cultural e activo. Actividades imersivas que revelam o território, a história e as tradições da região.</t>
  </si>
  <si>
    <t xml:space="preserve">  🟧  ALENTEJO  ·  12 entradas</t>
  </si>
  <si>
    <t>Herdade de Comporta — Ecoturismo</t>
  </si>
  <si>
    <t>Grandola, Setubal</t>
  </si>
  <si>
    <t>Turismo rural com alojamento e restaurante regional em Comporta. Gastronomia da casa, produtos da quinta e autenticidade portuguesa longe do turismo massificado.</t>
  </si>
  <si>
    <t>Monte Alentejano das Bouqueiras</t>
  </si>
  <si>
    <t>Ourique, Beja</t>
  </si>
  <si>
    <t>Alojamento e turismo rural em Ourique. Acolhimento genuíno num ambiente preservado, com acesso ao património e à paisagem natural da região portuguesa.</t>
  </si>
  <si>
    <t>Herdade da Mingorra — Avis</t>
  </si>
  <si>
    <t>Operador de experiências em Avis, especializado em turismo cultural e activo. Actividades imersivas que revelam o território, a história e as tradições da região.</t>
  </si>
  <si>
    <t>Herdade do Mouchao — Museu Vivo</t>
  </si>
  <si>
    <t>Alentejo — Nisa / Portalegre</t>
  </si>
  <si>
    <t>Nisa, Portalegre</t>
  </si>
  <si>
    <t>Operador de experiências em Nisa, especializado em turismo cultural e activo. Actividades imersivas que revelam o território, a história e as tradições da região.</t>
  </si>
  <si>
    <t>Herdade do Esporao — Enoturismo</t>
  </si>
  <si>
    <t>Alojamento, Experiencia, Restaurante</t>
  </si>
  <si>
    <t>Reguengos de Monsaraz, Evora</t>
  </si>
  <si>
    <t>Quinta de enoturismo em Reguengos de Monsaraz com alojamento integrado em vinha. Experiências de prova, vindima e visita à adega numa imersão total na cultura vitivinícola portuguesa.</t>
  </si>
  <si>
    <t>Convento Espinheiro — Hotel Historico</t>
  </si>
  <si>
    <t>Turismo rural com alojamento e restaurante regional em Evora. Gastronomia da casa, produtos da quinta e autenticidade portuguesa longe do turismo massificado.</t>
  </si>
  <si>
    <t>Alentejo — Monsaraz</t>
  </si>
  <si>
    <t>Turismo rural com alojamento e restaurante regional em Reguengos de Monsaraz. Gastronomia da casa, produtos da quinta e autenticidade portuguesa longe do turismo massificado.</t>
  </si>
  <si>
    <t>Torre de Palma Wine Hotel</t>
  </si>
  <si>
    <t>Monforte, Portalegre</t>
  </si>
  <si>
    <t>Turismo rural com alojamento e restaurante regional em Monforte. Gastronomia da casa, produtos da quinta e autenticidade portuguesa longe do turismo massificado.</t>
  </si>
  <si>
    <t>Herdade da Malhadinha Nova</t>
  </si>
  <si>
    <t>Albernoa, Beja</t>
  </si>
  <si>
    <t>Turismo rural com alojamento e restaurante regional em Albernoa. Gastronomia da casa, produtos da quinta e autenticidade portuguesa longe do turismo massificado.</t>
  </si>
  <si>
    <t>Monte da Ravasqueira</t>
  </si>
  <si>
    <t>Alentejo — Alentejo Central</t>
  </si>
  <si>
    <t>Turismo rural com alojamento e restaurante regional em Arraiolos. Gastronomia da casa, produtos da quinta e autenticidade portuguesa longe do turismo massificado.</t>
  </si>
  <si>
    <t>Adega de Evora — Enoturismo e Historia</t>
  </si>
  <si>
    <t>Alentejo — Evora DOP</t>
  </si>
  <si>
    <t>Operador de experiências em Evora, especializado em turismo cultural e activo. Actividades imersivas que revelam o território, a história e as tradições da região.</t>
  </si>
  <si>
    <t>Tasca da Esquina Alentejana</t>
  </si>
  <si>
    <t>Operador turístico em Evora, região de Evora. Conhecimento profundo do território e das tradições, com propostas de descoberta autêntica da região.</t>
  </si>
  <si>
    <t xml:space="preserve">  🟥  ALGARVE  ·  7 entradas</t>
  </si>
  <si>
    <t>Casa da Horta — Turismo Rural</t>
  </si>
  <si>
    <t>Algarve — Serra do Caldeirano</t>
  </si>
  <si>
    <t>Alojamento e turismo rural em Loule. Acolhimento genuíno num ambiente preservado, com acesso ao património e à paisagem natural da região portuguesa.</t>
  </si>
  <si>
    <t>Quinta do Barranco da Estrada</t>
  </si>
  <si>
    <t>Algarve — Algarve Interior</t>
  </si>
  <si>
    <t>Odemira, Faro</t>
  </si>
  <si>
    <t>Operador de experiências em Odemira, especializado em turismo cultural e activo. Actividades imersivas que revelam o território, a história e as tradições da região.</t>
  </si>
  <si>
    <t>Quinta dos Poetas — Tavira</t>
  </si>
  <si>
    <t>Operador de experiências em Tavira, especializado em turismo cultural e activo. Actividades imersivas que revelam o território, a história e as tradições da região.</t>
  </si>
  <si>
    <t>Quinta dos Vales — Enoturismo</t>
  </si>
  <si>
    <t>Estombar, Lagoa</t>
  </si>
  <si>
    <t>Lagoa, Faro</t>
  </si>
  <si>
    <t>Quinta de enoturismo em Estombar com alojamento integrado em vinha. Experiências de prova, vindima e visita à adega numa imersão total na cultura vitivinícola portuguesa.</t>
  </si>
  <si>
    <t>Monte Rosa — Monchique</t>
  </si>
  <si>
    <t>Turismo rural com alojamento e restaurante regional em Monchique. Gastronomia da casa, produtos da quinta e autenticidade portuguesa longe do turismo massificado.</t>
  </si>
  <si>
    <t>Adega Morgado Quintao</t>
  </si>
  <si>
    <t>Algarve — Lagoa</t>
  </si>
  <si>
    <t>Operador de experiências em Lagoa, especializado em turismo cultural e activo. Actividades imersivas que revelam o território, a história e as tradições da região.</t>
  </si>
  <si>
    <t>Tasca do Corvo — Peixe ao Barrao</t>
  </si>
  <si>
    <t>Algarve — Sagres</t>
  </si>
  <si>
    <t>Operador turístico em Vila do Bispo, região de Sagres. Conhecimento profundo do território e das tradições, com propostas de descoberta autêntica da região.</t>
  </si>
  <si>
    <t xml:space="preserve">  🟫  MADEIRA  ·  7 entradas</t>
  </si>
  <si>
    <t>Casa de Hospedes Ribeiro Real</t>
  </si>
  <si>
    <t>Alojamento e turismo rural em Funchal. Acolhimento genuíno num ambiente preservado, com acesso ao património e à paisagem natural da região portuguesa.</t>
  </si>
  <si>
    <t>Hotel das Levadas — Ecoturismo</t>
  </si>
  <si>
    <t>Operador de experiências em Ribeira Brava, especializado em turismo cultural e activo. Actividades imersivas que revelam o território, a história e as tradições da região.</t>
  </si>
  <si>
    <t>Quinta da Levada — Ponta do Sol</t>
  </si>
  <si>
    <t>Madeira — Ponta do Sol</t>
  </si>
  <si>
    <t>Ponta do Sol, Madeira</t>
  </si>
  <si>
    <t>Operador de experiências em Ponta do Sol, especializado em turismo cultural e activo. Actividades imersivas que revelam o território, a história e as tradições da região.</t>
  </si>
  <si>
    <t>Quinta do Furão — Santana</t>
  </si>
  <si>
    <t>Achada do Gramacho, Santana</t>
  </si>
  <si>
    <t>Turismo rural com alojamento e restaurante regional em Achada do Gramacho. Gastronomia da casa, produtos da quinta e autenticidade portuguesa longe do turismo massificado.</t>
  </si>
  <si>
    <t>Engenho do Norte — Mel de Cana</t>
  </si>
  <si>
    <t>Sao Vicente, Madeira</t>
  </si>
  <si>
    <t>Operador de experiências em Sao Vicente, especializado em turismo cultural e activo. Actividades imersivas que revelam o território, a história e as tradições da região.</t>
  </si>
  <si>
    <t>Adega Sao Francisco — Blandy's</t>
  </si>
  <si>
    <t>Av. Arriaga 28, Funchal</t>
  </si>
  <si>
    <t>Operador de experiências em Av. Arriaga 28, especializado em turismo cultural e activo. Actividades imersivas que revelam o território, a história e as tradições da região.</t>
  </si>
  <si>
    <t>Restaurante Gavião — Quinta Moledo</t>
  </si>
  <si>
    <t>Operador turístico em Camara de Lobos, região de Camara de Lobos. Conhecimento profundo do território e das tradições, com propostas de descoberta autêntica da região.</t>
  </si>
  <si>
    <t>🧭  108 entradas  ·  Portugal Vivo  ·  AGENTES E OPERADORES TURÍSTICOS</t>
  </si>
  <si>
    <t>Museus</t>
  </si>
  <si>
    <t>Festas e Romarias</t>
  </si>
  <si>
    <t>Percursos Pedestres</t>
  </si>
  <si>
    <t>Parques de Campismo</t>
  </si>
  <si>
    <t>Arqueologia e Geologia</t>
  </si>
  <si>
    <t>Pousadas de Juventude</t>
  </si>
  <si>
    <t>Rotas Temáticas</t>
  </si>
  <si>
    <t>Grande Expedição 2026</t>
  </si>
  <si>
    <t>⛺  PARQUES DE CAMPISMO  —  74 entradas</t>
  </si>
  <si>
    <t>Norte · Centro · Lisboa · Alentejo · Algarve · Açores · Madeira  ·  Campismo, Glamping e Parques Naturais</t>
  </si>
  <si>
    <t xml:space="preserve">  🟦  NORTE  ·  15 entradas</t>
  </si>
  <si>
    <t>Parque Cerdeira</t>
  </si>
  <si>
    <t>Gerês</t>
  </si>
  <si>
    <t>Referência em turismo sustentável no coração do PN Peneda-Gerês.</t>
  </si>
  <si>
    <t>Orbitur Angeiras</t>
  </si>
  <si>
    <t>Lavra</t>
  </si>
  <si>
    <t>Parque de pinhal em frente à praia, com bons acessos ao Porto.</t>
  </si>
  <si>
    <t>Lima Escape</t>
  </si>
  <si>
    <t>Entre-Ambos-os-Rios</t>
  </si>
  <si>
    <t>Localizado numa península fluvial, focado no contacto com a natureza.</t>
  </si>
  <si>
    <t>Gerês Vidoeiro Camping</t>
  </si>
  <si>
    <t>Parque arborizado junto à Vila do Gerês e ribeiro natural.</t>
  </si>
  <si>
    <t>Orbitur Caminha</t>
  </si>
  <si>
    <t>Situado na foz do Rio Minho, com vista para Espanha.</t>
  </si>
  <si>
    <t>Parque de Campismo de Lamego</t>
  </si>
  <si>
    <t>Situado na encosta, próximo do Santuário dos Remédios.</t>
  </si>
  <si>
    <t>Parque Termal de Melgaço</t>
  </si>
  <si>
    <t>Parque integrado no complexo termal e desportivo.</t>
  </si>
  <si>
    <t>Parque Termal de Melgaço em Viana do Castelo (Melgaço). Melgaço com acesso a natureza autêntica. Parque integrado no complexo termal e desportivo..</t>
  </si>
  <si>
    <t>Camping Arco (Alvão)</t>
  </si>
  <si>
    <t>Serra do Alvão</t>
  </si>
  <si>
    <t>Parque de montanha com gestão familiar, ideal para caminhadas.</t>
  </si>
  <si>
    <t>Land Story</t>
  </si>
  <si>
    <t>Campismo tradicional com atividades de aventura.</t>
  </si>
  <si>
    <t>Land Story em Porto (Amarante). Amarante com acesso a natureza autêntica. Campismo tradicional com atividades de aventura..</t>
  </si>
  <si>
    <t>Parque de Campismo de Vila Real</t>
  </si>
  <si>
    <t>Complexo desportivo de Codessais, junto ao rio.</t>
  </si>
  <si>
    <t>Parque de Campismo de Vila Real em Vila Real (Vila Real). Vila Real com acesso a natureza autêntica. Complexo desportivo de Codessais, junto ao rio..</t>
  </si>
  <si>
    <t>Parque de Campismo de Braga</t>
  </si>
  <si>
    <t>No sopé do Bom Jesus do Monte, com excelentes sombras.</t>
  </si>
  <si>
    <t>Parque de Campismo de Mondim de Basto</t>
  </si>
  <si>
    <t>Nas margens do Rio Cabril, ideal para subir à Senhora da Graça.</t>
  </si>
  <si>
    <t>Camping Rio Alto (Estela)</t>
  </si>
  <si>
    <t>Estela</t>
  </si>
  <si>
    <t>Acesso direto à praia pelas dunas, perto de campo de golfe.</t>
  </si>
  <si>
    <t>Orbitur Canidelo</t>
  </si>
  <si>
    <t>Canidelo</t>
  </si>
  <si>
    <t>Em frente à praia de Salgueiros, com vista para o mar.</t>
  </si>
  <si>
    <t>Parque de Campismo de Mogadouro</t>
  </si>
  <si>
    <t>No planalto mirandês, ideal para rotas históricas.</t>
  </si>
  <si>
    <t xml:space="preserve">  🟨  CENTRO  ·  16 entradas</t>
  </si>
  <si>
    <t>Orbitur S. Pedro de Moel</t>
  </si>
  <si>
    <t>S. Pedro de Moel</t>
  </si>
  <si>
    <t>Um dos mais icónicos de Portugal, famoso pelos escorregas.</t>
  </si>
  <si>
    <t>Natura Glamping (Fundão)</t>
  </si>
  <si>
    <t>Alcongosta</t>
  </si>
  <si>
    <t>Domos geodésicos com vista panorâmica na Serra da Gardunha.</t>
  </si>
  <si>
    <t>Camping Oleiros</t>
  </si>
  <si>
    <t>Oleiros</t>
  </si>
  <si>
    <t>Integrado na praia fluvial, excelente para famílias.</t>
  </si>
  <si>
    <t>Coimbra Camping</t>
  </si>
  <si>
    <t>Margem esquerda do Mondego com vista para a universidade.</t>
  </si>
  <si>
    <t>Parque de Campismo de Idanha-a-Nova</t>
  </si>
  <si>
    <t>Junto à Barragem Marechal Carmona, ideal para pesca.</t>
  </si>
  <si>
    <t>Parque de Penamacor</t>
  </si>
  <si>
    <t>Parque calmo em zona de reserva natural.</t>
  </si>
  <si>
    <t>Parque de Penamacor em Castelo Branco (Penamacor). Penamacor com acesso a natureza autêntica. Parque calmo em zona de reserva natural..</t>
  </si>
  <si>
    <t>Camping Toca da Raposa</t>
  </si>
  <si>
    <t>Meruge</t>
  </si>
  <si>
    <t>Pequeno parque rural perto de Oliveira do Hospital.</t>
  </si>
  <si>
    <t>Parque Foz de Alge</t>
  </si>
  <si>
    <t>Foz de Alge</t>
  </si>
  <si>
    <t>Onde o Rio Alge encontra o Zêzere, para desportos náuticos.</t>
  </si>
  <si>
    <t>Camping Berlengas (Peniche)</t>
  </si>
  <si>
    <t>Ilha da Berlenga</t>
  </si>
  <si>
    <t>Experiência única de acampar numa ilha Reserva da Biosfera.</t>
  </si>
  <si>
    <t>Orbitur Vagueira (Aveiro)</t>
  </si>
  <si>
    <t>Vagos</t>
  </si>
  <si>
    <t>Gafanha da Boa Hora</t>
  </si>
  <si>
    <t>Perto da Ria de Aveiro e da Praia da Vagueira.</t>
  </si>
  <si>
    <t>Orbitur Vagueira (Aveiro) em Aveiro (Vagos). Gafanha da Boa Hora com acesso a natureza autêntica. Perto da Ria de Aveiro e da Praia da Vagueira..</t>
  </si>
  <si>
    <t>Parque de Campismo de Penacova</t>
  </si>
  <si>
    <t>Vista sobre o Rio Mondego, perfeito para canoagem.</t>
  </si>
  <si>
    <t>Orbitur Valado (Nazaré)</t>
  </si>
  <si>
    <t>Nazaré</t>
  </si>
  <si>
    <t>Pinhal calmo a 2km das famosas ondas da Nazaré.</t>
  </si>
  <si>
    <t>Orbitur Valado (Nazaré) em Leiria (Nazaré). Nazaré com acesso a natureza autêntica. Pinhal calmo a 2km das famosas ondas da Nazaré..</t>
  </si>
  <si>
    <t>Camping de Castelo Branco</t>
  </si>
  <si>
    <t>Parque moderno junto à zona desportiva e piscina praia.</t>
  </si>
  <si>
    <t>Parque de Campismo da Curia</t>
  </si>
  <si>
    <t>Tamengos</t>
  </si>
  <si>
    <t>No centro da estância termal da Curia.</t>
  </si>
  <si>
    <t>Parque de Campismo da Curia em Aveiro (Anadia). Tamengos com acesso a natureza autêntica. No centro da estância termal da Curia..</t>
  </si>
  <si>
    <t>Parque de Campismo de Arganil</t>
  </si>
  <si>
    <t>Sarzedo</t>
  </si>
  <si>
    <t>Próximo de várias praias fluviais classificadas.</t>
  </si>
  <si>
    <t>Parque de Campismo de Arganil em Coimbra (Arganil). Sarzedo com acesso a natureza autêntica. Próximo de várias praias fluviais classificadas..</t>
  </si>
  <si>
    <t>Parque de Campismo Municipal de Tomar</t>
  </si>
  <si>
    <t>No centro da cidade Templária, junto ao rio.</t>
  </si>
  <si>
    <t>Parque de Campismo Municipal de Tomar em Santarém (Tomar). Tomar com acesso a natureza autêntica. No centro da cidade Templária, junto ao rio..</t>
  </si>
  <si>
    <t>Lisboa Camping &amp; Bungalows</t>
  </si>
  <si>
    <t>Monsanto</t>
  </si>
  <si>
    <t>O grande parque de Monsanto, ideal para explorar a capital.</t>
  </si>
  <si>
    <t>Glamping Sintra</t>
  </si>
  <si>
    <t>Alojamento ecológico sofisticado com vista para a Serra de Sintra.</t>
  </si>
  <si>
    <t>Ericeira Camping</t>
  </si>
  <si>
    <t>Ericeira</t>
  </si>
  <si>
    <t>No topo da falésia, ideal para surfistas.</t>
  </si>
  <si>
    <t>Ericeira Camping em Lisboa (Mafra). Ericeira com acesso a natureza autêntica. No topo da falésia, ideal para surfistas..</t>
  </si>
  <si>
    <t>Campigir Valbom (Sesimbra)</t>
  </si>
  <si>
    <t>Valbom</t>
  </si>
  <si>
    <t>Entre a serra da Arrábida e Sesimbra, rodeado de pinhal.</t>
  </si>
  <si>
    <t>Campimeco (Meco)</t>
  </si>
  <si>
    <t>Alfarim</t>
  </si>
  <si>
    <t>Perto da icónica Praia do Meco, ambiente descontraído.</t>
  </si>
  <si>
    <t>Orbitur Guincho (Cascais)</t>
  </si>
  <si>
    <t>Guincho</t>
  </si>
  <si>
    <t>No pinhal das dunas do Guincho, excelente para windsurf.</t>
  </si>
  <si>
    <t>Inatel Caparica</t>
  </si>
  <si>
    <t>S. João da Caparica</t>
  </si>
  <si>
    <t>Na Mata Nacional, ambiente calmo a minutos da praia.</t>
  </si>
  <si>
    <t>Camping Peniche Praia</t>
  </si>
  <si>
    <t>Na marginal norte, com piscinas de água salgada.</t>
  </si>
  <si>
    <t>Camping Peniche Praia em Leiria (Peniche). Peniche com acesso a natureza autêntica. Na marginal norte, com piscinas de água salgada..</t>
  </si>
  <si>
    <t>Bukubaki Eco Surf Resort</t>
  </si>
  <si>
    <t>Glamping e bungalows focados no surf e bem-estar.</t>
  </si>
  <si>
    <t>Bukubaki Eco Surf Resort em Leiria (Peniche). Peniche com acesso a natureza autêntica. Glamping e bungalows focados no surf e bem-estar..</t>
  </si>
  <si>
    <t>Foz do Sizandro</t>
  </si>
  <si>
    <t>Silveira</t>
  </si>
  <si>
    <t>Parque familiar na foz do rio Sizandro.</t>
  </si>
  <si>
    <t>Foz do Sizandro em Lisboa (Torres Vedras). Silveira com acesso a natureza autêntica. Parque familiar na foz do rio Sizandro..</t>
  </si>
  <si>
    <t>Parque de Campismo do Escaroupim</t>
  </si>
  <si>
    <t>Escaroupim</t>
  </si>
  <si>
    <t>Junto ao Tejo numa aldeia típica de pescadores.</t>
  </si>
  <si>
    <t>Parque de Campismo do Escaroupim em Santarém (Salvaterra de Magos). Escaroupim com acesso a natureza autêntica. Junto ao Tejo numa aldeia típica de pescadores..</t>
  </si>
  <si>
    <t>Parque de Campismo de Alcácer do Sal</t>
  </si>
  <si>
    <t>Na margem sul do Rio Sado.</t>
  </si>
  <si>
    <t>Parque de Campismo de Alcácer do Sal em Setúbal (Alcácer do Sal). Alcácer do Sal com acesso a natureza autêntica. Na margem sul do Rio Sado..</t>
  </si>
  <si>
    <t>Parque de Campismo de Montargil</t>
  </si>
  <si>
    <t>Ponte de Sor</t>
  </si>
  <si>
    <t>Montargil</t>
  </si>
  <si>
    <t>Nas margens da Albufeira, ideal para desportos motorizados.</t>
  </si>
  <si>
    <t>Costa do Vizir Beach Village</t>
  </si>
  <si>
    <t>Porto Covo</t>
  </si>
  <si>
    <t>Considerado um dos melhores de Portugal, com alto nível de serviço.</t>
  </si>
  <si>
    <t>Camping Alentejo (Évora Monte)</t>
  </si>
  <si>
    <t>Évora Monte</t>
  </si>
  <si>
    <t>Sossego absoluto na planície alentejana sob gestão holandesa.</t>
  </si>
  <si>
    <t>Zmar Eco Experience</t>
  </si>
  <si>
    <t>Resort sustentável com ampla oferta de lazer para crianças.</t>
  </si>
  <si>
    <t>Camping Puro Alentejo</t>
  </si>
  <si>
    <t>Experiência rural genuína perto de Elvas.</t>
  </si>
  <si>
    <t>Camping Puro Alentejo em Portalegre (Elvas). Elvas com acesso a natureza autêntica. Experiência rural genuína perto de Elvas..</t>
  </si>
  <si>
    <t>Camping Asseiceira (Marvão)</t>
  </si>
  <si>
    <t>Santo António das Areias</t>
  </si>
  <si>
    <t>Parque acolhedor no Parque Natural de S. Mamede.</t>
  </si>
  <si>
    <t>Camping Asseiceira (Marvão) em Portalegre (Marvão). Santo António das Areias com acesso a natureza autêntica. Parque acolhedor no Parque Natural de S. Mamede..</t>
  </si>
  <si>
    <t>Bubulcus &amp; Bolotas</t>
  </si>
  <si>
    <t>Vimieiro</t>
  </si>
  <si>
    <t>Campismo 100% ecológico e off-grid no meio do montado.</t>
  </si>
  <si>
    <t>Camping Gale (Melides)</t>
  </si>
  <si>
    <t>Melides</t>
  </si>
  <si>
    <t>Acesso direto a praias selvagens e extensas dunas.</t>
  </si>
  <si>
    <t>Markadia (Alqueva)</t>
  </si>
  <si>
    <t>Alvito</t>
  </si>
  <si>
    <t>Na albufeira de Odivelas, ideal para desportos aquáticos.</t>
  </si>
  <si>
    <t>Parque Campismo de Serpa</t>
  </si>
  <si>
    <t>Junto ao centro histórico da cidade branca de Serpa.</t>
  </si>
  <si>
    <t>Orbitur Sitava Milfontes</t>
  </si>
  <si>
    <t>Vila Nova de Milfontes</t>
  </si>
  <si>
    <t>Grande área de pinhal a curta distância da Praia do Malhão.</t>
  </si>
  <si>
    <t>Parque de Campismo de Odemira</t>
  </si>
  <si>
    <t>Local calmo junto ao Rio Mira.</t>
  </si>
  <si>
    <t>Parque de Campismo de Odemira em Beja (Odemira). Odemira com acesso a natureza autêntica. Local calmo junto ao Rio Mira..</t>
  </si>
  <si>
    <t>Camping Rosário</t>
  </si>
  <si>
    <t>Rosário</t>
  </si>
  <si>
    <t>Parque rural ecológico focado na tranquilidade.</t>
  </si>
  <si>
    <t>Camping Rosário em Portalegre (Alter do Chão). Rosário com acesso a natureza autêntica. Parque rural ecológico focado na tranquilidade..</t>
  </si>
  <si>
    <t>Mina de S. Domingos</t>
  </si>
  <si>
    <t>Junto à premiada praia fluvial da Tapada Grande.</t>
  </si>
  <si>
    <t>Mina de S. Domingos em Beja (Mértola). Mina de São Domingos com acesso a natureza autêntica. Junto à premiada praia fluvial da Tapada Grande..</t>
  </si>
  <si>
    <t>Os Alvendreiros (Marvão)</t>
  </si>
  <si>
    <t>Portagem</t>
  </si>
  <si>
    <t>Agroturismo exclusivo focado na permacultura.</t>
  </si>
  <si>
    <t>Os Alvendreiros (Marvão) em Portalegre (Marvão). Portagem com acesso a natureza autêntica. Agroturismo exclusivo focado na permacultura..</t>
  </si>
  <si>
    <t>Centro Náutico de Monsaraz</t>
  </si>
  <si>
    <t>Monsaraz</t>
  </si>
  <si>
    <t>À beira do Alqueva, excelente para astronomia.</t>
  </si>
  <si>
    <t>Centro Náutico de Monsaraz em Évora (Reguengos de Monsaraz). Monsaraz com acesso a natureza autêntica. À beira do Alqueva, excelente para astronomia..</t>
  </si>
  <si>
    <t>Orbitur Évora</t>
  </si>
  <si>
    <t>A 2km do centro histórico (Património Mundial).</t>
  </si>
  <si>
    <t>Orbitur Évora em Évora (Évora). Évora com acesso a natureza autêntica. A 2km do centro histórico (Património Mundial)..</t>
  </si>
  <si>
    <t xml:space="preserve">  🟥  ALGARVE  ·  9 entradas</t>
  </si>
  <si>
    <t>Turiscampo (Lagos)</t>
  </si>
  <si>
    <t>Luz</t>
  </si>
  <si>
    <t>Parque premium com Spa e animação cultural durante todo o ano.</t>
  </si>
  <si>
    <t>Camping Albufeira</t>
  </si>
  <si>
    <t>Infraestrutura completa com três piscinas e restaurantes.</t>
  </si>
  <si>
    <t>Salema Eco Camp</t>
  </si>
  <si>
    <t>Vila do Bispo</t>
  </si>
  <si>
    <t>Budens</t>
  </si>
  <si>
    <t>Focado na sustentabilidade e slow living, perto da Salema.</t>
  </si>
  <si>
    <t>Orbitur Valverde (Lagos)</t>
  </si>
  <si>
    <t>Praia da Luz</t>
  </si>
  <si>
    <t>Parque espaçoso a 1.5km da Praia da Luz.</t>
  </si>
  <si>
    <t>Orbitur Valverde (Lagos) em Faro (Lagos). Praia da Luz com acesso a natureza autêntica. Parque espaçoso a 1.5km da Praia da Luz..</t>
  </si>
  <si>
    <t>Camping Armação de Pêra</t>
  </si>
  <si>
    <t>Armação de Pêra</t>
  </si>
  <si>
    <t>Parque grande e sombreado, perto do centro da vila.</t>
  </si>
  <si>
    <t>Parque de Olhão</t>
  </si>
  <si>
    <t>Dentro do Parque Natural da Ria Formosa.</t>
  </si>
  <si>
    <t>Parque de Olhão em Faro (Olhão). Olhão com acesso a natureza autêntica. Dentro do Parque Natural da Ria Formosa..</t>
  </si>
  <si>
    <t>Camping Canelas (Lagoa)</t>
  </si>
  <si>
    <t>Ambiente familiar com árvores de fruto, perto de Benagil.</t>
  </si>
  <si>
    <t>Orbitur Sagres</t>
  </si>
  <si>
    <t>O parque mais a sudoeste da Europa, rodeado por dunas.</t>
  </si>
  <si>
    <t>Camping Ferragudo</t>
  </si>
  <si>
    <t>Junto à foz do Rio Arade.</t>
  </si>
  <si>
    <t>Camping Ferragudo em Faro (Lagoa). Ferragudo com acesso a natureza autêntica. Junto à foz do Rio Arade..</t>
  </si>
  <si>
    <t xml:space="preserve">  🟪  ILHAS  ·  5 entradas</t>
  </si>
  <si>
    <t>Porto Santo (Madeira)</t>
  </si>
  <si>
    <t>Logo atrás da duna da famosa praia de areia dourada.</t>
  </si>
  <si>
    <t>Quinta do Lorde (Madeira)</t>
  </si>
  <si>
    <t>Machico</t>
  </si>
  <si>
    <t>Caniçal</t>
  </si>
  <si>
    <t>Espaço privado de glamping náutico no Caniçal.</t>
  </si>
  <si>
    <t>Quinta do Lorde (Madeira) em Madeira (Machico). Caniçal com acesso a natureza autêntica. Espaço privado de glamping náutico no Caniçal..</t>
  </si>
  <si>
    <t>Calheta (S. Jorge, Açores)</t>
  </si>
  <si>
    <t>No topo de uma falésia com vista para o Pico.</t>
  </si>
  <si>
    <t>Calheta (S. Jorge, Açores) em Açores (Calheta). São Jorge com acesso a natureza autêntica. No topo de uma falésia com vista para o Pico..</t>
  </si>
  <si>
    <t>Praia da Vitória (Terceira, Açores)</t>
  </si>
  <si>
    <t>Praia da Vitória</t>
  </si>
  <si>
    <t>Junto à marina e praia principal.</t>
  </si>
  <si>
    <t>Praia da Vitória (Terceira, Açores) em Açores (Praia da Vitória). Terceira com acesso a natureza autêntica. Junto à marina e praia principal..</t>
  </si>
  <si>
    <t>Varadouro (Faial, Açores)</t>
  </si>
  <si>
    <t>Perto das piscinas naturais vulcânicas.</t>
  </si>
  <si>
    <t>Varadouro (Faial, Açores) em Açores (Horta). Faial com acesso a natureza autêntica. Perto das piscinas naturais vulcânicas..</t>
  </si>
  <si>
    <t>⛺  74 entradas  ·  Portugal Vivo  ·  PARQUES DE CAMPISMO</t>
  </si>
  <si>
    <t>Nome / Sítio</t>
  </si>
  <si>
    <t xml:space="preserve">  🟦  NORTE  ·  13 entradas</t>
  </si>
  <si>
    <t>Citânia de Briteiros</t>
  </si>
  <si>
    <t>Um dos maiores povoados castrejos da cultura castreja do Noroeste.</t>
  </si>
  <si>
    <t>Estrada de Briteiros, 4805-438 Salvador de Briteiros, Guimarães</t>
  </si>
  <si>
    <t>Gravuras do Vale do Côa</t>
  </si>
  <si>
    <t>O maior museu de arte rupestre paleolítica ao ar livre do mundo (UNESCO).</t>
  </si>
  <si>
    <t>Rua do Museu, 5150-610 Vila Nova de Foz Côa</t>
  </si>
  <si>
    <t>Pedras Parideiras</t>
  </si>
  <si>
    <t>Fenómeno único no mundo: granito nodular que 'expele' nódulos de biotite.</t>
  </si>
  <si>
    <t>Rua da Igreja, Castanheira, Arouca</t>
  </si>
  <si>
    <t>Centro de Interpretação Geológica de Canelas</t>
  </si>
  <si>
    <t>Paleontologia</t>
  </si>
  <si>
    <t>Trilobites gigantes com 450 milhões de anos — recordes mundiais.</t>
  </si>
  <si>
    <t>Rua do Museu, 4540-252 Canelas, Arouca</t>
  </si>
  <si>
    <t>Minas de Ouro de Tresminas</t>
  </si>
  <si>
    <t>Vila Pouca de Aguiar</t>
  </si>
  <si>
    <t>Exploração mineira romana a céu aberto com cortas e túneis visitáveis.</t>
  </si>
  <si>
    <t>Largo da Igreja, Tresminas, Vila Pouca de Aguiar</t>
  </si>
  <si>
    <t>Parque Paleozóico de Valongo</t>
  </si>
  <si>
    <t>Área protegida rica em fósseis marinhos e trilobites da era Primária.</t>
  </si>
  <si>
    <t>Rua de S. Vicente, 4440-664 Valongo</t>
  </si>
  <si>
    <t>Tongobriga</t>
  </si>
  <si>
    <t>Antiga cidade romana com fórum, termas e áreas residenciais.</t>
  </si>
  <si>
    <t>Rua de Tongobriga, Freixo, Marco de Canaveses</t>
  </si>
  <si>
    <t>Cividade de Terroso</t>
  </si>
  <si>
    <t>Um dos principais povoados fortificados da bacia do Ave.</t>
  </si>
  <si>
    <t>Freguesia de Terroso, Póvoa de Varzim</t>
  </si>
  <si>
    <t>Livraria do Mondego</t>
  </si>
  <si>
    <t>Bancos de quartzito verticais que se assemelham a livros numa estante.</t>
  </si>
  <si>
    <t>Estrada Nacional 2, Penacova</t>
  </si>
  <si>
    <t>Frecha da Mizarela</t>
  </si>
  <si>
    <t>A queda de água mais alta de Portugal Continental, em escarpamento de granito.</t>
  </si>
  <si>
    <t>Albergaria da Serra, Arouca</t>
  </si>
  <si>
    <t>Importantes coleções de estelas funerárias e berrões do Nordeste.</t>
  </si>
  <si>
    <t>Rua Abade de Baçal, 5300-054 Bragança</t>
  </si>
  <si>
    <t>Santuário de Panóias</t>
  </si>
  <si>
    <t>Santuário rupestre romano com cavidades escavadas no granito.</t>
  </si>
  <si>
    <t>Vale de Nogueiras, Vila Real</t>
  </si>
  <si>
    <t>Minas da Borralha</t>
  </si>
  <si>
    <t>Antigo centro mineiro de volfrâmio com centro de interpretação.</t>
  </si>
  <si>
    <t>Rua da Borralha, Salto, Montalegre</t>
  </si>
  <si>
    <t>Conímbriga</t>
  </si>
  <si>
    <t>Estação arqueológica romana mais bem preservada em Portugal. Mosaicos únicos.</t>
  </si>
  <si>
    <t>Rua de Conímbriga, 3150-220 Condeixa-a-Velha</t>
  </si>
  <si>
    <t>Pegadas de Dinossáurios de Ourém</t>
  </si>
  <si>
    <t>Mais de 20 trilhos de pegadas de saurópodes com 175 milhões de anos.</t>
  </si>
  <si>
    <t>Estrada das Lagostas, Bairro, Ourém</t>
  </si>
  <si>
    <t>Lourinhã</t>
  </si>
  <si>
    <t>O maior museu ao ar livre de Portugal com modelos reais e laboratório.</t>
  </si>
  <si>
    <t>Rua Vale dos Dinossauros 25, Lourinhã</t>
  </si>
  <si>
    <t>Complexo de galerias calcárias, eleito uma das 7 Maravilhas Naturais.</t>
  </si>
  <si>
    <t>Av. Dr. Luciano Justo Ramos 470, Mira de Aire</t>
  </si>
  <si>
    <t>Garganta quartzítica onde o Rio Tejo corre entre paredes de 170m.</t>
  </si>
  <si>
    <t>Rua de S. Gens, Vila Velha de Ródão</t>
  </si>
  <si>
    <t>Bobadela Romana</t>
  </si>
  <si>
    <t>Centro urbano romano com anfiteatro e arco honorífico monumental.</t>
  </si>
  <si>
    <t>Largo do Anfiteatro, Bobadela, Oliveira do Hospital</t>
  </si>
  <si>
    <t>Ruínas de Centum Cellas</t>
  </si>
  <si>
    <t>Estrutura romana enigmática de três pisos em granito.</t>
  </si>
  <si>
    <t>Colmeal da Torre, Belmonte</t>
  </si>
  <si>
    <t>Idanha-a-Velha (Egitânia)</t>
  </si>
  <si>
    <t>Uma das maiores coleções de epigrafia romana da Europa, aldeia-museu.</t>
  </si>
  <si>
    <t>Rua da Sé, Idanha-a-Velha</t>
  </si>
  <si>
    <t>Fátima</t>
  </si>
  <si>
    <t>Grutas calcárias de 1971, famosas pelas salas 'Presépio' e 'Cascata'.</t>
  </si>
  <si>
    <t>Largo das Grutas da Moeda, Fátima</t>
  </si>
  <si>
    <t>Cabo Mondego (GSSP)</t>
  </si>
  <si>
    <t>Arribas com pegadas de dinossauros e registos do Jurássico Médio.</t>
  </si>
  <si>
    <t>Murtinheira, Figueira da Foz</t>
  </si>
  <si>
    <t xml:space="preserve">  🟩  LISBOA  ·  5 entradas</t>
  </si>
  <si>
    <t>Teatro Romano de Lisboa</t>
  </si>
  <si>
    <t>Ruínas do teatro de Olisipo construído na época de Augusto (Séc. I).</t>
  </si>
  <si>
    <t>Rua de São Mamede 3A, Lisboa</t>
  </si>
  <si>
    <t>Monumento Natural de Carenque</t>
  </si>
  <si>
    <t>Jazida com um dos maiores trilhos de pegadas de dinossauros do Cretácico.</t>
  </si>
  <si>
    <t>Estrada de Carenque, Belas, Sintra</t>
  </si>
  <si>
    <t>Museu Geológico de Lisboa</t>
  </si>
  <si>
    <t>Um dos museus científicos mais antigos da Europa — espólio das Comissões Geológicas.</t>
  </si>
  <si>
    <t>R. da Academia das Ciências 19, Lisboa</t>
  </si>
  <si>
    <t>Jazida de Lagosteiros — Cabo Espichel</t>
  </si>
  <si>
    <t>Pegadas de dinossauros carnívoros e herbívoros marcadas em rochas à beira-mar.</t>
  </si>
  <si>
    <t>Cabo Espichel, Sesimbra</t>
  </si>
  <si>
    <t>Núcleo Arqueológico da Rua dos Correeiros</t>
  </si>
  <si>
    <t>Viagem subterrânea desde a época fenícia até ao terramoto de 1755.</t>
  </si>
  <si>
    <t>Rua dos Correeiros 9, Lisboa</t>
  </si>
  <si>
    <t xml:space="preserve">  🟧  ALENTEJO  ·  8 entradas</t>
  </si>
  <si>
    <t>O maior conjunto de menires estruturados da Península Ibérica e um dos mais importantes da Europa.</t>
  </si>
  <si>
    <t>Nossa Senhora de Guadalupe, Évora</t>
  </si>
  <si>
    <t>Cidade Romana de Ammaia</t>
  </si>
  <si>
    <t>Ruínas de cidade romana com museu, fórum, termas e portas da muralha.</t>
  </si>
  <si>
    <t>Quinta da Ammaia, Marvão</t>
  </si>
  <si>
    <t>Gruta do Escoural</t>
  </si>
  <si>
    <t>Arte rupestre paleolítica e neolítica, única no Alentejo. Marcação obrigatória.</t>
  </si>
  <si>
    <t>Herdade da Sala, Santiago do Escoural</t>
  </si>
  <si>
    <t>Anta Grande do Zambujeiro</t>
  </si>
  <si>
    <t>Um dos maiores monumentos megalíticos funerários conhecidos no mundo.</t>
  </si>
  <si>
    <t>Valverde, Évora</t>
  </si>
  <si>
    <t>Pulo do Lobo</t>
  </si>
  <si>
    <t>Fenómeno geológico onde o Rio Guadiana corre num estreito canal de quartzito.</t>
  </si>
  <si>
    <t>Parque Natural do Vale do Guadiana, Mértola</t>
  </si>
  <si>
    <t>Castelo e Núcleos Arqueológicos de Mértola</t>
  </si>
  <si>
    <t>A 'Vila Museu': vestígios romanos, visigóticos e igreja-mesquita preservada.</t>
  </si>
  <si>
    <t>Largo da Igreja, Mértola</t>
  </si>
  <si>
    <t>Cromeleque do Xerez</t>
  </si>
  <si>
    <t>Conjunto megalítico quadrado deslocado devido à barragem do Alqueva.</t>
  </si>
  <si>
    <t>Telheiro, Monsaraz</t>
  </si>
  <si>
    <t>Menir da Meada</t>
  </si>
  <si>
    <t>O menir mais alto da Península Ibérica, com cerca de 7 metros de altura.</t>
  </si>
  <si>
    <t>Póvoa e Meadas, Castelo de Vide</t>
  </si>
  <si>
    <t>Monumentos Megalíticos de Alcalar</t>
  </si>
  <si>
    <t>Necrópole pré-histórica com túmulos coletivos (tholoi) de arquitetura complexa.</t>
  </si>
  <si>
    <t>Alcalar, Mexilhoeira Grande, Portimão</t>
  </si>
  <si>
    <t>Ruínas Romanas de Milreu</t>
  </si>
  <si>
    <t>Villa romana com mosaicos temáticos de peixes e termas luxuosas.</t>
  </si>
  <si>
    <t>Estoi, Faro</t>
  </si>
  <si>
    <t>Algar de Benagil</t>
  </si>
  <si>
    <t>Uma das grutas marinhas mais famosas do mundo, com 'olho' no teto.</t>
  </si>
  <si>
    <t>Praia de Benagil, Lagoa</t>
  </si>
  <si>
    <t>Relevo aplanado em calcário, rico em flora e fauna fóssil.</t>
  </si>
  <si>
    <t>Mina de Sal Gema de Loulé</t>
  </si>
  <si>
    <t>Única mina de sal gema visitável em Portugal, a 230 metros de profundidade.</t>
  </si>
  <si>
    <t>Rua da Mina de Sal Gema, Loulé</t>
  </si>
  <si>
    <t xml:space="preserve">  🟪  ILHAS  ·  9 entradas</t>
  </si>
  <si>
    <t>Chaminé vulcânica única onde é possível descer ao interior de um vulcão.</t>
  </si>
  <si>
    <t>Terceira, Açores</t>
  </si>
  <si>
    <t>Capelinhos</t>
  </si>
  <si>
    <t>Paisagem lunar resultante da erupção de 1957/58, com centro subterrâneo.</t>
  </si>
  <si>
    <t>Faial, Açores</t>
  </si>
  <si>
    <t>Madalena</t>
  </si>
  <si>
    <t>O maior tubo lávico de Portugal com formações raras e estalactites de lava.</t>
  </si>
  <si>
    <t>Maior túnel de lava de São Miguel, localizado sob a cidade de Ponta Delgada.</t>
  </si>
  <si>
    <t>Rua do Paim, Ponta Delgada</t>
  </si>
  <si>
    <t>Caldeira das Sete Cidades</t>
  </si>
  <si>
    <t>Colossal caldeira vulcânica com lagoas azul e verde em São Miguel.</t>
  </si>
  <si>
    <t>Jazida Paleontológica de Santa Maria</t>
  </si>
  <si>
    <t>Vila do Porto</t>
  </si>
  <si>
    <t>Fósseis marinhos, moluscos e dentes de tubarão em sedimentos cálcicos.</t>
  </si>
  <si>
    <t>Dalane, Ilha de Santa Maria</t>
  </si>
  <si>
    <t>Monumento Natural com águas termais e caldeiras — vulcanismo ativo.</t>
  </si>
  <si>
    <t>Estrada Regional da Lagoa do Fogo, S. Miguel</t>
  </si>
  <si>
    <t>Península de origem vulcânica com dunas fósseis contendo moluscos terrestres.</t>
  </si>
  <si>
    <t>Tubos lávicos de 890 mil anos, com centro de vulcanologia na Madeira.</t>
  </si>
  <si>
    <t>Norte · Centro · Lisboa · Alentejo · Algarve · Açores · Madeira  ·  Hostels HI e Centros de Juventude</t>
  </si>
  <si>
    <t xml:space="preserve">  🟦  NORTE  ·  9 entradas</t>
  </si>
  <si>
    <t>HI Alijó</t>
  </si>
  <si>
    <t>Rua Dr. José de Mesquita, 5070-011 Alijó</t>
  </si>
  <si>
    <t>No coração do Douro Vinhateiro, rodeada de vinhas em socalco e aldeias de xisto. Base ideal para ciclismo, provas de vinho e percursos pelo Alto Douro UNESCO.</t>
  </si>
  <si>
    <t>+351 707 203 030</t>
  </si>
  <si>
    <t>HI Braga</t>
  </si>
  <si>
    <t>Rua de Santa Margarida 6, 4710-306 Braga</t>
  </si>
  <si>
    <t>No centro histórico de Braga, cidade do Barroco e das festas populares. Sé, Bom Jesus e vida académica a dois passos. A 1h do Porto.</t>
  </si>
  <si>
    <t>HI Espinho</t>
  </si>
  <si>
    <t>Rua 33 nº 1150, 4500-318 Espinho</t>
  </si>
  <si>
    <t>Junto à praia urbana de Espinho, entre o Porto e Aveiro. Praia de areia fina e casino. Ligação de comboio ao Porto em 30 minutos.</t>
  </si>
  <si>
    <t>HI Gerês</t>
  </si>
  <si>
    <t>Albergaria, Vilar da Veiga, 4845-076 Gerês</t>
  </si>
  <si>
    <t>No interior do Parque Nacional da Peneda-Gerês. Porta para cascatas, trilhos e piscinas naturais. Habitat do lobo ibérico e do gato-bravo.</t>
  </si>
  <si>
    <t>HI Guimarães</t>
  </si>
  <si>
    <t>Complexo Multifuncional de Couros, 4810-431 Guimarães</t>
  </si>
  <si>
    <t>Na cidade berço de Portugal, Património Mundial UNESCO. A pé do castelo medieval e do Paço dos Duques. Centro histórico de pedra excepcional.</t>
  </si>
  <si>
    <t>HI Melgaço</t>
  </si>
  <si>
    <t>Centro de Estágios, 4960-561 Melgaço</t>
  </si>
  <si>
    <t>No extremo norte junto ao Rio Minho e à Galiza. Desportos de aventura e BTT. Vinho Alvarinho e gastronomia minhota de lareira.</t>
  </si>
  <si>
    <t>HI Porto</t>
  </si>
  <si>
    <t>R. de Paulo da Gama 551, 4169-006 Porto</t>
  </si>
  <si>
    <t>Com vista sobre o Rio Douro, perto da Ribeira e das caves de Vinho do Porto. Centro histórico UNESCO a 5 minutos a pé.</t>
  </si>
  <si>
    <t>HI Viana do Castelo</t>
  </si>
  <si>
    <t>Rua de Limia, 4900-405 Viana do Castelo</t>
  </si>
  <si>
    <t>Na foz do Rio Lima com vista para o Santuário de Santa Luzia. Praia de areias finas, bordados e Romaria de Nossa Senhora d'Agonia.</t>
  </si>
  <si>
    <t>HI Vila Nova de Cerveira</t>
  </si>
  <si>
    <t>Estrada Nacional 13, 4920-205 V. N. Cerveira</t>
  </si>
  <si>
    <t>Pousada de Juventude em Viana do Castelo, Norte. Alojamento acessível em ambiente jovem e multicultural, ponto de partida para explorar a região com espírito de descoberta.</t>
  </si>
  <si>
    <t xml:space="preserve">  🟨  CENTRO  ·  12 entradas</t>
  </si>
  <si>
    <t>HI Abrantes</t>
  </si>
  <si>
    <t>Largo de Santo António, 2200-349 Abrantes</t>
  </si>
  <si>
    <t>Em posição elevada com vista magnífica sobre o Rio Tejo e a planície ribatejana. Castelo medieval, gastronomia de enguias e pastéis de Abrantes.</t>
  </si>
  <si>
    <t>HI Alfeizerão</t>
  </si>
  <si>
    <t>Rua de S. Macário, 2460-155 Alfeizerão</t>
  </si>
  <si>
    <t>Perto das praias da Costa de Prata e das Caldas da Rainha. Doçaria conventual e salinas de Óbidos. Entre Lisboa e Coimbra.</t>
  </si>
  <si>
    <t>HI Alvados</t>
  </si>
  <si>
    <t>Rua da Pousada, 2480-032 Alvados</t>
  </si>
  <si>
    <t>HI Areia Branca</t>
  </si>
  <si>
    <t>Praia da Areia Branca, 2530-214 Lourinhã</t>
  </si>
  <si>
    <t>Em Lourinhã, junto ao Museu dos Dinossauros e às falésias atlânticas. Surf, geologia e praia de areia branca. A 1h de Lisboa.</t>
  </si>
  <si>
    <t>HI Aveiro</t>
  </si>
  <si>
    <t>Rua das Pousadas, 3810-163 Aveiro</t>
  </si>
  <si>
    <t>Na cidade dos canais e da Arte Nova, entre a Ria e a Universidade. Ovos-moles, moliceiros coloridos e o bairro histórico de Santa Joana.</t>
  </si>
  <si>
    <t>HI Castelo Branco</t>
  </si>
  <si>
    <t>Rua de Santo António, 6000-267 Castelo Branco</t>
  </si>
  <si>
    <t>Pousada de Juventude em Castelo Branco, Centro. Alojamento acessível em ambiente jovem e multicultural, ponto de partida para explorar a região com espírito de descoberta.</t>
  </si>
  <si>
    <t>HI Coimbra</t>
  </si>
  <si>
    <t>Rua Henriques Seco 14, 3000-204 Coimbra</t>
  </si>
  <si>
    <t>Na cidade do Mondego e da tradição académica milenar. Universidade UNESCO, Biblioteca Joanina e fado de Coimbra nocturno.</t>
  </si>
  <si>
    <t>HI Figueira da Foz</t>
  </si>
  <si>
    <t>Rua Dr. António Lopes Guimarães, 3080-083 Figueira da Foz</t>
  </si>
  <si>
    <t>Pousada de Juventude em Coimbra, Centro. Alojamento acessível em ambiente jovem e multicultural, ponto de partida para explorar a região com espírito de descoberta.</t>
  </si>
  <si>
    <t>HI Guarda</t>
  </si>
  <si>
    <t>Rua de Encosta, 6300-549 Guarda</t>
  </si>
  <si>
    <t>Na cidade mais alta e mais fria de Portugal (1056m). Serra da Estrela a 20 km. Catedral gótica e neve garantida no inverno.</t>
  </si>
  <si>
    <t>HI Lousã</t>
  </si>
  <si>
    <t>Rua Dr. João Santos, 3200-244 Lousã</t>
  </si>
  <si>
    <t>No coração das Aldeias do Xisto e dos trilhos de BTT. Castelo da Lousã e praia fluvial no Ceira. Paisagem de montanha e xisto.</t>
  </si>
  <si>
    <t>HI Penhas da Saúde</t>
  </si>
  <si>
    <t>Penhas da Saúde, 6200-073 Covilhã</t>
  </si>
  <si>
    <t>Na Serra da Estrela a 1500m, junto à estância de ski. Vista sobre o Planalto Central. Torre — ponto mais alto de Portugal Continental.</t>
  </si>
  <si>
    <t>HI São Pedro do Sul</t>
  </si>
  <si>
    <t>Termas de S. Pedro do Sul, 3660-692 S. Pedro do Sul</t>
  </si>
  <si>
    <t>No centro termal com águas sulfurosas a 69°C. Bem-estar, BTT e natureza do vale do Vouga. Termas milenares romanas.</t>
  </si>
  <si>
    <t xml:space="preserve">  🟩  LISBOA  ·  7 entradas</t>
  </si>
  <si>
    <t>HI Almada</t>
  </si>
  <si>
    <t>Quinta do Alfeite, 2810-000 Almada</t>
  </si>
  <si>
    <t>Com vista icónica para Lisboa e o Cristo Rei. Ferry de 10 min para a capital. Costa da Caparica a 10 km. Arrábida a 20 km.</t>
  </si>
  <si>
    <t>HI Lisboa Centro</t>
  </si>
  <si>
    <t>Rua Andrade Corvo 46, 1050-009 Lisboa</t>
  </si>
  <si>
    <t>Em pleno centro histórico de Lisboa. Praça do Comércio, Baixa Pombalina e Alfama a poucos passos. Ponto de partida ideal para a capital.</t>
  </si>
  <si>
    <t>HI Lisboa Parque das Nações</t>
  </si>
  <si>
    <t>Rua de Moscavide 4 71, 1998-011 Lisboa</t>
  </si>
  <si>
    <t>No Parque das Nações junto ao Rio Tejo e ao Oceanário. Zona de eventos, arquitectura contemporânea e gastronomia internacional.</t>
  </si>
  <si>
    <t>HI Oeiras</t>
  </si>
  <si>
    <t>Estrada Marginal, Catalazete, 2780-267 Oeiras</t>
  </si>
  <si>
    <t>Num antigo forte militar à beira-mar entre Lisboa e Cascais. Praia de Oeiras e Estoril a 5 km. Arquitectura histórica militar única.</t>
  </si>
  <si>
    <t>HI Santa Cruz</t>
  </si>
  <si>
    <t>Praceta da Enseada, 2560-496 Santa Cruz</t>
  </si>
  <si>
    <t>Em Torres Vedras junto às falésias atlânticas e praia de Santa Cruz. Surf, fosseis de dinossauros e museu de paleontologia. A 1h de Lisboa.</t>
  </si>
  <si>
    <t>HI Santarém</t>
  </si>
  <si>
    <t>Av. dos Combatentes, 2000-015 Santarém</t>
  </si>
  <si>
    <t>Capital do gótico português. Museu Arqueológico em mesquita mourisca. Vista sobre o Tejo e campos agrícolas do Ribatejo.</t>
  </si>
  <si>
    <t>HI Setúbal</t>
  </si>
  <si>
    <t>Largo de S. Domingos 1, 2900-618 Setúbal</t>
  </si>
  <si>
    <t>Porta da Serra da Arrábida e das praias de água cristalina azul-esmeralda. Golfinhos no Estuário do Sado e Reserva Natural.</t>
  </si>
  <si>
    <t xml:space="preserve">  🟧  ALENTEJO  ·  7 entradas</t>
  </si>
  <si>
    <t>HI Almograve</t>
  </si>
  <si>
    <t>Rua do Chafariz, 7630-011 Almograve</t>
  </si>
  <si>
    <t>Pousada de Juventude em Beja, Alentejo. Alojamento acessível em ambiente jovem e multicultural, ponto de partida para explorar a região com espírito de descoberta.</t>
  </si>
  <si>
    <t>HI Beja</t>
  </si>
  <si>
    <t>Rua de S. Francisco, 7800-074 Beja</t>
  </si>
  <si>
    <t>No coração da planície alentejana. Museu da Rainha Dona Leonor, castelo e convento histórico. Gastronomia e silêncio do Alentejo.</t>
  </si>
  <si>
    <t>HI Castelo de Vide</t>
  </si>
  <si>
    <t>Rua de Santo António, 7320-112 Castelo de Vide</t>
  </si>
  <si>
    <t>No Alto Alentejo na Serra de S. Mamede. Judiaria medieval, fonte da Vila e ar serrano. A aldeia mais bem conservada do interior.</t>
  </si>
  <si>
    <t>HI Elvas</t>
  </si>
  <si>
    <t>Rua de S. Domingos, 7350-149 Elvas</t>
  </si>
  <si>
    <t>Cidade-fortaleza Património Mundial UNESCO com as muralhas abaluartadas mais extensas da Europa. Aqueduto dos Arcos e azeitonas famosas.</t>
  </si>
  <si>
    <t>HI Évora</t>
  </si>
  <si>
    <t>Rua Dr. Augusto Eduardo Nunes, 7000-880 Évora</t>
  </si>
  <si>
    <t>Capital do Alentejo e Património Mundial UNESCO. Cromeleque de Almendres, Templo Romano e catedral gótica. Gastronomia e vinho do Alentejo.</t>
  </si>
  <si>
    <t>HI Ponte de Sor</t>
  </si>
  <si>
    <t>Estrada Nacional 2, 7400-244 Ponte de Sor</t>
  </si>
  <si>
    <t>Junto à albufeira de Montargil para desportos aquáticos. Planície de montados de sobreiro e azinheira. Silêncio e natureza alentejana.</t>
  </si>
  <si>
    <t>HI Portalegre</t>
  </si>
  <si>
    <t>Rua de 5 de Outubro 3, 7300-111 Portalegre</t>
  </si>
  <si>
    <t>Cidade tapeteira a 600m de altitude na Serra de S. Mamede. Tapeçarias famosas, mantos de Nossa Senhora, arquitectura quinhentista.</t>
  </si>
  <si>
    <t>HI Alcoutim</t>
  </si>
  <si>
    <t>Encosta do Castelo, 8970-051 Alcoutim</t>
  </si>
  <si>
    <t>Pousada de Juventude em Faro, Algarve. Alojamento acessível em ambiente jovem e multicultural, ponto de partida para explorar a região com espírito de descoberta.</t>
  </si>
  <si>
    <t>HI Arrifana</t>
  </si>
  <si>
    <t>Praia da Arrifana, 8670-156 Aljezur</t>
  </si>
  <si>
    <t>Em Aljezur junto ao spot de surf mítico da Praia da Arrifana. Falésias do Parque Natural do Sudoeste Alentejano. Surf de classe mundial.</t>
  </si>
  <si>
    <t>HI Faro</t>
  </si>
  <si>
    <t>Rua da PSP 1, 8000-408 Faro</t>
  </si>
  <si>
    <t>Na capital do Algarve, porta da Ria Formosa e dos cavalos-marinhos. Cidade histórica com muralhas romanas, catedral e núcleo medieval.</t>
  </si>
  <si>
    <t>HI Lagos</t>
  </si>
  <si>
    <t>Rua Lançarote de Freitas 50, 8600-605 Lagos</t>
  </si>
  <si>
    <t>Na costa dourada algarvia junto às grutas calcárias e Ponta da Piedade. Pôr do sol mítico, animação e praias de concurso de beleza.</t>
  </si>
  <si>
    <t>HI Portimão</t>
  </si>
  <si>
    <t>Pontinha, 8500-632 Portimão</t>
  </si>
  <si>
    <t>A 3 km da Praia da Rocha, uma das mais famosas do Algarve. Museu de Portimão e Sardinhada de Agosto. Passeios de barco às grutas.</t>
  </si>
  <si>
    <t>HI Tavira</t>
  </si>
  <si>
    <t>Rua de S. Braz, 8800-337 Tavira</t>
  </si>
  <si>
    <t>A mais islâmica das cidades algarvias. Ilha de Tavira de acesso por ferry. Arquitectura mourisca, igrejas medievais e atum.</t>
  </si>
  <si>
    <t>HI Vila Real de Santo António</t>
  </si>
  <si>
    <t>VRSA</t>
  </si>
  <si>
    <t>Rua Dr. Teófilo Braga, 8900-213 VRSA</t>
  </si>
  <si>
    <t>Na foz do Guadiana junto à fronteira espanhola. Arquitectura pombalina, ferry para Ayamonte e pinhal do Algarve.</t>
  </si>
  <si>
    <t>Centro de Juventude Quinta da Ribeira</t>
  </si>
  <si>
    <t>Rua de Santa Maria 219, 9060-291 Funchal</t>
  </si>
  <si>
    <t>Residência histórica com jardins tropicais no Funchal. Base para levadas, Pico Arieiro e Floresta Laurissilva classificada.</t>
  </si>
  <si>
    <t>HI Ponta Delgada</t>
  </si>
  <si>
    <t>Rua Dr. Campos Melo 8, 9500-083 Ponta Delgada</t>
  </si>
  <si>
    <t>18€ – 28€</t>
  </si>
  <si>
    <t>HI Angra do Heroísmo</t>
  </si>
  <si>
    <t>17€ – 26€</t>
  </si>
  <si>
    <t>HI Horta — Faial</t>
  </si>
  <si>
    <t>Rua Serpa Pinto, 9900-023 Horta</t>
  </si>
  <si>
    <t>16€ – 25€</t>
  </si>
  <si>
    <t>Norte · Centro · Lisboa · Alentejo · Algarve · Açores · Madeira  ·  Rotas Culturais, Históricas, Gastronómicas e Paisagísticas</t>
  </si>
  <si>
    <t>Nome da Rota</t>
  </si>
  <si>
    <t xml:space="preserve">  🟦  NORTE  ·  174 entradas</t>
  </si>
  <si>
    <t>Aldeias Históricas de Portugal</t>
  </si>
  <si>
    <t>Histórica</t>
  </si>
  <si>
    <t>5-7 dias</t>
  </si>
  <si>
    <t>Carro</t>
  </si>
  <si>
    <t>12 aldeias medievais em granito e xisto na fronteira da Beira.</t>
  </si>
  <si>
    <t>Rota do Românico</t>
  </si>
  <si>
    <t>Arquitetónica</t>
  </si>
  <si>
    <t>2-3 dias</t>
  </si>
  <si>
    <t>58 monumentos de arte medieval nos Vales do Sousa e Tâmega.</t>
  </si>
  <si>
    <t>Rota dos Templários</t>
  </si>
  <si>
    <t>Espiritual</t>
  </si>
  <si>
    <t>1-2 dias</t>
  </si>
  <si>
    <t>Fortalezas e misticismo da Ordem do Templo no Médio Tejo.</t>
  </si>
  <si>
    <t>Caminho Português de Santiago (Central)</t>
  </si>
  <si>
    <t>5-6 dias (pé)</t>
  </si>
  <si>
    <t>A pé / Carro</t>
  </si>
  <si>
    <t>Percurso de superação do Porto a Valença pelo Minho verdejante.</t>
  </si>
  <si>
    <t>Valença</t>
  </si>
  <si>
    <t>Rota do Património Mundial UNESCO</t>
  </si>
  <si>
    <t>De Alcobaça ao Manuelino da Batalha e à sabedoria de Coimbra.</t>
  </si>
  <si>
    <t>Universidade de Coimbra</t>
  </si>
  <si>
    <t>Rota das Judiarias (Eixo da Raia)</t>
  </si>
  <si>
    <t>Cultural</t>
  </si>
  <si>
    <t>3 dias</t>
  </si>
  <si>
    <t>Bairros sefarditas e sinagogas discretas em vilas históricas.</t>
  </si>
  <si>
    <t>Rota de Al-Mutamid</t>
  </si>
  <si>
    <t>3-4 dias</t>
  </si>
  <si>
    <t>Herança árabe do Rei-Poeta de Sevilha: taipa, castelos e gastronomia.</t>
  </si>
  <si>
    <t>Rota Omíada (Algarve Interior)</t>
  </si>
  <si>
    <t>Arqueológica</t>
  </si>
  <si>
    <t>Arqueologia islâmica, banhos e villas do Califado no Algarve.</t>
  </si>
  <si>
    <t>Rota de Cister</t>
  </si>
  <si>
    <t>1 dia</t>
  </si>
  <si>
    <t>Mosteiros cistercienses, doçaria conventual e reforma agrícola medieval.</t>
  </si>
  <si>
    <t>Rota das Invasões Francesas (Linhas de Torres)</t>
  </si>
  <si>
    <t>O sistema defensivo que travou Napoleão — fortes com vistas estratégicas.</t>
  </si>
  <si>
    <t>Rota do Vinho do Porto (Douro Vinhateiro)</t>
  </si>
  <si>
    <t>Carro/Barco</t>
  </si>
  <si>
    <t>Vinhas em socalcos da região demarcada mais antiga do mundo (UNESCO).</t>
  </si>
  <si>
    <t>Rota dos Vinhos Verdes (Minho)</t>
  </si>
  <si>
    <t>Vinho Verde, Alvarinho e solares minhotos no Noroeste fresco.</t>
  </si>
  <si>
    <t>Rota dos Vinhos do Alentejo</t>
  </si>
  <si>
    <t>Planícies com sobreiros, adegas contemporâneas e tintos intensos.</t>
  </si>
  <si>
    <t>Rota dos Vinhos da Bairrada</t>
  </si>
  <si>
    <t>Espumantes, caves subterrâneas e leitão da Bairrada.</t>
  </si>
  <si>
    <t>Rota dos Vinhos de Setúbal (Arrábida)</t>
  </si>
  <si>
    <t>Moscatel de Setúbal e a Arrábida entre o azul do mar e das vinhas.</t>
  </si>
  <si>
    <t>Rota do Vinho da Madeira</t>
  </si>
  <si>
    <t>Vinhas em socalcos vertiginosos e vinhos fortificados históricos da Madeira.</t>
  </si>
  <si>
    <t>Rota dos Queijos do Centro (Serra da Estrela)</t>
  </si>
  <si>
    <t>Gastronómica</t>
  </si>
  <si>
    <t>Queijo da Serra da Estrela DOP, pastorícia e montanha.</t>
  </si>
  <si>
    <t>Rota da Cortiça (São Brás de Alportel)</t>
  </si>
  <si>
    <t>Industrial</t>
  </si>
  <si>
    <t>Ciclo de vida da cortiça: do montado à rolha e ao tecido de luxo.</t>
  </si>
  <si>
    <t>Rota do Arroz (Alcácer do Sal)</t>
  </si>
  <si>
    <t>Carro/Bicicleta</t>
  </si>
  <si>
    <t>Arrozais do Rio Sado, biodiversidade e gastronomia lagunar.</t>
  </si>
  <si>
    <t>Rota do Atum (Algarve Sotavento)</t>
  </si>
  <si>
    <t>Antigas armações e conservas do atum: 'muxama' e 'estupeta'.</t>
  </si>
  <si>
    <t>Estrada Nacional 2 (Route 66 Portuguesa)</t>
  </si>
  <si>
    <t>Estrada</t>
  </si>
  <si>
    <t>4-7 dias</t>
  </si>
  <si>
    <t>Carro/Mota</t>
  </si>
  <si>
    <t>A mítica estrada de 738km de Chaves a Faro, 11 distritos, 35 concelhos.</t>
  </si>
  <si>
    <t>Estrada Nacional 222 (Vale do Douro)</t>
  </si>
  <si>
    <t>Frequentemente eleita uma das melhores estradas do mundo. Socalcos UNESCO.</t>
  </si>
  <si>
    <t>Rota da Costa Vicentina</t>
  </si>
  <si>
    <t>Mar selvagem, arribas, praias escondidas e surf no sudoeste atlântico.</t>
  </si>
  <si>
    <t>Estrada Atlântica (Região Oeste)</t>
  </si>
  <si>
    <t>Retas ladeadas pelo Pinhal de Leiria e ciclovias junto às dunas.</t>
  </si>
  <si>
    <t>Rota dos Miradouros do Douro Internacional</t>
  </si>
  <si>
    <t>Geológica</t>
  </si>
  <si>
    <t>Plataformas de vidro sobre desfiladeiros com ninhos de grifo.</t>
  </si>
  <si>
    <t>Via Algarviana (Grande Rota 13)</t>
  </si>
  <si>
    <t>Pedestre</t>
  </si>
  <si>
    <t>14 dias (pé)</t>
  </si>
  <si>
    <t>A pé / BTT</t>
  </si>
  <si>
    <t>Algarve serrano, pomares e tradições rurais, de Alcoutim ao Atlântico.</t>
  </si>
  <si>
    <t>Cabo de São Vicente</t>
  </si>
  <si>
    <t>Rota das Aldeias do Xisto</t>
  </si>
  <si>
    <t>27 aldeias recuperadas em xisto escuro, praias fluviais cristalinas.</t>
  </si>
  <si>
    <t>Rota da Serra da Estrela (EN338)</t>
  </si>
  <si>
    <t>Vale Glaciário do Zêzere, ponto mais alto de Portugal e queijo da Serra.</t>
  </si>
  <si>
    <t>Rota da Costa de Prata</t>
  </si>
  <si>
    <t>Litoral</t>
  </si>
  <si>
    <t>Ondas gigantes da Nazaré, lagoa de Óbidos e falésias de Peniche.</t>
  </si>
  <si>
    <t>Grande Rota do Vale do Côa (GR 45)</t>
  </si>
  <si>
    <t>Carro/A pé</t>
  </si>
  <si>
    <t>Arte rupestre UNESCO ao longo do Rio Côa, do Sabugal ao Douro.</t>
  </si>
  <si>
    <t>Rota das Levadas (Madeira)</t>
  </si>
  <si>
    <t>4-5 dias</t>
  </si>
  <si>
    <t>Floresta Laurissilva, cascatas, túneis e vales profundos da Madeira.</t>
  </si>
  <si>
    <t>Rota dos Vulcões (Faial, Açores)</t>
  </si>
  <si>
    <t>Da Caldeira central ao cenário lunar dos Capelinhos (erupção 1957).</t>
  </si>
  <si>
    <t>Rota das Fajãs (São Jorge, Açores)</t>
  </si>
  <si>
    <t>Micro-comunidades isoladas em plataformas costeiras de São Jorge.</t>
  </si>
  <si>
    <t>Rota do Vinho do Pico (UNESCO, Açores)</t>
  </si>
  <si>
    <t>Labirinto de muros de basalto que protegem as videiras do vento no Pico.</t>
  </si>
  <si>
    <t>São Roque do Pico</t>
  </si>
  <si>
    <t>Rota das Sete Cidades (São Miguel)</t>
  </si>
  <si>
    <t>Carro/Pedestre</t>
  </si>
  <si>
    <t>Cratera vulcânica colossal com lagoas azul e verde em São Miguel.</t>
  </si>
  <si>
    <t>Rota do Basalto e Furnas do Enxofre (Terceira)</t>
  </si>
  <si>
    <t>Imersão vulcânica: chaminé, fumarolas e grutas na Terceira.</t>
  </si>
  <si>
    <t>Rota das Lagoas e Cascatas (Flores, Açores)</t>
  </si>
  <si>
    <t>7 lagoas e dezenas de cascatas no ponto mais ocidental da Europa.</t>
  </si>
  <si>
    <t>Rota da Caldeira Velha e Lagoa do Fogo</t>
  </si>
  <si>
    <t>Termas na floresta e a lagoa mais selvagem de São Miguel.</t>
  </si>
  <si>
    <t>Rota da Ponta do Pico (Desafio de Montanha)</t>
  </si>
  <si>
    <t>8-10 horas</t>
  </si>
  <si>
    <t>A subida ao topo de Portugal — estratovulcão com 2351m de altitude.</t>
  </si>
  <si>
    <t>Rota dos Baleeiros (Lajes do Pico)</t>
  </si>
  <si>
    <t>Antiga caça à baleia: museus, fábricas e vigias onde hoje se avistam cetáceos.</t>
  </si>
  <si>
    <t>Rota do Tejo (Caminhos de Fátima)</t>
  </si>
  <si>
    <t>A pé</t>
  </si>
  <si>
    <t>Percurso dos peregrinos de Lisboa ao Santuário, pelas margens do Tejo.</t>
  </si>
  <si>
    <t>Rota Carmelita (Coimbra a Fátima)</t>
  </si>
  <si>
    <t>4-5 dias (pé)</t>
  </si>
  <si>
    <t>Percurso meditativo pela Serra de Sicó até ao Santuário.</t>
  </si>
  <si>
    <t>Rota dos Santuários de Braga</t>
  </si>
  <si>
    <t>Arte barroca, escadarias monumentais e devoção do Norte.</t>
  </si>
  <si>
    <t>Rota da Senhora da Agonia (Viana do Castelo)</t>
  </si>
  <si>
    <t>A maior romaria de Portugal: pescadores, ouro de Viana e mar minhoto.</t>
  </si>
  <si>
    <t>Rota dos Caminhos da Paz (Santarém)</t>
  </si>
  <si>
    <t>Ermidas e locais de silêncio no coração do Ribatejo.</t>
  </si>
  <si>
    <t>Rota do Barro Negro (Vila Real e Tondela)</t>
  </si>
  <si>
    <t>Arte em barro negro (soenga) de Bisalhães e Molelos — UNESCO.</t>
  </si>
  <si>
    <t>Rota Namorar Portugal (Vila Verde)</t>
  </si>
  <si>
    <t>Bordados de amor nos Lenços de Namorados do Minho.</t>
  </si>
  <si>
    <t>Rota das Mantas de Reguengos (Alentejo)</t>
  </si>
  <si>
    <t>Mantas de lã alentejanas e teares manuais tradicionais.</t>
  </si>
  <si>
    <t>Rota dos Bonecos de Estremoz</t>
  </si>
  <si>
    <t>Arte figurativa em barro policromado de Estremoz — primeira UNESCO do mundo.</t>
  </si>
  <si>
    <t>Rota do Fado (Lisboa e Coimbra)</t>
  </si>
  <si>
    <t>Das tabernas de Alfama às serenatas de Coimbra — saudade em dois estilos.</t>
  </si>
  <si>
    <t>Rota das Aldeias Ribeirinhas do Alqueva</t>
  </si>
  <si>
    <t>O maior lago artificial da Europa: náutica, Dark Sky e bandeiras azuis.</t>
  </si>
  <si>
    <t>Rota da Dieta Mediterrânica (Tavira)</t>
  </si>
  <si>
    <t>Tavira, comunidade representativa da Dieta Mediterrânica em Portugal.</t>
  </si>
  <si>
    <t>Salinas de Tavira</t>
  </si>
  <si>
    <t>Rota da Geologia (Arouca Geopark)</t>
  </si>
  <si>
    <t>Pedras Parideiras, Passadiços do Paiva e a maior ponte suspensa do mundo.</t>
  </si>
  <si>
    <t>Rota do Granito (Peneda-Gerês)</t>
  </si>
  <si>
    <t>Espigueiros de Soajo, castelos de fronteira e paisagens de granito selvagem.</t>
  </si>
  <si>
    <t>Rota das Termas do Norte</t>
  </si>
  <si>
    <t>Bem-estar</t>
  </si>
  <si>
    <t>Estâncias termais Belle Époque de Vidago, Pedras Salgadas e Chaves.</t>
  </si>
  <si>
    <t>Rota do Lixo Zero (Costa Alentejana)</t>
  </si>
  <si>
    <t>Sustentabilidade</t>
  </si>
  <si>
    <t>Turismo consciente e luxo ecológico entre Comporta e Melides.</t>
  </si>
  <si>
    <t>Rota da Arte Urbana (Lisboa e Barreiro)</t>
  </si>
  <si>
    <t>Street art de Bordalo II e Vhils em bairros históricos e zonas industriais.</t>
  </si>
  <si>
    <t>Rota dos Moinhos de Vento (Oeste)</t>
  </si>
  <si>
    <t>Moinhos de madeira e lona que ainda moem cereal na serra do Oeste.</t>
  </si>
  <si>
    <t>Rota da Paleontologia (Lourinhã)</t>
  </si>
  <si>
    <t>Portugal, um dos mundos mais ricos em dinossauros do Jurássico.</t>
  </si>
  <si>
    <t>Rota do Contrabando (Rio Guadiana)</t>
  </si>
  <si>
    <t>A história da fronteira líquida entre Alcoutim (PT) e Sanlúcar (ES).</t>
  </si>
  <si>
    <t>Rota do Barroco Bracarense</t>
  </si>
  <si>
    <t>Igrejas barrocas, escadarias monumentais e azulejos do séc. XVIII em Braga e arredores.</t>
  </si>
  <si>
    <t>Rota do Azulejo (Norte)</t>
  </si>
  <si>
    <t>Painéis de azulejos históricos em igrejas, palácios e estações ferroviárias do Norte.</t>
  </si>
  <si>
    <t>Estação de Aveiro</t>
  </si>
  <si>
    <t>Rota do Douro a Barco (Rabelo)</t>
  </si>
  <si>
    <t>Descida do Douro em barco rabelo pelos vales vinhateiros classificados UNESCO.</t>
  </si>
  <si>
    <t>Rota das Invasões Francesas — Norte</t>
  </si>
  <si>
    <t>Segue o itinerário das tropas de Soult em 1809: subida do Vale do Minho de sul para norte, cruzando para Espanha em Melgaço e descendo para Chaves. Rota corrigida — sem desvio a Valença que ficou intacta nessa invasão. Braga (batalha de 20 Mar 1809) → Ponte de Lima → Arcos de Valdevez (combate) → Monção → Melgaço (passagem do Minho) → Chaves (ocupação francesa 1809).</t>
  </si>
  <si>
    <t>Segue o itinerário das tropas de Soult em 1809: subida do Vale do Minho de sul para norte, cruzando para Espanha em Melgaço e descendo para Chaves. Rota corrigida — sem desvio a Valença que ficou intacta nessa invasão. Braga (batalha de 20 Mar 1809) → Ponte de Lima → Arcos de Val</t>
  </si>
  <si>
    <t>Rota da Filigrana (Póvoa e Gondomar)</t>
  </si>
  <si>
    <t>Oficinas centenárias de filigrana de ouro e prata, tradição mineira ibérica.</t>
  </si>
  <si>
    <t>Rota dos Castros e Arte Castreja</t>
  </si>
  <si>
    <t>Povoados da Idade do Ferro com arte castreja original: pedras formosas e estátuas de guerreiros.</t>
  </si>
  <si>
    <t>Rota dos Pombais de Trás-os-Montes</t>
  </si>
  <si>
    <t>Mais de 300 pombais tradicionais em xisto e granito — arquitectura vernacular única da Terra Quente.</t>
  </si>
  <si>
    <t>Rota da Língua Mirandesa</t>
  </si>
  <si>
    <t>A única língua regional de Portugal continental — falada por 10.000 pessoas no planalto mirandês.</t>
  </si>
  <si>
    <t>Rota do Vale do Lima — Paiva e Terras de Bouro</t>
  </si>
  <si>
    <t>Passadiços suspensos, cascatas e albufeiras entre a paisagem mais espectacular do Norte.</t>
  </si>
  <si>
    <t>Rota do Granito e das Lagoas — Peneda</t>
  </si>
  <si>
    <t>Caos graníticos milenários, lagoas glaciárias e aves rupícolas no PN Peneda-Gerês.</t>
  </si>
  <si>
    <t>Rota dos Minerais e Minas do Norte</t>
  </si>
  <si>
    <t>Minas de volfrâmio, estanho e ouro da Primeira Guerra Mundial e Segundo Conflito.</t>
  </si>
  <si>
    <t>Rota do Galo de Barcelos e Artesanato do Minho</t>
  </si>
  <si>
    <t>Oficinas de olaria, bordados de Viana e o lendário galo de barro — símbolos da identidade minhota.</t>
  </si>
  <si>
    <t>Rota dos Museus do Porto</t>
  </si>
  <si>
    <t>A pé/Metro</t>
  </si>
  <si>
    <t>Os melhores museus da segunda cidade — da Serralves ao Museu do Carro Eléctrico.</t>
  </si>
  <si>
    <t>Rota temática por Cultural: Rota dos Museus do Porto. Percurso que liga pontos de interesse patrimonial, natural e cultural numa experiência de descoberta imersiva do território português. Duração: 1 dia.</t>
  </si>
  <si>
    <t>Museu do Carro Eléctrico</t>
  </si>
  <si>
    <t>Rota dos Rios Tâmega e Corgo</t>
  </si>
  <si>
    <t>Ecopistas das antigas linhas ferroviárias ao longo de rios espectaculares do interior.</t>
  </si>
  <si>
    <t>Rota da Pedra e do Cal — Alto Douro</t>
  </si>
  <si>
    <t>Quintas e solares do Alto Douro Vinhateiro — arquitectura rural UNESCO entre socalcos de vinha.</t>
  </si>
  <si>
    <t>Figueira de Castelo Rodrigo</t>
  </si>
  <si>
    <t>Rota da Revolução — 25 de Abril no Norte</t>
  </si>
  <si>
    <t>Rota histórica do Movimento das Forças Armadas em 25 de Abril de 1974 — partindo de Porto (Campanhã) desce de Norte para Sul até Lisboa. Porto foi o ponto de partida dos tanques; Coimbra e Santarém acolheram unidades de apoio; o Pontinha em Lisboa foi o QG operacional da operação. Percurso linear e historicamente coerente pelo interior (A1/EN1).</t>
  </si>
  <si>
    <t>Rota histórica do Movimento das Forças Armadas em 25 de Abril de 1974 — partindo de Porto (Campanhã) desce de Norte para Sul até Lisboa. Porto foi o ponto de partida dos tanques; Coimbra e Santarém acolheram unidades de apoio; o Pontinha em Lisboa foi o QG operacional da operação</t>
  </si>
  <si>
    <t>Rota dos Santuários Rupestres do Gerês</t>
  </si>
  <si>
    <t>Ermidas e santuários escavados na rocha granítica do Parque Nacional da Peneda-Gerês.</t>
  </si>
  <si>
    <t>Santuário da Peneda</t>
  </si>
  <si>
    <t>Rota dos Ecomuseus de Montalegre</t>
  </si>
  <si>
    <t>Ecomuseologia de excelência em Montalegre — gastronomia, feira medieval e vida pastoril.</t>
  </si>
  <si>
    <t>Rota das Praias do Litoral Norte</t>
  </si>
  <si>
    <t>Das praias selvagens do Parque Natural do Litoral Norte às praias urbanas do Porto.</t>
  </si>
  <si>
    <t>Rota do Vinho do Dão</t>
  </si>
  <si>
    <t>Granito, ardósia e touriga nacional no vale glaciário do Dão — vinhos de altitude esquecidos.</t>
  </si>
  <si>
    <t>Rota dos Castelos da Beira</t>
  </si>
  <si>
    <t>Uma linha de 18 castelos medievais que defendia a fronteira com Castela — a mais densa da Península.</t>
  </si>
  <si>
    <t>Rota das Termas do Centro</t>
  </si>
  <si>
    <t>Rota das Termas do Centro — percorre de Norte para Sul as principais estâncias termais da região Centro. De Luso (termas mais antigas de Portugal) passando por Curia, seguindo para o interior pela Beira Alta até Monfortinho, junto à fronteira espanhola. Toda a rota segue uma lógica geográfica coerente de NW para SE.</t>
  </si>
  <si>
    <t>Rota das Termas do Centro — percorre de Norte para Sul as principais estâncias termais da região Centro. De Luso (termas mais antigas de Portugal) passando por Curia, seguindo para o interior pela Beira Alta até Monfortinho, junto à fronteira espanhola. Toda a rota segue uma lógi</t>
  </si>
  <si>
    <t>Rota dos Monastérios do Mondego</t>
  </si>
  <si>
    <t>Abadias, mosteiros e conventos ao longo do Rio Mondego — a rota do saber medieval.</t>
  </si>
  <si>
    <t>Rota do Papel e dos Moinhos de Papel</t>
  </si>
  <si>
    <t>A primeira indústria papeleira de Portugal — moinhos de papel do séc. XVII em Lousã e Tomar.</t>
  </si>
  <si>
    <t>Rota do Cozido das Furnas e Gastronomia do Centro</t>
  </si>
  <si>
    <t>Pratos emblemáticos do Centro: leitão da Bairrada, chanfana de Vila Nova de Poiares, cabrito da Gralheira.</t>
  </si>
  <si>
    <t>Rota dos Dinossauros e Fósseis</t>
  </si>
  <si>
    <t>Maior concentração de jazigos de dinossauros da Península Ibérica no Jurássico da Lourinhã.</t>
  </si>
  <si>
    <t>Rota do Litoral do Centro — Nazaré a Aveiro</t>
  </si>
  <si>
    <t>Ondas gigantes, bacalhau seco ao vento e palheiros coloridos na costa mais atlântica do Centro.</t>
  </si>
  <si>
    <t>Rota das Grutas Calcárias da Estremenha</t>
  </si>
  <si>
    <t>Sistema cársico mais desenvolvido de Portugal — Alviela, Almonda, Mira de Aire, Grutas do Moinho.</t>
  </si>
  <si>
    <t>Rota da Cereja do Fundão</t>
  </si>
  <si>
    <t>Em Maio, a Serra da Gardunha explode em flores de cereja — a mais famosa cereja de Portugal.</t>
  </si>
  <si>
    <t>Rota dos Templários e da Reconquista</t>
  </si>
  <si>
    <t>De Tomar a Almourol pelos castelos e comendas da Ordem do Templo — a rota mais épica de Portugal.</t>
  </si>
  <si>
    <t>Rota do Bordado de Castelo Branco</t>
  </si>
  <si>
    <t>Os colchas de seda mais elaborados do artesanato português — bordados únicos da Beira Baixa.</t>
  </si>
  <si>
    <t>Rota da Serra da Lousã e Aldeias de Xisto</t>
  </si>
  <si>
    <t>27 aldeias de xisto restauradas no coração da serra — ecoturismo certificado e mel DOP.</t>
  </si>
  <si>
    <t>Rota do Sal e das Salinas do Mondego</t>
  </si>
  <si>
    <t>As salinas históricas da Figueira da Foz e do estuário do Mondego — sal na mesa há 2000 anos.</t>
  </si>
  <si>
    <t>Montemor-o-Velho</t>
  </si>
  <si>
    <t>Rota da Música Tradicional do Centro</t>
  </si>
  <si>
    <t>Bandas filarmónicas, gaitas-de-foles e cantares ao desafio das aldeias do planalto beirão.</t>
  </si>
  <si>
    <t>Rota da Revolução Industrial do Vale do Tejo</t>
  </si>
  <si>
    <t>Fábricas têxteis do séc. XIX, vidro da Marinha Grande e cerâmica de Caldas da Rainha.</t>
  </si>
  <si>
    <t>Rota dos Palácios Nacionais de Lisboa</t>
  </si>
  <si>
    <t>Os palácios reais que moldaram a história de Portugal — Mafra, Queluz, Sintra, Ajuda.</t>
  </si>
  <si>
    <t>Rota Manuelina — Do Tejo ao Atlântico</t>
  </si>
  <si>
    <t>Os cinco grandes monumentos manuelinos de Lisboa: Jerónimos, Torre de Belém, Tomar, Batalha, Setúbal.</t>
  </si>
  <si>
    <t>Rota das Praias e Fortalezas da Costa de Lisboa</t>
  </si>
  <si>
    <t>De Cascais à Arrábida pelos fortes marítimos e praias mais fotogénicas da Lisboa Atlântica.</t>
  </si>
  <si>
    <t>Rota dos Mosaicos Romanos do Vale do Tejo</t>
  </si>
  <si>
    <t>Villae romanas com mosaicos in situ na área de influência de Olisipo — a Lisboa romana.</t>
  </si>
  <si>
    <t>Rota do Estuário do Tejo — Aves e Sal</t>
  </si>
  <si>
    <t>Flamingos, garças e pernilongos nas salinas e sapais da Reserva Natural do Estuário do Tejo.</t>
  </si>
  <si>
    <t>Rota do Azulejo de Lisboa</t>
  </si>
  <si>
    <t>Os painéis de azulejo mais emblemáticos de Lisboa — do Museu do Azulejo à Estação do Oriente.</t>
  </si>
  <si>
    <t>Estação do Oriente</t>
  </si>
  <si>
    <t>Rota da Expansão Marítima — Descobrimentos</t>
  </si>
  <si>
    <t>A pé/Barco</t>
  </si>
  <si>
    <t>O Padrão dos Descobrimentos, as caravelas e as rotas que mudaram o mundo, contadas em Belém.</t>
  </si>
  <si>
    <t>Rota do Fado de Lisboa — Mouraria a Alfama</t>
  </si>
  <si>
    <t>Pelos bairros fundadores do fado — tabernas, adegas típicas e miradouros com vista sobre o Tejo.</t>
  </si>
  <si>
    <t>Rota do Vinho de Lisboa — Colares e Bucelas</t>
  </si>
  <si>
    <t>A vinha mais atlântica do mundo — Colares em areias dunares e Bucelas em solos de argila calcária.</t>
  </si>
  <si>
    <t>Rota dos Parques Naturais de Lisboa</t>
  </si>
  <si>
    <t>Serra de Sintra, Arrábida e Estuário do Sado — os três grandes santuários naturais perto de Lisboa.</t>
  </si>
  <si>
    <t>Rota dos Aquedutos e Fontes de Lisboa</t>
  </si>
  <si>
    <t>O Aqueduto das Águas Livres e as fontes monumentais que abasteceram Lisboa por 250 anos.</t>
  </si>
  <si>
    <t>Rota do Cinema Português — Estúdios da Costa</t>
  </si>
  <si>
    <t>Rota do Cinema Português — percorre os principais estúdios e cenários naturais usados em produções nacionais e internacionais. Seguindo para Norte de Lisboa, de forma coerente: Sintra (cenários de época), Mafra (produções históricas), terminando na costa de Ericeira usada em inúmeras filmagens.</t>
  </si>
  <si>
    <t>Rota do Cinema Português — percorre os principais estúdios e cenários naturais usados em produções nacionais e internacionais. Seguindo para Norte de Lisboa, de forma coerente: Sintra (cenários de época), Mafra (produções históricas), terminando na costa de Ericeira usada em inúm</t>
  </si>
  <si>
    <t>Rota do Megalitismo — Évora e Alqueva</t>
  </si>
  <si>
    <t>A maior concentração megalítica da Europa — antas, menires e cromeleques num raio de 30 km de Évora.</t>
  </si>
  <si>
    <t>Rota da Planície Estrelada — Astroturismo</t>
  </si>
  <si>
    <t>1-2 noites</t>
  </si>
  <si>
    <t>O céu mais escuro da Europa continental — Alqueva STARLIGHT Destination e observatórios rurais.</t>
  </si>
  <si>
    <t>Herdade dos Grous</t>
  </si>
  <si>
    <t>Rota do Azeite do Alentejo</t>
  </si>
  <si>
    <t>Olivais milenários e lagares modernos do maior produtor de azeite DOP do país.</t>
  </si>
  <si>
    <t>Herdade do Esporão</t>
  </si>
  <si>
    <t>Rota da Cortiça — Do Sobreiro à Rolha</t>
  </si>
  <si>
    <t>Portugal produz 50% da cortiça mundial — da apanha no montado à fábrica de rolhas de Coruche.</t>
  </si>
  <si>
    <t>Rota das Aves da Planície</t>
  </si>
  <si>
    <t>Abetardas, sisões e francilhos na estepe cerealífera — birdwatching de excelência europeia.</t>
  </si>
  <si>
    <t>Rota do Cante Alentejano — UNESCO</t>
  </si>
  <si>
    <t>O canto coral a cappella mais antigo da Península — aldeias, tabernas e festas de Agosto.</t>
  </si>
  <si>
    <t>Rota das Herdades — Alentejo Rural</t>
  </si>
  <si>
    <t>Porco preto, açorda, migas e cataplana — gastronomia autêntica nas herdades do latifúndio alentejano.</t>
  </si>
  <si>
    <t>Rota dos Castelos Medievais do Alentejo</t>
  </si>
  <si>
    <t>20+ castelos medievais que defenderam a fronteira mais longa de Portugal com Espanha.</t>
  </si>
  <si>
    <t>Rota das Aldeias Brancas — Alentejo Profundo</t>
  </si>
  <si>
    <t>Aldeias caiadas de branco e azul com porta marcada — tradição de cal viva que remonta ao séc. XV.</t>
  </si>
  <si>
    <t>Rota do Mármore — Estremoz e Borba</t>
  </si>
  <si>
    <t>Os maiores depósitos de mármore do mundo — pedreiras abertas, igrejas e palácios todos em branco.</t>
  </si>
  <si>
    <t>Rota da Pré-História do Alentejo</t>
  </si>
  <si>
    <t>Da pintura rupestre pré-histórica aos dólmens do 4.º milénio — 8000 anos de ocupação humana.</t>
  </si>
  <si>
    <t>Rota dos Espelhos d'Água — Barragens do Alentejo</t>
  </si>
  <si>
    <t>O maior lago artificial da Europa e as aldeias submersas — Alqueva e a memória da Luz.</t>
  </si>
  <si>
    <t>Rota dos Laços Azuis — Azulejo do Alentejo</t>
  </si>
  <si>
    <t>Painéis de azulejo que decoram conventos, igrejas e solares alentejanos — arte anónima séc. XVII-XVIII.</t>
  </si>
  <si>
    <t>Rota dos Cavalos — Lusitano e Sorraia</t>
  </si>
  <si>
    <t>A coudelaria mais antiga do mundo e o cavalo mais antigo da Península — Alter Real e Sorraia.</t>
  </si>
  <si>
    <t>Rota do Linho e dos Tecidos — Alentejo</t>
  </si>
  <si>
    <t>A tecelagem manual de linho e lã — peças de manta e toalhas que vestem a mesa alentejana há séculos.</t>
  </si>
  <si>
    <t>Vidigueira</t>
  </si>
  <si>
    <t>Rota do Barrocal Algarvio</t>
  </si>
  <si>
    <t>A faixa calcária entre o litoral e a serra — figueiras, alfarrobeiras e alecrim em paisagem única.</t>
  </si>
  <si>
    <t>Rota Islâmica do Algarve — Xelb a Silves</t>
  </si>
  <si>
    <t>O Al-Garb — o Algarve islâmico dos séculos VIII-XIII — mesquitas, hammans e a capital Silves.</t>
  </si>
  <si>
    <t>Rota dos Faróis do Algarve</t>
  </si>
  <si>
    <t>Os 8 faróis da costa algarvia — do Cabo de São Vicente ao Cabo de Santa Maria, guardiões do Atlântico.</t>
  </si>
  <si>
    <t>Rota da Ria Formosa e Ilhas Barreira</t>
  </si>
  <si>
    <t>Barco/A pé</t>
  </si>
  <si>
    <t>5 ilhas barreira e 2 penínsulas do maior parque natural do Algarve — habitat único na Europa.</t>
  </si>
  <si>
    <t>Rota dos Alfarrobais e da Alfarroba</t>
  </si>
  <si>
    <t>A 'aguardente do sol' algarvia — o chocolate dos pobres com 4000 anos de história na região.</t>
  </si>
  <si>
    <t>Rota dos Quilombos e da Resistência</t>
  </si>
  <si>
    <t>Rota dos Quilombos e da Resistência Afro-Portuguesa — percorre de Oeste para Leste os locais históricos relacionados com o tráfico negreiro e resistência no Algarve. Lagos foi o primeiro porto europeu de tráfico; Portimão e Silves têm testemunhos arqueológicos; Faro conserva documentação histórica. Rota linear e coerente.</t>
  </si>
  <si>
    <t>Rota dos Quilombos e da Resistência Afro-Portuguesa — percorre de Oeste para Leste os locais históricos relacionados com o tráfico negreiro e resistência no Algarve. Lagos foi o primeiro porto europeu de tráfico; Portimão e Silves têm testemunhos arqueológicos; Faro conserva docu</t>
  </si>
  <si>
    <t>Rota das Algas e da Marisquagem</t>
  </si>
  <si>
    <t>A biodiversidade marinha na mesa — perceves de Sagres, amêijoa da Ria Formosa e ouriço do mar.</t>
  </si>
  <si>
    <t>Rota do Carnaval e das Festas Populares</t>
  </si>
  <si>
    <t>Carnaval de Loulé, festas de São João e a gastronomia festiva das festas populares do Algarve.</t>
  </si>
  <si>
    <t>Rota da Serra de Monchique</t>
  </si>
  <si>
    <t>O pico mais alto do Algarve (902m) e as caldas termais — microclima único com flora subtropical.</t>
  </si>
  <si>
    <t>Rota dos Rios do Algarve — Guadiana e Mira</t>
  </si>
  <si>
    <t>Fronteira natural com Espanha e o rio mais selvagem do sul — lontra, cegonha-preta e águia-pescadora.</t>
  </si>
  <si>
    <t>Rota das Levadas Históricas da Madeira</t>
  </si>
  <si>
    <t>4 dias</t>
  </si>
  <si>
    <t>A rede de 2700 km de levadas — canais de irrigação do séc. XV que atravessam a Floresta Laurissilva UNESCO.</t>
  </si>
  <si>
    <t>Rota dos Picos e Cumes da Madeira</t>
  </si>
  <si>
    <t>Os 3 picos mais altos — Pico Ruivo (1862m), Pico do Arieiro e Pico Grande — na crista basáltica da ilha.</t>
  </si>
  <si>
    <t>Pico Ruivo</t>
  </si>
  <si>
    <t>Rota do Bordado e Vime da Madeira</t>
  </si>
  <si>
    <t>O bordado madeirense (Ponto Português) e o vime de Camacha — artesanato reconhecido no mundo.</t>
  </si>
  <si>
    <t>Rota dos Poios e Vinha da Madeira</t>
  </si>
  <si>
    <t>Os terraços de basalto e as castas históricas — Verdelho, Sercial, Malmsey — num vinho que sobrevive séculos.</t>
  </si>
  <si>
    <t>Rota dos Sítios Históricos do Funchal</t>
  </si>
  <si>
    <t>Mercado dos Lavradores, Sé, Fortaleza de S.Tiago — o centro histórico da capital insular.</t>
  </si>
  <si>
    <t>Rota das Falésia e Miradouros da Madeira</t>
  </si>
  <si>
    <t>As 2.ª falésia mais alta da Europa (Cabo Girão) e miradouros sobre o Atlântico — vistas impossíveis.</t>
  </si>
  <si>
    <t>Rota da Cultura e Festas da Madeira</t>
  </si>
  <si>
    <t>Festa das Flores, Noite do Arraial e o Carnaval do Funchal — o calendário festivo mais colorido das ilhas.</t>
  </si>
  <si>
    <t>Rota da Fauna e Flora Endémica da Madeira</t>
  </si>
  <si>
    <t>Pombo-trocaz, fura-bardos e frei-da-Madeira — 16 aves endémicas numa das ilhas mais biodiversas do Atlântico.</t>
  </si>
  <si>
    <t>Rota dos Vulcões Activos dos Açores</t>
  </si>
  <si>
    <t>5 dias</t>
  </si>
  <si>
    <t>Carro/Voo</t>
  </si>
  <si>
    <t>De ilha em ilha pelos vulcões activos, caldeiras e fumarolas — o arquipélago mais jovem do Atlântico.</t>
  </si>
  <si>
    <t>Rota do Esperm Whale — Observação de Cetáceos</t>
  </si>
  <si>
    <t>O maior mamífero terrestre do mundo em liberdade — cachalotes, baleias-de-bico e golfinhos.</t>
  </si>
  <si>
    <t>Rota das Fajãs de São Jorge</t>
  </si>
  <si>
    <t>Plataformas lávicas ao nível do mar com comunidades piscatórias isoladas — acessíveis só a pé.</t>
  </si>
  <si>
    <t>Rota do Chá dos Açores — Gorreana e Porto Formoso</t>
  </si>
  <si>
    <t>As únicas plantações de chá da Europa — verde e preto desde 1883 em S.Miguel, nas encostas do Atlântico.</t>
  </si>
  <si>
    <t>Rota da Cerâmica e dos Engobes de Angra</t>
  </si>
  <si>
    <t>A cerâmica histórica de Angra do Heroísmo e as rendas de bilros da ilha Terceira — artesanato insular.</t>
  </si>
  <si>
    <t>Rota dos Bordados e Rendas das Ilhas</t>
  </si>
  <si>
    <t>O bordado de Pico, as rendas de Flores e a tapeçaria de Santa Maria — artesanato têxtil insular.</t>
  </si>
  <si>
    <t>Rota das Grutas e Tubos de Lava dos Açores</t>
  </si>
  <si>
    <t>O sistema de grutas vulcânicas mais extenso do mundo — Furna do Enxofre, Algar do Carvão, Gruta das Torres.</t>
  </si>
  <si>
    <t>Rota das Poças Termais e Vulcões de Lama</t>
  </si>
  <si>
    <t>Do cozido das Furnas às poças termais de 40ºC — a experiência geotérmica mais surreal da Europa.</t>
  </si>
  <si>
    <t>Rota do Vinho do Pico e Vinhas da UNESCO</t>
  </si>
  <si>
    <t>As vinhas currais — muros de basalto negro contra o vento atlântico — um paisagem industrial UNESCO.</t>
  </si>
  <si>
    <t>Rota da Fotografia e Paisagem dos Açores</t>
  </si>
  <si>
    <t>Os 9 cenários mais fotogénicos do arquipélago — do Pico ao Corvo, do verde impossível ao basalto negro.</t>
  </si>
  <si>
    <t>Rota do Caminho de Santiago — Variantes Portuguesas</t>
  </si>
  <si>
    <t>7-14 dias</t>
  </si>
  <si>
    <t>Todas as variantes do Caminho Português de Santiago — Central, Costa, Interior e Espiritual do Sul.</t>
  </si>
  <si>
    <t>Rota da Biodiversidade — Portugal Hotspot</t>
  </si>
  <si>
    <t>Portugal tem a maior diversidade de aves da Europa Ocidental — uma rota pelos parques nacionais e reservas.</t>
  </si>
  <si>
    <t>Rota das Línguas e Culturas de Portugal</t>
  </si>
  <si>
    <t>Mirandês, dialecto algarvio, crioulo e a língua dos gestos — a diversidade cultural da nação lusófona.</t>
  </si>
  <si>
    <t>Circuito do Barroco Bracarense</t>
  </si>
  <si>
    <t>Percurso circular por Braga e arredores descobrindo o barroco português no seu expoente máximo. Bom Jesus, Sameiro, Sé Catedral, Tibães e Citânia de Briteiros.</t>
  </si>
  <si>
    <t>Circuito da Ria de Aveiro</t>
  </si>
  <si>
    <t>Volta completa à laguna de Aveiro: salinas, pesca de moliceiros, praias de dunas e Arte Nova da cidade. Circular partindo e chegando a Aveiro.</t>
  </si>
  <si>
    <t>Circuito dos Espigueiros do Soajo e Lindoso</t>
  </si>
  <si>
    <t>Um dos patrimónios etnográficos mais únicos da Península Ibérica. Espigueiros milenares, Castro do Lindoso, Rio Lima e vistas para a Serra Amarela.</t>
  </si>
  <si>
    <t>Circuito dos Castelos do Minho</t>
  </si>
  <si>
    <t>Dia de castelos medievais no coração do Minho — Guimarães (berço da nação), Braga e as suas muralhas romanas, e o medieval Lanhoso.</t>
  </si>
  <si>
    <t>Circuito do Gerês — Portas do Parque</t>
  </si>
  <si>
    <t>O melhor do Parque Nacional da Peneda-Gerês num único dia: cascatas, aldeias graníticas, fauna autóctone e vistas deslumbrantes sobre os vales.</t>
  </si>
  <si>
    <t>Circuito Sintra–Cabo da Roca–Cascais</t>
  </si>
  <si>
    <t>O clássico circuito da costa de Lisboa: palácios de Sintra, ponto mais ocidental da Europa no Cabo da Roca, e a elegante Cascais. ~80km circular.</t>
  </si>
  <si>
    <t>Circuito Histórico de Belém</t>
  </si>
  <si>
    <t>O berço dos Descobrimentos numa manhã: Padrão, Torre, Jerónimos, MAAT e LX Factory. Tudo a pé ou de elétrico ao longo do Tejo.</t>
  </si>
  <si>
    <t>Circuito do Mondego — Serras e Rio</t>
  </si>
  <si>
    <t>Segue o Rio Mondego desde a serra até à foz: Coimbra monumental, Figueira da Foz balnear e as matas nacionais de Leiria. Circular pelos dois margens.</t>
  </si>
  <si>
    <t>Circuito das Aldeias Históricas — Raiz de Portugal</t>
  </si>
  <si>
    <t>Um dia nas aldeias amuralhadas da Beira Interior — granito, xisto e história medieval. Monsanto (aldeia mais portuguesa de Portugal), Idanha e Penha Garcia.</t>
  </si>
  <si>
    <t>Circuito dos Almendres e Dark Sky Alqueva</t>
  </si>
  <si>
    <t>O mais antigo observatório astronómico da Península Ibérica (Cromeleque dos Almendres, 4000 a.C.) e o primeiro Destino Dark Sky de Portugal em Alqueva. Terminar com noite de observação.</t>
  </si>
  <si>
    <t>Circuito do Mármore Alentejano</t>
  </si>
  <si>
    <t>Estremoz, Borba e Vila Viçosa formam o triângulo do mármore alentejano — pedreiras activas, palácios em mármore e a majestosa Casa de Bragança.</t>
  </si>
  <si>
    <t>Circuito da Planície Alentejana — Dehesa e Montado</t>
  </si>
  <si>
    <t>O montado de sobro alentejano no seu estado puro: cortiça, porco preto, javali e a magnífica quietude da planície. Visita a herdades históricas.</t>
  </si>
  <si>
    <t>Circuito das Serras do Algarve</t>
  </si>
  <si>
    <t>O Algarve interior e serrano, longe da costa: Monchique com as suas caldas e medronheiro, Alte com a sua fonte típica, Querença e Loulé medieval.</t>
  </si>
  <si>
    <t>Circuito da Costa Vicentina — Barlavento</t>
  </si>
  <si>
    <t>A costa mais selvagem do Algarve Ocidental: Sagres (Cabo de São Vicente), praias virgem de Bordeira, Carrapateira e Aljezur. Circular pela EN268.</t>
  </si>
  <si>
    <t>Circuito da Ria Formosa e Ilhas Barreira</t>
  </si>
  <si>
    <t>A Ria Formosa a partir de Faro: ferry para a ilha Culatra, praia de Armona, Fuseta e volta a Faro. Flamingos, ostras, marisco fresco. Dia de barco e caminhada.</t>
  </si>
  <si>
    <t>Circuito da Ilha de São Miguel em 1 Dia</t>
  </si>
  <si>
    <t>O melhor de São Miguel numa volta completa: Sete Cidades (azul e verde), Lagoa do Fogo, Furnas (cozido geotérmico) e Nordeste. ~130km. Sair cedo.</t>
  </si>
  <si>
    <t>Circuito da Ilha do Faial — A Ilha Azul</t>
  </si>
  <si>
    <t>Volta completa ao Faial: Caldeira (800m cume), Capelinhos (vulcão de 1957 submerso), Marina da Horta (ponto de paragem de veleiros transatlânticos).</t>
  </si>
  <si>
    <t>Circuito das Levadas da Madeira — Norte e Rabaçal</t>
  </si>
  <si>
    <t>As levadas mais famosas da Madeira num único dia: Caldeirão Verde (manhã) e 25 Fontes do Rabaçal (tarde). Floresta Laurissilva UNESCO.</t>
  </si>
  <si>
    <t>Circuito do Pico do Arieiro ao Ruivo</t>
  </si>
  <si>
    <t>A travessia mais espetacular da Madeira entre os dois picos mais altos: Arieiro (1818m) e Ruivo (1862m). Descida ao Faial ou Santana. Apenas para preparados.</t>
  </si>
  <si>
    <t>Circuito do Douro Vinhateiro — Grande Reserva</t>
  </si>
  <si>
    <t>O coração do Alto Douro Vinhateiro num único dia: Miradouro de Casal de Loivos (a melhor vista do Douro), adega em Pinhão, barco no Rio, regresso por Lamego.</t>
  </si>
  <si>
    <t>🗺️  174 entradas  ·  Portugal Vivo  ·  ROTAS TEMÁTICAS DE PORTUGAL</t>
  </si>
  <si>
    <t>🇵🇹 GRANDE EXPEDIÇÃO PORTUGAL 2026 — 21 a 30 Dias</t>
  </si>
  <si>
    <t>Expedição suprema que liga o máximo de rotas sem retrocessos, seguindo o eixo Norte-Sul pela EN2 com desvios temáticos e salto atlântico para as Ilhas.</t>
  </si>
  <si>
    <t>Fase</t>
  </si>
  <si>
    <t>Etapa</t>
  </si>
  <si>
    <t>Localização Principal</t>
  </si>
  <si>
    <t>Rotas Linkadas</t>
  </si>
  <si>
    <t>Dias Est.</t>
  </si>
  <si>
    <t>Distância Est.</t>
  </si>
  <si>
    <t>Notas / Destaques</t>
  </si>
  <si>
    <t>GPS</t>
  </si>
  <si>
    <t>Fase 1 🟦</t>
  </si>
  <si>
    <t>Chaves (KM 0 EN2)</t>
  </si>
  <si>
    <t>Rota 21 (EN2), Rota 55 (Termas Norte)</t>
  </si>
  <si>
    <t>~80km</t>
  </si>
  <si>
    <t>Início da EN2. Termas de Vidago, Pedras Salgadas e Chaves — arranque relaxante.</t>
  </si>
  <si>
    <t>📍 Ver Mapa</t>
  </si>
  <si>
    <t>Minho/Norte</t>
  </si>
  <si>
    <t>Rota 54 (Granito Gerês), Rota 12 (Vinho Verde)</t>
  </si>
  <si>
    <t>~150km</t>
  </si>
  <si>
    <t>Espigueiros de Soajo, Castro Laboreiro. Rota do Alvarinho em Melgaço.</t>
  </si>
  <si>
    <t>Vale do Sousa e Tâmega</t>
  </si>
  <si>
    <t>Rota 2 (Românico), Rota 53 (Arouca Geopark)</t>
  </si>
  <si>
    <t>~120km</t>
  </si>
  <si>
    <t>Igrejas românicas, Passadiços do Paiva, Ponte 516 Arouca.</t>
  </si>
  <si>
    <t>Fase 2 🟨</t>
  </si>
  <si>
    <t>Peso da Régua / Pinhão</t>
  </si>
  <si>
    <t>Douro Vinhateiro</t>
  </si>
  <si>
    <t>Rota 11 (Vinho Porto), Rota 22 (EN222)</t>
  </si>
  <si>
    <t>~100km</t>
  </si>
  <si>
    <t>EN222 entre Régua e Pinhão — uma das melhores estradas do mundo. Provas de vinho.</t>
  </si>
  <si>
    <t>Vale do Côa</t>
  </si>
  <si>
    <t>Douro Interior</t>
  </si>
  <si>
    <t>Rota 30 (GR45 Côa), Rota 25 (Douro Internacional)</t>
  </si>
  <si>
    <t>~130km</t>
  </si>
  <si>
    <t>Gravuras rupestres UNESCO. Miradouros sobre o Douro Internacional.</t>
  </si>
  <si>
    <t>Centro-Norte</t>
  </si>
  <si>
    <t>Rota 28 (EN338 Estrela), Rota 17 (Queijos)</t>
  </si>
  <si>
    <t>Ponto mais alto de Portugal. Queijo da Serra DOP. Vale Glaciário do Zêzere.</t>
  </si>
  <si>
    <t>Fase 3 🟩</t>
  </si>
  <si>
    <t>Beira Interior</t>
  </si>
  <si>
    <t>Rota 1 (Aldeias Históricas), Rota 6 (Judiarias)</t>
  </si>
  <si>
    <t>~200km</t>
  </si>
  <si>
    <t>Piódão, Sortelha, Monsanto, Idanha-a-Velha. Circuito da Raia.</t>
  </si>
  <si>
    <t>Tomar e Batalha</t>
  </si>
  <si>
    <t>Médio Tejo / Centro</t>
  </si>
  <si>
    <t>Rota 3 (Templários), Rota 5 (UNESCO), Rota 9 (Cister)</t>
  </si>
  <si>
    <t>Convento de Cristo, Mosteiro da Batalha e Alcobaça — três monumentos UNESCO.</t>
  </si>
  <si>
    <t>Nazaré e Costa de Prata</t>
  </si>
  <si>
    <t>Litoral Centro</t>
  </si>
  <si>
    <t>Rota 24 (Atlântica), Rota 29 (Costa de Prata)</t>
  </si>
  <si>
    <t>Ondas gigantes da Nazaré, Peniche e Óbidos.</t>
  </si>
  <si>
    <t>Fase 4 🟫</t>
  </si>
  <si>
    <t>Évora e Megalitismo</t>
  </si>
  <si>
    <t>Alentejo Central</t>
  </si>
  <si>
    <t>Rota 13 (Vinhos Alentejo), Rota 7 (Al-Mutamid)</t>
  </si>
  <si>
    <t>Cromeleque dos Almendres. Adegas contemporâneas. Gastronomia alentejana.</t>
  </si>
  <si>
    <t>Estremoz e Reguengos</t>
  </si>
  <si>
    <t>Rota 49 (Bonecos Estremoz), Rota 48 (Mantas Reguengos)</t>
  </si>
  <si>
    <t>Bonecos de barro UNESCO. Mantas alentejanas. Castelo de Estremoz.</t>
  </si>
  <si>
    <t>Monsaraz e Alqueva</t>
  </si>
  <si>
    <t>Alentejo Oriental</t>
  </si>
  <si>
    <t>Rota 51 (Aldeias Alqueva), Dark Sky</t>
  </si>
  <si>
    <t>~60km</t>
  </si>
  <si>
    <t>Dark Sky Reserve. Maior lago artificial da Europa. Pôr do sol sobre o Alqueva.</t>
  </si>
  <si>
    <t>Mértola e Baixo Alentejo</t>
  </si>
  <si>
    <t>Rota 7 (Al-Mutamid fim), Rota 56 (Lixo Zero)</t>
  </si>
  <si>
    <t>A Villa Museu. Pulo do Lobo. Costa alentejana selvagem.</t>
  </si>
  <si>
    <t>Fase 5 🟧</t>
  </si>
  <si>
    <t>Sagres e Costa Vicentina</t>
  </si>
  <si>
    <t>Algarve Barlavento</t>
  </si>
  <si>
    <t>Rota 23 (Costa Vicentina), Rota 26 (Via Algarviana)</t>
  </si>
  <si>
    <t>Cabo de S. Vicente — fim do continente. Praias selvagens. Via Algarviana.</t>
  </si>
  <si>
    <t>Lagos, Silves e Algarve Interior</t>
  </si>
  <si>
    <t>Rota 8 (Omíada), Rota 18 (Cortiça São Brás)</t>
  </si>
  <si>
    <t>Ruínas romanas, banhos islâmicos e a única mina de sal visitável.</t>
  </si>
  <si>
    <t>Tavira e Sotavento</t>
  </si>
  <si>
    <t>Algarve Oriental</t>
  </si>
  <si>
    <t>Rota 52 (Dieta Mediterrânica), Rota 20 (Atum), Rota 60 (Contrabando)</t>
  </si>
  <si>
    <t>Salinas de Tavira. Gastronomia UNESCO. Tirolina transfronteiriça em Alcoutim.</t>
  </si>
  <si>
    <t>Fase 6 🟪</t>
  </si>
  <si>
    <t>Ilha da Madeira</t>
  </si>
  <si>
    <t>Rota 16 (Vinho Madeira), Rota 31 (Levadas)</t>
  </si>
  <si>
    <t>~200km (levadas)</t>
  </si>
  <si>
    <t>Floresta Laurissilva, levadas, Cabo Girão e Blandy's Wine Lodge no Funchal.</t>
  </si>
  <si>
    <t>Rota 35 (Sete Cidades), Rota 38 (Caldeira Velha)</t>
  </si>
  <si>
    <t>~180km</t>
  </si>
  <si>
    <t>Lagoas azul e verde, termas na floresta e Lagoa do Fogo selvagem.</t>
  </si>
  <si>
    <t>🛠️ DICAS DE ESPECIALISTA PARA 2026</t>
  </si>
  <si>
    <t>⚡ Carregamento Elétrico: A EN2 e a Costa Vicentina têm rede densa de carregadores rápidos (PCR) em quase todos os concelhos.</t>
  </si>
  <si>
    <t>📱 Apps de Apoio: Para rotas pedestres (Via Algarviana, Levadas), descarrega mapas offline no Wikiloc — a rede móvel falha em desfiladeiros.</t>
  </si>
  <si>
    <t>🏛️ Reservas UNESCO: Convento de Cristo, Biblioteca Joanina e outros exigem slot horário online com 48h de antecedência mínima na época alta.</t>
  </si>
  <si>
    <t>🌙 Dark Sky: Reserva uma noite em Monsaraz para astronomia — o único Dark Sky Reserve junto ao maior lago artificial da Europa.</t>
  </si>
  <si>
    <t>🧀 Queijadas e Vinhos: Na Serra da Estrela, contacta as queijarias DOP com antecedência — muitas têm stock limitado fora da época.</t>
  </si>
  <si>
    <t>🍽️  RESTAURANTES E GASTRONOMIA  —  283 entradas</t>
  </si>
  <si>
    <t>Norte · Centro · Lisboa · Alentejo · Algarve · Açores · Madeira  ·  Tascas Míticas, Cozinha Regional e Alta Gastronomia Portuguesa</t>
  </si>
  <si>
    <t>Localização</t>
  </si>
  <si>
    <t>Destaque / Especialidade</t>
  </si>
  <si>
    <t xml:space="preserve">  🟦  NORTE  ·  46 entradas</t>
  </si>
  <si>
    <t>Tasca do Joel</t>
  </si>
  <si>
    <t>Oeste/Peniche</t>
  </si>
  <si>
    <t>Rua do Porto de Recreio 72, Peniche</t>
  </si>
  <si>
    <t>+351 262 782 945</t>
  </si>
  <si>
    <t>25€ – 45€</t>
  </si>
  <si>
    <t>Garrafeira própria e peixe fresquíssimo.</t>
  </si>
  <si>
    <t>Tasca do Joel em Peniche — Garrafeira própria e peixe fresquíssimo. Cozinha portuguesa com ingredientes regionais e ambiente familiar. 25€ – 45€.</t>
  </si>
  <si>
    <t>Arte e Sal</t>
  </si>
  <si>
    <t>Vista Mar</t>
  </si>
  <si>
    <t>Morgavel, Sines (Porto Covo)</t>
  </si>
  <si>
    <t>+351 269 869 133</t>
  </si>
  <si>
    <t>25€ – 40€</t>
  </si>
  <si>
    <t>Peixe grelhado no ponto e vista relaxante.</t>
  </si>
  <si>
    <t>Arte e Sal em Sines — Peixe grelhado no ponto e vista relaxante. Cozinha portuguesa com ingredientes regionais e ambiente familiar. 25€ – 40€.</t>
  </si>
  <si>
    <t>Tasca do Rick</t>
  </si>
  <si>
    <t>Tasca</t>
  </si>
  <si>
    <t>Rua do Porto de Pesca, Arrifana</t>
  </si>
  <si>
    <t>+351 282 994 153</t>
  </si>
  <si>
    <t>15€ – 25€</t>
  </si>
  <si>
    <t>Peixe grelhado e ambiente de surfistas.</t>
  </si>
  <si>
    <t>Tasca histórica em Aljezur com azulejo, madeira escura e balcão de pedra. Peixe grelhado e ambiente de surfistas. Preços honestos e cozinha de tacho. A partir de 15€.</t>
  </si>
  <si>
    <t>A Taska</t>
  </si>
  <si>
    <t>Petiscos</t>
  </si>
  <si>
    <t>Rua Dr. Teófilo Braga 122, V.R.S.A.</t>
  </si>
  <si>
    <t>+351 281 544 544</t>
  </si>
  <si>
    <t>V. R. Sto. António</t>
  </si>
  <si>
    <t>Petiscos raianos e vinhos regionais.</t>
  </si>
  <si>
    <t>Tasca histórica em V. R. Sto. António com azulejo, madeira escura e balcão de pedra. Petiscos raianos e vinhos regionais. Preços honestos e cozinha de tacho. A partir de 15€.</t>
  </si>
  <si>
    <t>Seixal Bay</t>
  </si>
  <si>
    <t>Peixe</t>
  </si>
  <si>
    <t>Porto do Seixal</t>
  </si>
  <si>
    <t>+351 291 854 116</t>
  </si>
  <si>
    <t>Pratos de peixe fresco no porto.</t>
  </si>
  <si>
    <t>Seixal Bay em Seixal, especializado em peixe e marisco do dia. Pratos de peixe fresco no porto. Junto ao porto de pesca ou à costa atlântica. 18€ – 28€.</t>
  </si>
  <si>
    <t>Maré Alta</t>
  </si>
  <si>
    <t>Marisco</t>
  </si>
  <si>
    <t>Caminho da Ribeira, Machico</t>
  </si>
  <si>
    <t>+351 291 961 144</t>
  </si>
  <si>
    <t>Peixe do dia e arroz de marisco generoso.</t>
  </si>
  <si>
    <t>Maré Alta em Machico, especializado em peixe e marisco do dia. Peixe do dia e arroz de marisco generoso. Junto ao porto de pesca ou à costa atlântica. 25€ – 40€.</t>
  </si>
  <si>
    <t>Restaurante By the Sea</t>
  </si>
  <si>
    <t>Porto de Recreio da Calheta</t>
  </si>
  <si>
    <t>+351 291 823 150</t>
  </si>
  <si>
    <t>Peixe-Porco, Pargo e Pôr-do-sol magnífico.</t>
  </si>
  <si>
    <t>Restaurante By the Sea em Calheta — Peixe-Porco, Pargo e Pôr-do-sol magnífico. Cozinha portuguesa com ingredientes regionais e ambiente familiar. 25€ – 40€.</t>
  </si>
  <si>
    <t>Aquário</t>
  </si>
  <si>
    <t>+351 291 850 160</t>
  </si>
  <si>
    <t>Peixe grelhado simples e caldeiradas ricas.</t>
  </si>
  <si>
    <t>Aquário em Porto Moniz, especializado em peixe e marisco do dia. Peixe grelhado simples e caldeiradas ricas. Junto ao porto de pesca ou à costa atlântica. 25€ – 40€.</t>
  </si>
  <si>
    <t>Cachalote</t>
  </si>
  <si>
    <t>Rústico</t>
  </si>
  <si>
    <t>Frente às Piscinas Naturais</t>
  </si>
  <si>
    <t>+351 291 853 180</t>
  </si>
  <si>
    <t>20€ – 35€</t>
  </si>
  <si>
    <t>Carnes e peixes grelhados na pedra.</t>
  </si>
  <si>
    <t>Cachalote em Porto Moniz — Carnes e peixes grelhados na pedra. Cozinha portuguesa com ingredientes regionais e ambiente familiar. 20€ – 35€.</t>
  </si>
  <si>
    <t>Bar Caloura</t>
  </si>
  <si>
    <t>Peixe Fresco</t>
  </si>
  <si>
    <t>Rua do Porto da Caloura, Água de Pau</t>
  </si>
  <si>
    <t>+351 296 913 283</t>
  </si>
  <si>
    <t>Peixe grelhado na esplanada sobre o mar.</t>
  </si>
  <si>
    <t>Bar Caloura em São Miguel, especializado em peixe e marisco do dia. Peixe grelhado na esplanada sobre o mar. Junto ao porto de pesca ou à costa atlântica. 25€ – 40€.</t>
  </si>
  <si>
    <t>Beira Mar</t>
  </si>
  <si>
    <t>Peixe/Marisco</t>
  </si>
  <si>
    <t>Porto de São Mateus da Calheta</t>
  </si>
  <si>
    <t>+351 295 642 392</t>
  </si>
  <si>
    <t>Marisco fresco e filetes de abrótea.</t>
  </si>
  <si>
    <t>Beira Mar em Terceira, especializado em peixe e marisco do dia. Marisco fresco e filetes de abrótea. Junto ao porto de pesca ou à costa atlântica. 25€ – 45€.</t>
  </si>
  <si>
    <t>Cantinho do Cais</t>
  </si>
  <si>
    <t>Caldo de Peixe</t>
  </si>
  <si>
    <t>Rua do Porto 4, São Brás</t>
  </si>
  <si>
    <t>+351 296 442 163</t>
  </si>
  <si>
    <t>Famoso pelo melhor Caldo de Peixe da ilha.</t>
  </si>
  <si>
    <t>Cantinho do Cais em São Miguel, especializado em peixe e marisco do dia. Famoso pelo melhor Caldo de Peixe da ilha. Junto ao porto de pesca ou à costa atlântica. 15€ – 25€.</t>
  </si>
  <si>
    <t>Marisqueira Ancoradouro</t>
  </si>
  <si>
    <t>Rua do Porto 1, Areia Larga</t>
  </si>
  <si>
    <t>+351 292 623 490</t>
  </si>
  <si>
    <t>Polvo assado no forno e vista para o Faial.</t>
  </si>
  <si>
    <t>Marisqueira Ancoradouro em Pico, referência da cozinha atlântica portuguesa. Polvo assado no forno e vista para o Faial. Ementas do dia com peixe fresco e receitas de geração em geração. 25€ – 45€.</t>
  </si>
  <si>
    <t>O Refúgio</t>
  </si>
  <si>
    <t>Caminho de Baixo 1, Madalena</t>
  </si>
  <si>
    <t>+351 292 622 145</t>
  </si>
  <si>
    <t>Ensopado de lulas e morcela com ananás.</t>
  </si>
  <si>
    <t>O Refúgio em Pico — Ensopado de lulas e morcela com ananás. Cozinha portuguesa com ingredientes regionais e ambiente familiar. 18€ – 28€.</t>
  </si>
  <si>
    <t>Papagaio</t>
  </si>
  <si>
    <t>Tasca de Peixe</t>
  </si>
  <si>
    <t>Porto de Santa Cruz, Flores</t>
  </si>
  <si>
    <t>+351 292 592 411</t>
  </si>
  <si>
    <t>15€ – 22€</t>
  </si>
  <si>
    <t>Peixe do dia grelhado e caldeiradas simples.</t>
  </si>
  <si>
    <t>Tasca histórica em Flores com azulejo, madeira escura e balcão de pedra. Peixe do dia grelhado e caldeiradas simples. Preços honestos e cozinha de tacho. A partir de 15€.</t>
  </si>
  <si>
    <t>O Costa</t>
  </si>
  <si>
    <t>Rua do Porto da Barra, Santa Cruz</t>
  </si>
  <si>
    <t>+351 295 712 214</t>
  </si>
  <si>
    <t>Mestre no peixe-espada e nas lapas.</t>
  </si>
  <si>
    <t>O Costa em Graciosa, especializado em peixe e marisco do dia. Mestre no peixe-espada e nas lapas. Junto ao porto de pesca ou à costa atlântica. 18€ – 28€.</t>
  </si>
  <si>
    <t>Garfo d'Ouro</t>
  </si>
  <si>
    <t>Rua Teófilo Braga, Vila do Porto</t>
  </si>
  <si>
    <t>+351 296 882 321</t>
  </si>
  <si>
    <t>Sopa de Peixe de Santa Maria.</t>
  </si>
  <si>
    <t>Garfo d'Ouro em Santa Maria, especializado em peixe e marisco do dia. Sopa de Peixe de Santa Maria. Junto ao porto de pesca ou à costa atlântica. 18€ – 28€.</t>
  </si>
  <si>
    <t>Ponta da Ilha</t>
  </si>
  <si>
    <t>Caminho da Ponta da Ilha, Piedade</t>
  </si>
  <si>
    <t>+351 292 666 144</t>
  </si>
  <si>
    <t>Peixe fresquíssimo e marisco no extremo este.</t>
  </si>
  <si>
    <t>Ponta da Ilha em Pico, especializado em peixe e marisco do dia. Peixe fresquíssimo e marisco no extremo este. Junto ao porto de pesca ou à costa atlântica. 20€ – 35€.</t>
  </si>
  <si>
    <t>Adega Vila Meã</t>
  </si>
  <si>
    <t>Tasca Histórica</t>
  </si>
  <si>
    <t>Rua dos Caldeireiros 62, 4050-137 Porto</t>
  </si>
  <si>
    <t>+351 222 082 123</t>
  </si>
  <si>
    <t>12€ – 18€</t>
  </si>
  <si>
    <t>Bacalhau cozido com grão e rojões.</t>
  </si>
  <si>
    <t>Tasca histórica em Porto com azulejo, madeira escura e balcão de pedra. Bacalhau cozido com grão e rojões. Preços honestos e cozinha de tacho. A partir de 12€.</t>
  </si>
  <si>
    <t>Clássico</t>
  </si>
  <si>
    <t>Rua do Bolhão 95, 4000-112 Porto</t>
  </si>
  <si>
    <t>+351 222 006 717</t>
  </si>
  <si>
    <t>Filetes de pescada com arroz e vitela.</t>
  </si>
  <si>
    <t>O Buraco em Porto — cozinha tradicional portuguesa de tacho e caldeirão. Filetes de pescada com arroz e vitela. Receitas transmitidas de geração em geração. 15€ – 25€.</t>
  </si>
  <si>
    <t>Adega São Nicolau</t>
  </si>
  <si>
    <t>Ribeira</t>
  </si>
  <si>
    <t>Rua de São Nicolau 1, 4050-561 Porto</t>
  </si>
  <si>
    <t>+351 222 008 232</t>
  </si>
  <si>
    <t>Rabo de boi e polvo à lagareiro.</t>
  </si>
  <si>
    <t>Adega São Nicolau em Porto, referência da cozinha atlântica portuguesa. Rabo de boi e polvo à lagareiro. Ementas do dia com peixe fresco e receitas de geração em geração. 20€ – 35€.</t>
  </si>
  <si>
    <t>Tasca da Badalhoca</t>
  </si>
  <si>
    <t>Rua de Alberto de Aires de Gouveia 158</t>
  </si>
  <si>
    <t>+351 226 185 326</t>
  </si>
  <si>
    <t>5€ – 12€</t>
  </si>
  <si>
    <t>Sandes de presunto com ovo e vinho tinto.</t>
  </si>
  <si>
    <t>Tasca histórica em Porto com azulejo, madeira escura e balcão de pedra. Sandes de presunto com ovo e vinho tinto. Preços honestos e cozinha de tacho. A partir de 5€.</t>
  </si>
  <si>
    <t>DOC (Rui Paula)</t>
  </si>
  <si>
    <t>Alta Gastronomia</t>
  </si>
  <si>
    <t>Estrada Nacional 222, Folgosa</t>
  </si>
  <si>
    <t>+351 254 858 123</t>
  </si>
  <si>
    <t>60€ – 120€</t>
  </si>
  <si>
    <t>Reinterpretação moderna dos sabores durienses.</t>
  </si>
  <si>
    <t>DOC (Rui Paula) em Douro — Reinterpretação moderna dos sabores durienses. Cozinha portuguesa com ingredientes regionais e ambiente familiar. 60€ – 120€.</t>
  </si>
  <si>
    <t>O Gato do Rio</t>
  </si>
  <si>
    <t>Estrada Nacional 101, Braga</t>
  </si>
  <si>
    <t>+351 253 678 123</t>
  </si>
  <si>
    <t>20€ – 30€</t>
  </si>
  <si>
    <t>Bacalhau à Narcisa e Cabrito no forno a lenha.</t>
  </si>
  <si>
    <t>O Gato do Rio em Braga, referência da cozinha atlântica portuguesa. Bacalhau à Narcisa e Cabrito no forno a lenha. Ementas do dia com peixe fresco e receitas de geração em geração. 20€ – 30€.</t>
  </si>
  <si>
    <t>Solar do Bacalhau</t>
  </si>
  <si>
    <t>Rua da Rainha 21, Guimarães</t>
  </si>
  <si>
    <t>+351 253 414 444</t>
  </si>
  <si>
    <t>Versatilidade do bacalhau em ambiente elegante.</t>
  </si>
  <si>
    <t>Solar do Bacalhau em Guimarães, referência da cozinha atlântica portuguesa. Versatilidade do bacalhau em ambiente elegante. Ementas do dia com peixe fresco e receitas de geração em geração. 20€ – 35€.</t>
  </si>
  <si>
    <t>Adega do Malheiro</t>
  </si>
  <si>
    <t>Tasca Típica</t>
  </si>
  <si>
    <t>Rua do Malheiro, Viana do Castelo</t>
  </si>
  <si>
    <t>+351 258 823 410</t>
  </si>
  <si>
    <t>Vinhos, petiscos minhotos e presunto.</t>
  </si>
  <si>
    <t>Tasca histórica em Viana do Castelo com azulejo, madeira escura e balcão de pedra. Vinhos, petiscos minhotos e presunto. Preços honestos e cozinha de tacho. A partir de 15€.</t>
  </si>
  <si>
    <t>O Solar braccini</t>
  </si>
  <si>
    <t>Rua da República 110, Bragança</t>
  </si>
  <si>
    <t>+351 273 323 124</t>
  </si>
  <si>
    <t>Templo da Posta Mirandesa de alta qualidade.</t>
  </si>
  <si>
    <t>O Solar braccini em Bragança — Templo da Posta Mirandesa de alta qualidade. Cozinha portuguesa com ingredientes regionais e ambiente familiar. 25€ – 40€.</t>
  </si>
  <si>
    <t>A Talha</t>
  </si>
  <si>
    <t>Rua de Santo António, Chaves</t>
  </si>
  <si>
    <t>+351 276 322 144</t>
  </si>
  <si>
    <t>Fumeiro, pastéis de Chaves e bacalhau com broa.</t>
  </si>
  <si>
    <t>A Talha em Chaves, referência da cozinha atlântica portuguesa. Fumeiro, pastéis de Chaves e bacalhau com broa. Ementas do dia com peixe fresco e receitas de geração em geração. 20€ – 30€.</t>
  </si>
  <si>
    <t>Abadia do Porto</t>
  </si>
  <si>
    <t>Instituição</t>
  </si>
  <si>
    <t>Rua do Ateneu Comercial do Porto 22</t>
  </si>
  <si>
    <t>+351 222 002 764</t>
  </si>
  <si>
    <t>Bacalhau à Gomes de Sá e Tripas.</t>
  </si>
  <si>
    <t>Abadia do Porto em Porto, referência da cozinha atlântica portuguesa. Bacalhau à Gomes de Sá e Tripas. Ementas do dia com peixe fresco e receitas de geração em geração. 25€ – 40€.</t>
  </si>
  <si>
    <t>Casa Aleixo</t>
  </si>
  <si>
    <t>Rua da Estação 216, 4300-430 Porto</t>
  </si>
  <si>
    <t>+351 225 370 462</t>
  </si>
  <si>
    <t>Filetes de Polvo com arroz do mesmo.</t>
  </si>
  <si>
    <t>Casa Aleixo em Porto, referência da cozinha atlântica portuguesa. Filetes de Polvo com arroz do mesmo. Ementas do dia com peixe fresco e receitas de geração em geração. 20€ – 35€.</t>
  </si>
  <si>
    <t>Rogério do Redondo</t>
  </si>
  <si>
    <t>Cozinha Burguesa</t>
  </si>
  <si>
    <t>Rua de Rodrigues de Freitas 438, Porto</t>
  </si>
  <si>
    <t>+351 225 362 215</t>
  </si>
  <si>
    <t>35€ – 55€</t>
  </si>
  <si>
    <t>Galo de cabidela ou rabo de boi.</t>
  </si>
  <si>
    <t>Rogério do Redondo em Porto — Galo de cabidela ou rabo de boi. Cozinha portuguesa com ingredientes regionais e ambiente familiar. 35€ – 55€.</t>
  </si>
  <si>
    <t>Tasca do Zé Tacho</t>
  </si>
  <si>
    <t>Tasca de Bairro</t>
  </si>
  <si>
    <t>Rua do Almada 511, Porto</t>
  </si>
  <si>
    <t>+351 222 080 342</t>
  </si>
  <si>
    <t>Arroz de feijão com pataniscas e petiscos.</t>
  </si>
  <si>
    <t>Tasca histórica em Porto com azulejo, madeira escura e balcão de pedra. Arroz de feijão com pataniscas e petiscos. Preços honestos e cozinha de tacho. A partir de 15€.</t>
  </si>
  <si>
    <t>Conga</t>
  </si>
  <si>
    <t>As Bifanas</t>
  </si>
  <si>
    <t>Rua do Bonjardim 314, Porto</t>
  </si>
  <si>
    <t>+351 222 000 119</t>
  </si>
  <si>
    <t>Bifanas picantes em molho especial.</t>
  </si>
  <si>
    <t>Conga em Porto — Bifanas picantes em molho especial. Cozinha portuguesa com ingredientes regionais e ambiente familiar. 5€ – 12€.</t>
  </si>
  <si>
    <t>Pedra Furada</t>
  </si>
  <si>
    <t>Rua da Pedra Furada 1, Barcelos</t>
  </si>
  <si>
    <t>+351 253 813 146</t>
  </si>
  <si>
    <t>Onde o Galo de Barcelos assado é levado a sério.</t>
  </si>
  <si>
    <t>Pedra Furada em Barcelos — Onde o Galo de Barcelos assado é levado a sério. Cozinha portuguesa com ingredientes regionais e ambiente familiar. 20€ – 30€.</t>
  </si>
  <si>
    <t>São Gião</t>
  </si>
  <si>
    <t>Cozinha de Tacho</t>
  </si>
  <si>
    <t>Avenida de São Gião, Guimarães</t>
  </si>
  <si>
    <t>+351 253 561 853</t>
  </si>
  <si>
    <t>Moreira Cónegos</t>
  </si>
  <si>
    <t>Alta cozinha, cabrito e arroz de pato.</t>
  </si>
  <si>
    <t>São Gião em Moreira Cónegos, especialidade em caça e carnes do campo. Alta cozinha, cabrito e arroz de pato. Temporada de outono-inverno. Ambiente rústico e autêntico. 35€ – 55€.</t>
  </si>
  <si>
    <t>Francesinha</t>
  </si>
  <si>
    <t>Rua Cónego Rafael Álvares da Costa, Braga</t>
  </si>
  <si>
    <t>+351 253 044 705</t>
  </si>
  <si>
    <t>Francesinha com molho adocicado e cremoso.</t>
  </si>
  <si>
    <t>Taberna Belga em Braga — Francesinha com molho adocicado e cremoso. Cozinha portuguesa com ingredientes regionais e ambiente familiar. 15€ – 22€.</t>
  </si>
  <si>
    <t>Camelo</t>
  </si>
  <si>
    <t>Estrada de Santa Marta 119, Portuzelo</t>
  </si>
  <si>
    <t>+351 258 839 090</t>
  </si>
  <si>
    <t>Arroz de Pica no Chão e Sarrabulho.</t>
  </si>
  <si>
    <t>Camelo em Viana do Castelo — cozinha tradicional portuguesa de tacho e caldeirão. Arroz de Pica no Chão e Sarrabulho. Receitas transmitidas de geração em geração. 20€ – 35€.</t>
  </si>
  <si>
    <t>A Lareira</t>
  </si>
  <si>
    <t>Avenida da Senhora do Caminho, Mogadouro</t>
  </si>
  <si>
    <t>+351 279 342 363</t>
  </si>
  <si>
    <t>Vitela Mirandesa e enchidos tradicionais.</t>
  </si>
  <si>
    <t>A Lareira em Mogadouro — Vitela Mirandesa e enchidos tradicionais. Cozinha portuguesa com ingredientes regionais e ambiente familiar. 20€ – 30€.</t>
  </si>
  <si>
    <t>O Tonel</t>
  </si>
  <si>
    <t>Rua da Saudade 6, Miranda do Douro</t>
  </si>
  <si>
    <t>+351 273 431 244</t>
  </si>
  <si>
    <t>Posta Mirandesa e bacalhau à moda da casa.</t>
  </si>
  <si>
    <t>O Tonel em Miranda do Douro, referência da cozinha atlântica portuguesa. Posta Mirandesa e bacalhau à moda da casa. Ementas do dia com peixe fresco e receitas de geração em geração. 20€ – 35€.</t>
  </si>
  <si>
    <t>Churrasqueira Nac.</t>
  </si>
  <si>
    <t>Rua de Santa Sofia 24, Vila Real</t>
  </si>
  <si>
    <t>+351 259 323 456</t>
  </si>
  <si>
    <t>Famosa pelas Tripas aos Molhos.</t>
  </si>
  <si>
    <t>Churrasqueira Nac. em Vila Real — Famosa pelas Tripas aos Molhos. Cozinha portuguesa com ingredientes regionais e ambiente familiar. 15€ – 25€.</t>
  </si>
  <si>
    <t>Moderno</t>
  </si>
  <si>
    <t>Rua Madame Brouillard (Estação), Vila Real</t>
  </si>
  <si>
    <t>+351 259 351 209</t>
  </si>
  <si>
    <t>Cozinha de autor (maronês e bacalhau).</t>
  </si>
  <si>
    <t>Cais da Villa em Vila Real, referência da cozinha atlântica portuguesa. Cozinha de autor (maronês e bacalhau). Ementas do dia com peixe fresco e receitas de geração em geração. 25€ – 45€.</t>
  </si>
  <si>
    <t>Tio Pepe</t>
  </si>
  <si>
    <t>Rua do Passeio Alegre 258, Porto</t>
  </si>
  <si>
    <t>+351 226 181 314</t>
  </si>
  <si>
    <t>Foz do Douro</t>
  </si>
  <si>
    <t>Bacalhau à Braga e carnes premium.</t>
  </si>
  <si>
    <t>Tio Pepe em Foz do Douro, referência da cozinha atlântica portuguesa. Bacalhau à Braga e carnes premium. Ementas do dia com peixe fresco e receitas de geração em geração. 35€ – 55€.</t>
  </si>
  <si>
    <t>Cozinha da Terra</t>
  </si>
  <si>
    <t>Forno a Lenha</t>
  </si>
  <si>
    <t>Louredo, 4580-583 Paredes</t>
  </si>
  <si>
    <t>+351 255 782 144</t>
  </si>
  <si>
    <t>30€ – 45€</t>
  </si>
  <si>
    <t>Cabrito assado em forno de lenha em casa de pedra.</t>
  </si>
  <si>
    <t>Cozinha da Terra em Paredes, especialidade em caça e carnes do campo. Cabrito assado em forno de lenha em casa de pedra. Temporada de outono-inverno. Ambiente rústico e autêntico. 30€ – 45€.</t>
  </si>
  <si>
    <t>Taberna do Largo</t>
  </si>
  <si>
    <t>Vinhos</t>
  </si>
  <si>
    <t>Largo de São Domingos 69, Porto</t>
  </si>
  <si>
    <t>+351 222 080 544</t>
  </si>
  <si>
    <t>Vinhos de pequenos produtores, queijos e enchidos.</t>
  </si>
  <si>
    <t>Taberna do Largo em Porto — Vinhos de pequenos produtores, queijos e enchidos. Cozinha portuguesa com ingredientes regionais e ambiente familiar. 15€ – 25€.</t>
  </si>
  <si>
    <t>Típico</t>
  </si>
  <si>
    <t>Rua de Santa Maria, Guimarães</t>
  </si>
  <si>
    <t>+351 253 514 144</t>
  </si>
  <si>
    <t>Petiscos vimaranenses em ambiente medieval.</t>
  </si>
  <si>
    <t>Tasca do Joel em Guimarães — Petiscos vimaranenses em ambiente medieval. Cozinha portuguesa com ingredientes regionais e ambiente familiar. 15€ – 22€.</t>
  </si>
  <si>
    <t>Restaurante Deolinda</t>
  </si>
  <si>
    <t>Rio</t>
  </si>
  <si>
    <t>Porto de Azambuja, 2050-305 Azambuja</t>
  </si>
  <si>
    <t>+351 263 402 114</t>
  </si>
  <si>
    <t>Azambuja</t>
  </si>
  <si>
    <t>Caldeirada de peixe do rio soalheira.</t>
  </si>
  <si>
    <t>Restaurante Deolinda em Azambuja — Caldeirada de peixe do rio soalheira. Cozinha portuguesa com ingredientes regionais e ambiente familiar. 18€ – 28€.</t>
  </si>
  <si>
    <t xml:space="preserve">  🟨  CENTRO  ·  98 entradas</t>
  </si>
  <si>
    <t>Zé Manel dos Ossos</t>
  </si>
  <si>
    <t>Tasca Mítica</t>
  </si>
  <si>
    <t>Beco do Forno 12, 3000-192 Coimbra</t>
  </si>
  <si>
    <t>+351 239 823 790</t>
  </si>
  <si>
    <t>12€ – 15€</t>
  </si>
  <si>
    <t>Famosos ossos e arroz de feijão.</t>
  </si>
  <si>
    <t>Tasca histórica em Coimbra com azulejo, madeira escura e balcão de pedra. Famosos ossos e arroz de feijão. Preços honestos e cozinha de tacho. A partir de 12€.</t>
  </si>
  <si>
    <t>Taberna de Portugal</t>
  </si>
  <si>
    <t>Rua de Baixo 11, 3040-242 Coimbra</t>
  </si>
  <si>
    <t>+351 911 500 699</t>
  </si>
  <si>
    <t>Focado na partilha de sabores tradicionais.</t>
  </si>
  <si>
    <t>Tasca histórica em Coimbra com azulejo, madeira escura e balcão de pedra. Focado na partilha de sabores tradicionais. Preços honestos e cozinha de tacho. A partir de 15€.</t>
  </si>
  <si>
    <t>Restaurante Sete</t>
  </si>
  <si>
    <t>Cozinha de Autor</t>
  </si>
  <si>
    <t>Rua Dr. Martins de Carvalho 10, Coimbra</t>
  </si>
  <si>
    <t>+351 919 138 777</t>
  </si>
  <si>
    <t>25€ – 35€</t>
  </si>
  <si>
    <t>Pratos clássicos reinterpretados.</t>
  </si>
  <si>
    <t>Restaurante Sete em Coimbra — Pratos clássicos reinterpretados. Cozinha portuguesa com ingredientes regionais e ambiente familiar. 25€ – 35€.</t>
  </si>
  <si>
    <t>O Burgo</t>
  </si>
  <si>
    <t>Regional/Caça</t>
  </si>
  <si>
    <t>Senhora da Piedade, Lousã</t>
  </si>
  <si>
    <t>+351 239 991 162</t>
  </si>
  <si>
    <t>Especialista em javali com castanhas e veado.</t>
  </si>
  <si>
    <t>O Burgo em Lousã, casa de comidas de montanha com lareira e pedra à vista. Especialista em javali com castanhas e veado. Ambiente de aldeia e produtos da caça e da criação local. 20€ – 30€.</t>
  </si>
  <si>
    <t>Ti'Augusta</t>
  </si>
  <si>
    <t>Aldeias do Xisto</t>
  </si>
  <si>
    <t>Aldeia de Casal de São Simão</t>
  </si>
  <si>
    <t>+351 236 551 127</t>
  </si>
  <si>
    <t>18€ – 25€</t>
  </si>
  <si>
    <t>Sabores serranos autênticos.</t>
  </si>
  <si>
    <t>Ti'Augusta em Figueiró dos Vinhos, casa de comidas de montanha com lareira e pedra à vista. Sabores serranos autênticos. Ambiente de aldeia e produtos da caça e da criação local. 18€ – 25€.</t>
  </si>
  <si>
    <t>O Cortiço</t>
  </si>
  <si>
    <t>Rua Augusto Hilário 45, 3500-089 Viseu</t>
  </si>
  <si>
    <t>+351 232 416 127</t>
  </si>
  <si>
    <t>Arroz de Carqueja e Polvo à Lagareiro.</t>
  </si>
  <si>
    <t>Tasca histórica em Viseu com azulejo, madeira escura e balcão de pedra. Arroz de Carqueja e Polvo à Lagareiro. Preços honestos e cozinha de tacho. A partir de 30€.</t>
  </si>
  <si>
    <t>Mesa de Lemos</t>
  </si>
  <si>
    <t>Estrela Michelin</t>
  </si>
  <si>
    <t>Quinta de Lemos, Passos de Silgueiros</t>
  </si>
  <si>
    <t>+351 961 158 503</t>
  </si>
  <si>
    <t>80€ – 150€</t>
  </si>
  <si>
    <t>Alta gastronomia sustentável.</t>
  </si>
  <si>
    <t>Mesa de Lemos em Viseu — alta gastronomia portuguesa com Estrela Michelin. Alta gastronomia sustentável. Ingredientes de terroir, harmonização e experiência de autor. Reserva obrigatória. 80€ – 150€.</t>
  </si>
  <si>
    <t>Santa Luzia</t>
  </si>
  <si>
    <t>EN2, Campo, Viseu</t>
  </si>
  <si>
    <t>+351 232 459 321</t>
  </si>
  <si>
    <t>Bacalhau à Santa Luzia e Cabrito assado.</t>
  </si>
  <si>
    <t>Santa Luzia em Viseu, referência da cozinha atlântica portuguesa. Bacalhau à Santa Luzia e Cabrito assado. Ementas do dia com peixe fresco e receitas de geração em geração. 25€ – 35€.</t>
  </si>
  <si>
    <t>O Albertino</t>
  </si>
  <si>
    <t>Famoso Menu Fixo</t>
  </si>
  <si>
    <t>Rua do Castelo, Folgosinho, Gouveia</t>
  </si>
  <si>
    <t>+351 238 745 266</t>
  </si>
  <si>
    <t>Menu fixo com queijo, leitão, cabrito e javali.</t>
  </si>
  <si>
    <t>O Albertino em Gouveia, especialidade em caça e carnes do campo. Menu fixo com queijo, leitão, cabrito e javali. Temporada de outono-inverno. Ambiente rústico e autêntico. 25€.</t>
  </si>
  <si>
    <t>Vallécula</t>
  </si>
  <si>
    <t>Rústico/Adega</t>
  </si>
  <si>
    <t>Praça Dr. José de Castro 1, Valhelhas</t>
  </si>
  <si>
    <t>+351 275 487 123</t>
  </si>
  <si>
    <t>Especialista em gastronomia de montanha.</t>
  </si>
  <si>
    <t>Vallécula em Guarda — Especialista em gastronomia de montanha. Cozinha portuguesa com ingredientes regionais e ambiente familiar. 25€ – 40€.</t>
  </si>
  <si>
    <t>Tia Alice</t>
  </si>
  <si>
    <t>Emblemático</t>
  </si>
  <si>
    <t>Rua do Adro 4, 2495-402 Fátima</t>
  </si>
  <si>
    <t>+351 249 531 737</t>
  </si>
  <si>
    <t>35€ – 50€</t>
  </si>
  <si>
    <t>Arroz de Pato e Bacalhau com Grão.</t>
  </si>
  <si>
    <t>Tia Alice em Fátima, referência da cozinha atlântica portuguesa. Arroz de Pato e Bacalhau com Grão. Ementas do dia com peixe fresco e receitas de geração em geração. 35€ – 50€.</t>
  </si>
  <si>
    <t>O Manjar do Marquês</t>
  </si>
  <si>
    <t>Paragem Obrigatória</t>
  </si>
  <si>
    <t>Estrada Nacional 1, Pombal (IC2)</t>
  </si>
  <si>
    <t>+351 236 209 610</t>
  </si>
  <si>
    <t>Pombal</t>
  </si>
  <si>
    <t>Arroz de Tomate com Pataniscas.</t>
  </si>
  <si>
    <t>O Manjar do Marquês em Pombal — cozinha tradicional portuguesa de tacho e caldeirão. Arroz de Tomate com Pataniscas. Receitas transmitidas de geração em geração. 20€ – 30€.</t>
  </si>
  <si>
    <t>Casinha Velha</t>
  </si>
  <si>
    <t>Cozinha de Conforto</t>
  </si>
  <si>
    <t>Rua de Chãos 6, Marrazes, Leiria</t>
  </si>
  <si>
    <t>+351 244 854 813</t>
  </si>
  <si>
    <t>Pratos tradicionais de tacho e forno.</t>
  </si>
  <si>
    <t>Casinha Velha em Leiria — Pratos tradicionais de tacho e forno. Cozinha portuguesa com ingredientes regionais e ambiente familiar. 25€ – 40€.</t>
  </si>
  <si>
    <t>Ferro em Brasa</t>
  </si>
  <si>
    <t>Carnes</t>
  </si>
  <si>
    <t>Rua da Imac. Conceição 70, Barreira</t>
  </si>
  <si>
    <t>+351 244 215 996</t>
  </si>
  <si>
    <t>30€ – 50€</t>
  </si>
  <si>
    <t>Carnes maturadas e cortes premium.</t>
  </si>
  <si>
    <t>Ferro em Brasa em Leiria — Carnes maturadas e cortes premium. Cozinha portuguesa com ingredientes regionais e ambiente familiar. 30€ – 50€.</t>
  </si>
  <si>
    <t>Salpoente</t>
  </si>
  <si>
    <t>Gastronomia de Sal</t>
  </si>
  <si>
    <t>Canal de São Roque 82, 3800-256 Aveiro</t>
  </si>
  <si>
    <t>+351 234 382 610</t>
  </si>
  <si>
    <t>40€ – 70€</t>
  </si>
  <si>
    <t>Templo do Bacalhau em antigas salinas.</t>
  </si>
  <si>
    <t>Salpoente em Aveiro, referência da cozinha atlântica portuguesa. Templo do Bacalhau em antigas salinas. Ementas do dia com peixe fresco e receitas de geração em geração. 40€ – 70€.</t>
  </si>
  <si>
    <t>O Batel</t>
  </si>
  <si>
    <t>Tradicional Aveirense</t>
  </si>
  <si>
    <t>Travessa da Praça do Peixe 4, Aveiro</t>
  </si>
  <si>
    <t>+351 234 429 550</t>
  </si>
  <si>
    <t>Caldeirada de enguias e peixe do dia.</t>
  </si>
  <si>
    <t>O Batel em Aveiro — Caldeirada de enguias e peixe do dia. Cozinha portuguesa com ingredientes regionais e ambiente familiar. 20€ – 30€.</t>
  </si>
  <si>
    <t>Rua Adrião Batalha 54, Nazaré</t>
  </si>
  <si>
    <t>+351 262 551 924</t>
  </si>
  <si>
    <t>Peixe e o arroz de marisco são reis.</t>
  </si>
  <si>
    <t>A Tasquinha em Nazaré — cozinha tradicional portuguesa de tacho e caldeirão. Peixe e o arroz de marisco são reis. Receitas transmitidas de geração em geração. 18€ – 28€.</t>
  </si>
  <si>
    <t>Varanda da Estrela</t>
  </si>
  <si>
    <t>Cozinha Serrana</t>
  </si>
  <si>
    <t>Penhas da Saúde, Covilhã</t>
  </si>
  <si>
    <t>+351 275 310 300</t>
  </si>
  <si>
    <t>Arroz de zimbro e pratos de caça.</t>
  </si>
  <si>
    <t>Varanda da Estrela em Covilhã, casa de comidas de montanha com lareira e pedra à vista. Arroz de zimbro e pratos de caça. Ambiente de aldeia e produtos da caça e da criação local. 20€ – 35€.</t>
  </si>
  <si>
    <t>Cabra Preta</t>
  </si>
  <si>
    <t>Rua de Santa Maria 41, Castelo Branco</t>
  </si>
  <si>
    <t>+351 272 322 312</t>
  </si>
  <si>
    <t>Pernil de Porco no forno mítico na região.</t>
  </si>
  <si>
    <t>Cabra Preta em Castelo Branco — Pernil de Porco no forno mítico na região. Cozinha portuguesa com ingredientes regionais e ambiente familiar. 20€ – 30€.</t>
  </si>
  <si>
    <t>O Fiado</t>
  </si>
  <si>
    <t>Aldeia de Xisto</t>
  </si>
  <si>
    <t>Rua da Igreja, Janeiro de Cima</t>
  </si>
  <si>
    <t>+351 272 748 105</t>
  </si>
  <si>
    <t>Janeiro de Cima</t>
  </si>
  <si>
    <t>Maranho e Cabrito em rede de aldeias.</t>
  </si>
  <si>
    <t>O Fiado em Janeiro de Cima, casa de comidas de montanha com lareira e pedra à vista. Maranho e Cabrito em rede de aldeias. Ambiente de aldeia e produtos da caça e da criação local. 18€ – 25€.</t>
  </si>
  <si>
    <t>Restaurante Muralhas</t>
  </si>
  <si>
    <t>Largo da Corredoura, Sortelha</t>
  </si>
  <si>
    <t>+351 271 388 128</t>
  </si>
  <si>
    <t>Sortelha</t>
  </si>
  <si>
    <t>Pratos de javali e sopas de pão.</t>
  </si>
  <si>
    <t>Restaurante Muralhas em Sortelha, especialidade em caça e carnes do campo. Pratos de javali e sopas de pão. Temporada de outono-inverno. Ambiente rústico e autêntico. 15€ – 25€.</t>
  </si>
  <si>
    <t>Rua da Sota 12, Coimbra</t>
  </si>
  <si>
    <t>+351 239 823 031</t>
  </si>
  <si>
    <t>Múltiplas receitas de bacalhau.</t>
  </si>
  <si>
    <t>Solar do Bacalhau em Coimbra, referência da cozinha atlântica portuguesa. Múltiplas receitas de bacalhau. Ementas do dia com peixe fresco e receitas de geração em geração. 20€ – 35€.</t>
  </si>
  <si>
    <t>Dux Petiscos e Vinhos</t>
  </si>
  <si>
    <t>Taberna Moderna</t>
  </si>
  <si>
    <t>Rua Dr. Manuel Rodrigues 37, Coimbra</t>
  </si>
  <si>
    <t>+351 239 092 188</t>
  </si>
  <si>
    <t>Petiscos gourmet e excelente garrafeira.</t>
  </si>
  <si>
    <t>Tasca histórica em Coimbra com azulejo, madeira escura e balcão de pedra. Petiscos gourmet e excelente garrafeira. Preços honestos e cozinha de tacho. A partir de 20€.</t>
  </si>
  <si>
    <t>O Hilário</t>
  </si>
  <si>
    <t>Rua Augusto Hilário 33, Viseu</t>
  </si>
  <si>
    <t>+351 232 423 371</t>
  </si>
  <si>
    <t>12€ – 20€</t>
  </si>
  <si>
    <t>Comida caseira e ambiente bairrista.</t>
  </si>
  <si>
    <t>Tasca histórica em Viseu com azulejo, madeira escura e balcão de pedra. Comida caseira e ambiente bairrista. Preços honestos e cozinha de tacho. A partir de 12€.</t>
  </si>
  <si>
    <t>Adega do Albertino</t>
  </si>
  <si>
    <t>+351 262 959 550</t>
  </si>
  <si>
    <t>Cozinha de forno a lenha em ambiente medieval.</t>
  </si>
  <si>
    <t>Adega do Albertino em Óbidos — Cozinha de forno a lenha em ambiente medieval. Cozinha portuguesa com ingredientes regionais e ambiente familiar. 15€ – 22€.</t>
  </si>
  <si>
    <t>Restaurante Dom José</t>
  </si>
  <si>
    <t>Clássico do Oeste</t>
  </si>
  <si>
    <t>Rua do Comércio 12, Bombarral</t>
  </si>
  <si>
    <t>+351 262 605 137</t>
  </si>
  <si>
    <t>Bombarral</t>
  </si>
  <si>
    <t>Cozinha requintada fiel às raízes regionais.</t>
  </si>
  <si>
    <t>Restaurante Dom José em Bombarral — Cozinha requintada fiel às raízes regionais. Cozinha portuguesa com ingredientes regionais e ambiente familiar. 25€ – 40€.</t>
  </si>
  <si>
    <t>O Bairro</t>
  </si>
  <si>
    <t>Largo da Praça do Peixe 24, Aveiro</t>
  </si>
  <si>
    <t>+351 234 338 567</t>
  </si>
  <si>
    <t>Cozinha criativa com produtos da lota.</t>
  </si>
  <si>
    <t>O Bairro em Aveiro — Cozinha criativa com produtos da lota. Cozinha portuguesa com ingredientes regionais e ambiente familiar. 20€ – 35€.</t>
  </si>
  <si>
    <t>Adega Típica da Lousã</t>
  </si>
  <si>
    <t>Rua Dr. João Santos 10, Lousã</t>
  </si>
  <si>
    <t>+351 239 993 118</t>
  </si>
  <si>
    <t>Chanfana e o Talasnico (doce típico).</t>
  </si>
  <si>
    <t>Adega Típica da Lousã em Lousã — Chanfana e o Talasnico (doce típico). Cozinha portuguesa com ingredientes regionais e ambiente familiar. 15€ – 25€.</t>
  </si>
  <si>
    <t>A Gordinha</t>
  </si>
  <si>
    <t>Panorâmico</t>
  </si>
  <si>
    <t>Pederneira, Nazaré</t>
  </si>
  <si>
    <t>+351 262 553 083</t>
  </si>
  <si>
    <t>Grelhados honestos com vista sobre a baía.</t>
  </si>
  <si>
    <t>A Gordinha em Nazaré — Grelhados honestos com vista sobre a baía. Cozinha portuguesa com ingredientes regionais e ambiente familiar. 15€ – 25€.</t>
  </si>
  <si>
    <t>O Talasnal</t>
  </si>
  <si>
    <t>Aldeia de Xisto do Talasnal</t>
  </si>
  <si>
    <t>+351 917 568 238</t>
  </si>
  <si>
    <t>12€ – 22€</t>
  </si>
  <si>
    <t>Petiscos serranos numa aldeia icónica.</t>
  </si>
  <si>
    <t>O Talasnal em Lousã — Petiscos serranos numa aldeia icónica. Cozinha portuguesa com ingredientes regionais e ambiente familiar. 12€ – 22€.</t>
  </si>
  <si>
    <t>Restaurante o Telheiro</t>
  </si>
  <si>
    <t>Braseiro</t>
  </si>
  <si>
    <t>Rua do Carmo 64, Aveiro</t>
  </si>
  <si>
    <t>+351 234 425 214</t>
  </si>
  <si>
    <t>Mestre nos grelhados, vitela e peixe fresco.</t>
  </si>
  <si>
    <t>Restaurante o Telheiro em Aveiro — Mestre nos grelhados, vitela e peixe fresco. Cozinha portuguesa com ingredientes regionais e ambiente familiar. 18€ – 28€.</t>
  </si>
  <si>
    <t>Adega Machado</t>
  </si>
  <si>
    <t>Marisqueira</t>
  </si>
  <si>
    <t>Rua da Liberdade 8, Buarcos</t>
  </si>
  <si>
    <t>+351 233 425 613</t>
  </si>
  <si>
    <t>Marisco e peixe grelhado em Buarcos.</t>
  </si>
  <si>
    <t>Adega Machado em Figueira da Foz, especializado em peixe e marisco do dia. Marisco e peixe grelhado em Buarcos. Junto ao porto de pesca ou à costa atlântica. 20€ – 35€.</t>
  </si>
  <si>
    <t>O Paparico</t>
  </si>
  <si>
    <t>Rua Grão Vasco, Viseu</t>
  </si>
  <si>
    <t>+351 232 422 250</t>
  </si>
  <si>
    <t>Cozinha beirã autêntica perto da Sé.</t>
  </si>
  <si>
    <t>O Paparico em Viseu — Cozinha beirã autêntica perto da Sé. Cozinha portuguesa com ingredientes regionais e ambiente familiar. 20€ – 30€.</t>
  </si>
  <si>
    <t>Taberna A Lúcia</t>
  </si>
  <si>
    <t>Taberna</t>
  </si>
  <si>
    <t>Rua Direita, Viseu</t>
  </si>
  <si>
    <t>+351 964 123 456</t>
  </si>
  <si>
    <t>Petiscos tradicionais e vinhos do Dão.</t>
  </si>
  <si>
    <t>Tasca histórica em Viseu com azulejo, madeira escura e balcão de pedra. Petiscos tradicionais e vinhos do Dão. Preços honestos e cozinha de tacho. A partir de 15€.</t>
  </si>
  <si>
    <t>Restaurante Panorâmico</t>
  </si>
  <si>
    <t>Monte de São Martinho, Castelo Branco</t>
  </si>
  <si>
    <t>+351 272 349 200</t>
  </si>
  <si>
    <t>Pratos de caça e cabrito de excelente qualidade.</t>
  </si>
  <si>
    <t>Restaurante Panorâmico em Castelo Branco, casa de comidas de montanha com lareira e pedra à vista. Pratos de caça e cabrito de excelente qualidade. Ambiente de aldeia e produtos da caça e da criação local. 25€ – 40€.</t>
  </si>
  <si>
    <t>Solar dos Presuntos</t>
  </si>
  <si>
    <t>EN 18, Vale de Prazeres (Fundão)</t>
  </si>
  <si>
    <t>+351 275 012 345</t>
  </si>
  <si>
    <t>Charcutaria regional e pratos de forno.</t>
  </si>
  <si>
    <t>Solar dos Presuntos em Fundão — Charcutaria regional e pratos de forno. Cozinha portuguesa com ingredientes regionais e ambiente familiar. 20€ – 30€.</t>
  </si>
  <si>
    <t>Vinho de Talha</t>
  </si>
  <si>
    <t>Largo de São Cucufate, Vila de Frades</t>
  </si>
  <si>
    <t>+351 284 441 163</t>
  </si>
  <si>
    <t>Vila de Frades</t>
  </si>
  <si>
    <t>Templo do Vinho de Talha e comida de tacho.</t>
  </si>
  <si>
    <t>Taberna do Adro em Vila de Frades — Templo do Vinho de Talha e comida de tacho. Cozinha portuguesa com ingredientes regionais e ambiente familiar. 20€ – 30€.</t>
  </si>
  <si>
    <t>A Estalagem</t>
  </si>
  <si>
    <t>R. de Espírito Santo, Marvão</t>
  </si>
  <si>
    <t>+351 245 993 111</t>
  </si>
  <si>
    <t>Gastronomia raiana com vista épica.</t>
  </si>
  <si>
    <t>A Estalagem em Marvão — Gastronomia raiana com vista épica. Cozinha portuguesa com ingredientes regionais e ambiente familiar. 20€ – 35€.</t>
  </si>
  <si>
    <t>O Sever</t>
  </si>
  <si>
    <t>Portagem, Marvão</t>
  </si>
  <si>
    <t>+351 245 993 184</t>
  </si>
  <si>
    <t>Bochechas de porco e ensopado de borrego.</t>
  </si>
  <si>
    <t>O Sever em Marvão, especialidade em caça e carnes do campo. Bochechas de porco e ensopado de borrego. Temporada de outono-inverno. Ambiente rústico e autêntico. 20€ – 30€.</t>
  </si>
  <si>
    <t>Moinho de Vento</t>
  </si>
  <si>
    <t>Cozinha Mineira</t>
  </si>
  <si>
    <t>R. 5 de Outubro, Aljustrel</t>
  </si>
  <si>
    <t>+351 284 602 124</t>
  </si>
  <si>
    <t>Espaço rústico acolhedor e comida de tacho.</t>
  </si>
  <si>
    <t>Moinho de Vento em Aljustrel — Espaço rústico acolhedor e comida de tacho. Cozinha portuguesa com ingredientes regionais e ambiente familiar. 20€ – 30€.</t>
  </si>
  <si>
    <t>A Tasca do Celso</t>
  </si>
  <si>
    <t>R. dos Aviadores, V. N. Milfontes</t>
  </si>
  <si>
    <t>+351 283 996 753</t>
  </si>
  <si>
    <t>Garrafeira impressionante e arroz de ligueirão.</t>
  </si>
  <si>
    <t>A Tasca do Celso em V. N. Milfontes — cozinha tradicional portuguesa de tacho e caldeirão. Garrafeira impressionante e arroz de ligueirão. Receitas transmitidas de geração em geração. 30€ – 45€.</t>
  </si>
  <si>
    <t>O Adro da Igreja</t>
  </si>
  <si>
    <t>Largo da Igreja, V. N. Milfontes</t>
  </si>
  <si>
    <t>+351 283 997 161</t>
  </si>
  <si>
    <t>Pratos de peixe fresco com um toque caseiro.</t>
  </si>
  <si>
    <t>O Adro da Igreja em V. N. Milfontes, especializado em peixe e marisco do dia. Pratos de peixe fresco com um toque caseiro. Junto ao porto de pesca ou à costa atlântica. 20€ – 30€.</t>
  </si>
  <si>
    <t>Restaurante A Escola</t>
  </si>
  <si>
    <t>Estrada Nacional 253, Cachopos</t>
  </si>
  <si>
    <t>+351 265 612 816</t>
  </si>
  <si>
    <t>Arroz de Pinhão e Choco frito à moda de Alcácer.</t>
  </si>
  <si>
    <t>Restaurante A Escola em Alcácer do Sal — cozinha tradicional portuguesa de tacho e caldeirão. Arroz de Pinhão e Choco frito à moda de Alcácer. Receitas transmitidas de geração em geração. 25€ – 40€.</t>
  </si>
  <si>
    <t>Dona Bia</t>
  </si>
  <si>
    <t>Regional Litoral</t>
  </si>
  <si>
    <t>Estrada Nacional 253, Torre</t>
  </si>
  <si>
    <t>+351 265 497 557</t>
  </si>
  <si>
    <t>Comporta</t>
  </si>
  <si>
    <t>Arroz de Lingueirão e Pataniscas imperdíveis.</t>
  </si>
  <si>
    <t>Dona Bia em Comporta — cozinha tradicional portuguesa de tacho e caldeirão. Arroz de Lingueirão e Pataniscas imperdíveis. Receitas transmitidas de geração em geração. 30€ – 50€.</t>
  </si>
  <si>
    <t>Museu do Arroz</t>
  </si>
  <si>
    <t>Estrada da Comporta, 7580-610 Comporta</t>
  </si>
  <si>
    <t>+351 265 497 555</t>
  </si>
  <si>
    <t>Antigo descascador. Sofisticação e o melhor arroz.</t>
  </si>
  <si>
    <t>Museu do Arroz em Comporta — cozinha tradicional portuguesa de tacho e caldeirão. Antigo descascador. Sofisticação e o melhor arroz. Receitas transmitidas de geração em geração. 35€ – 55€.</t>
  </si>
  <si>
    <t>Cavalariça</t>
  </si>
  <si>
    <t>Moderno/Trendy</t>
  </si>
  <si>
    <t>Rua do Secador 9, Comporta</t>
  </si>
  <si>
    <t>+351 265 494 618</t>
  </si>
  <si>
    <t>40€ – 65€</t>
  </si>
  <si>
    <t>Cozinha criativa em antigas boxes de cavalos.</t>
  </si>
  <si>
    <t>Cavalariça em Comporta — Cozinha criativa em antigas boxes de cavalos. Cozinha portuguesa com ingredientes regionais e ambiente familiar. 40€ – 65€.</t>
  </si>
  <si>
    <t>A Chaminé</t>
  </si>
  <si>
    <t>Avenida da República 41, Vendas Novas</t>
  </si>
  <si>
    <t>+351 265 805 130</t>
  </si>
  <si>
    <t>10€ – 20€</t>
  </si>
  <si>
    <t>Vendas Novas</t>
  </si>
  <si>
    <t>Bifanas originais e cozinha regional de tacho.</t>
  </si>
  <si>
    <t>A Chaminé em Vendas Novas — Bifanas originais e cozinha regional de tacho. Cozinha portuguesa com ingredientes regionais e ambiente familiar. 10€ – 20€.</t>
  </si>
  <si>
    <t>O Pátio dos Petiscos</t>
  </si>
  <si>
    <t>Petisqueira</t>
  </si>
  <si>
    <t>Largo da Misericórdia, Montemor-o-Novo</t>
  </si>
  <si>
    <t>+351 266 892 110</t>
  </si>
  <si>
    <t>Montemor</t>
  </si>
  <si>
    <t>Pezinhos de coentrada em pátio típico.</t>
  </si>
  <si>
    <t>O Pátio dos Petiscos em Montemor — Pezinhos de coentrada em pátio típico. Cozinha portuguesa com ingredientes regionais e ambiente familiar. 15€ – 22€.</t>
  </si>
  <si>
    <t>Pôr-do-Sol</t>
  </si>
  <si>
    <t>Rua da República 48, Amareleja</t>
  </si>
  <si>
    <t>+351 285 912 344</t>
  </si>
  <si>
    <t>Amareleja</t>
  </si>
  <si>
    <t>Carne de porco de montado na vila mais quente.</t>
  </si>
  <si>
    <t>Pôr-do-Sol em Amareleja — Carne de porco de montado na vila mais quente. Cozinha portuguesa com ingredientes regionais e ambiente familiar. 15€ – 25€.</t>
  </si>
  <si>
    <t>Taberna do Javali</t>
  </si>
  <si>
    <t>Caça</t>
  </si>
  <si>
    <t>Rua Direita 45, Castelo de Vide</t>
  </si>
  <si>
    <t>+351 245 901 324</t>
  </si>
  <si>
    <t>Especialista em javali estufado.</t>
  </si>
  <si>
    <t>Taberna do Javali em Castelo de Vide, casa de comidas de montanha com lareira e pedra à vista. Especialista em javali estufado. Ambiente de aldeia e produtos da caça e da criação local. 18€ – 28€.</t>
  </si>
  <si>
    <t>O Paladin</t>
  </si>
  <si>
    <t>Rua Bartolomeu Álvares Santa 4</t>
  </si>
  <si>
    <t>+351 245 901 241</t>
  </si>
  <si>
    <t>Sopa de Sarapatel e cabrito assado.</t>
  </si>
  <si>
    <t>O Paladin em Castelo de Vide, especialidade em caça e carnes do campo. Sopa de Sarapatel e cabrito assado. Temporada de outono-inverno. Ambiente rústico e autêntico. 20€ – 30€.</t>
  </si>
  <si>
    <t>Pátio da Caça</t>
  </si>
  <si>
    <t>Praça da República 1, Arraiolos</t>
  </si>
  <si>
    <t>+351 266 419 120</t>
  </si>
  <si>
    <t>Empada de Arraiolos, coelho e perdiz.</t>
  </si>
  <si>
    <t>Pátio da Caça em Arraiolos — Empada de Arraiolos, coelho e perdiz. Cozinha portuguesa com ingredientes regionais e ambiente familiar. 20€ – 30€.</t>
  </si>
  <si>
    <t>O Alpendre</t>
  </si>
  <si>
    <t>Rua Batalha de Arraiolos, Arraiolos</t>
  </si>
  <si>
    <t>+351 266 419 014</t>
  </si>
  <si>
    <t>Borrego Assado e o Doce de Arraiolos.</t>
  </si>
  <si>
    <t>O Alpendre em Arraiolos, especialidade em caça e carnes do campo. Borrego Assado e o Doce de Arraiolos. Temporada de outono-inverno. Ambiente rústico e autêntico. 20€ – 35€.</t>
  </si>
  <si>
    <t>Casa do Camilo</t>
  </si>
  <si>
    <t>Estrada de Monte Gordo, V.R.S.A.</t>
  </si>
  <si>
    <t>Arroz de Marisco e peixe grelhado.</t>
  </si>
  <si>
    <t>Casa do Camilo em V. R. Sto. António — cozinha tradicional portuguesa de tacho e caldeirão. Arroz de Marisco e peixe grelhado. Receitas transmitidas de geração em geração. 25€ – 40€.</t>
  </si>
  <si>
    <t>O Infante</t>
  </si>
  <si>
    <t>Praia Verde, Castro Marim</t>
  </si>
  <si>
    <t>+351 281 513 264</t>
  </si>
  <si>
    <t>Cataplanas e vista sobre a mata e mar.</t>
  </si>
  <si>
    <t>O Infante em Castro Marim — Cataplanas e vista sobre a mata e mar. Cozinha portuguesa com ingredientes regionais e ambiente familiar. 30€ – 50€.</t>
  </si>
  <si>
    <t>Adega da Tila</t>
  </si>
  <si>
    <t>Adega</t>
  </si>
  <si>
    <t>Rua da Cabine, Quarteira</t>
  </si>
  <si>
    <t>+351 289 315 281</t>
  </si>
  <si>
    <t>Quarteira</t>
  </si>
  <si>
    <t>Grelhados na brasa (carne e peixe).</t>
  </si>
  <si>
    <t>Adega da Tila em Quarteira — Grelhados na brasa (carne e peixe). Cozinha portuguesa com ingredientes regionais e ambiente familiar. 18€ – 28€.</t>
  </si>
  <si>
    <t>O Luar da Fóia</t>
  </si>
  <si>
    <t>Estrada da Fóia, Monchique</t>
  </si>
  <si>
    <t>+351 282 911 149</t>
  </si>
  <si>
    <t>Assadura de Monchique (porco).</t>
  </si>
  <si>
    <t>O Luar da Fóia em Monchique — Assadura de Monchique (porco). Cozinha portuguesa com ingredientes regionais e ambiente familiar. 20€ – 35€.</t>
  </si>
  <si>
    <t>O Castelo</t>
  </si>
  <si>
    <t>Rua da Escola, Aljezur</t>
  </si>
  <si>
    <t>+351 282 995 106</t>
  </si>
  <si>
    <t>18€ – 30€</t>
  </si>
  <si>
    <t>Batata-doce de Aljezur e peixe do mar.</t>
  </si>
  <si>
    <t>O Castelo em Aljezur — Batata-doce de Aljezur e peixe do mar. Cozinha portuguesa com ingredientes regionais e ambiente familiar. 18€ – 30€.</t>
  </si>
  <si>
    <t>Fim do Mundo</t>
  </si>
  <si>
    <t>Rua do Mercado 4, Vila do Bispo</t>
  </si>
  <si>
    <t>+351 282 639 110</t>
  </si>
  <si>
    <t>Perceves, lulas recheadas e pratos de caça.</t>
  </si>
  <si>
    <t>Fim do Mundo em Vila do Bispo, especialidade em caça e carnes do campo. Perceves, lulas recheadas e pratos de caça. Temporada de outono-inverno. Ambiente rústico e autêntico. 25€ – 40€.</t>
  </si>
  <si>
    <t>Ribeira do Poço</t>
  </si>
  <si>
    <t>Rua da Ribeira do Poço 11, Vila do Bispo</t>
  </si>
  <si>
    <t>+351 282 639 075</t>
  </si>
  <si>
    <t>Peixe assado no forno e arroz de marisco.</t>
  </si>
  <si>
    <t>Ribeira do Poço em Vila do Bispo — cozinha tradicional portuguesa de tacho e caldeirão. Peixe assado no forno e arroz de marisco. Receitas transmitidas de geração em geração. 20€ – 35€.</t>
  </si>
  <si>
    <t>Adega de Vila do Bispo</t>
  </si>
  <si>
    <t>Tasca Castiça</t>
  </si>
  <si>
    <t>Rua do Ribeirinho, Vila do Bispo</t>
  </si>
  <si>
    <t>+351 282 639 212</t>
  </si>
  <si>
    <t>Vinho local e queijo de cabra.</t>
  </si>
  <si>
    <t>Tasca histórica em Vila do Bispo com azulejo, madeira escura e balcão de pedra. Vinho local e queijo de cabra. Preços honestos e cozinha de tacho. A partir de 12€.</t>
  </si>
  <si>
    <t>A Tasca do Petrol</t>
  </si>
  <si>
    <t>Serrano</t>
  </si>
  <si>
    <t>Estrada Nacional 266, Marmelete</t>
  </si>
  <si>
    <t>+351 282 955 117</t>
  </si>
  <si>
    <t>Feijoada de javali e enchidos de Monchique.</t>
  </si>
  <si>
    <t>A Tasca do Petrol em Monchique, casa de comidas de montanha com lareira e pedra à vista. Feijoada de javali e enchidos de Monchique. Ambiente de aldeia e produtos da caça e da criação local. 20€ – 30€.</t>
  </si>
  <si>
    <t>O Camane</t>
  </si>
  <si>
    <t>Vista Rio</t>
  </si>
  <si>
    <t>Rua da Hortinha, Ferragudo</t>
  </si>
  <si>
    <t>+351 282 414 439</t>
  </si>
  <si>
    <t>Arroz de lingueirão e peixe da costa.</t>
  </si>
  <si>
    <t>O Camane em Ferragudo — cozinha tradicional portuguesa de tacho e caldeirão. Arroz de lingueirão e peixe da costa. Receitas transmitidas de geração em geração. 25€ – 40€.</t>
  </si>
  <si>
    <t>Sueste</t>
  </si>
  <si>
    <t>Emblemático Mar</t>
  </si>
  <si>
    <t>Rua da Ribeira, Ferragudo</t>
  </si>
  <si>
    <t>+351 282 414 024</t>
  </si>
  <si>
    <t>Peixe grelhado com garrafeira de prestígio.</t>
  </si>
  <si>
    <t>Sueste em Ferragudo — Peixe grelhado com garrafeira de prestígio. Cozinha portuguesa com ingredientes regionais e ambiente familiar. 35€ – 55€.</t>
  </si>
  <si>
    <t>O Abrigo do Pastor</t>
  </si>
  <si>
    <t>Estrada das Carreiras, Camacha</t>
  </si>
  <si>
    <t>+351 291 922 060</t>
  </si>
  <si>
    <t>Camacha</t>
  </si>
  <si>
    <t>Carnes de caça, coelho e pratos de montanha.</t>
  </si>
  <si>
    <t>O Abrigo do Pastor em Camacha, especialidade em caça e carnes do campo. Carnes de caça, coelho e pratos de montanha. Temporada de outono-inverno. Ambiente rústico e autêntico. 20€ – 35€.</t>
  </si>
  <si>
    <t>A Filha do Mar</t>
  </si>
  <si>
    <t>Vila de São Vicente</t>
  </si>
  <si>
    <t>+351 291 842 165</t>
  </si>
  <si>
    <t>Arroz de marisco e lapas do norte.</t>
  </si>
  <si>
    <t>A Filha do Mar em São Vicente, especializado em peixe e marisco do dia. Arroz de marisco e lapas do norte. Junto ao porto de pesca ou à costa atlântica. 20€ – 30€.</t>
  </si>
  <si>
    <t>Orchard (O Pomar)</t>
  </si>
  <si>
    <t>Sitio do Passo, São Vicente</t>
  </si>
  <si>
    <t>+351 291 842 201</t>
  </si>
  <si>
    <t>Cozinha regional rodeada por vinhas.</t>
  </si>
  <si>
    <t>Orchard (O Pomar) em São Vicente — Cozinha regional rodeada por vinhas. Cozinha portuguesa com ingredientes regionais e ambiente familiar. 15€ – 25€.</t>
  </si>
  <si>
    <t>Casa de Pasto Justiniano</t>
  </si>
  <si>
    <t>Montanha/Ícone</t>
  </si>
  <si>
    <t>Chão da Ribeira, Seixal</t>
  </si>
  <si>
    <t>+351 291 854 174</t>
  </si>
  <si>
    <t>Trutas frescas e Sopa de Couve.</t>
  </si>
  <si>
    <t>Casa de Pasto Justiniano em Seixal — Trutas frescas e Sopa de Couve. Cozinha portuguesa com ingredientes regionais e ambiente familiar. 15€ – 25€.</t>
  </si>
  <si>
    <t>Adega da Ponta do Sol</t>
  </si>
  <si>
    <t>Rua de Santo António, Ponta do Sol</t>
  </si>
  <si>
    <t>+351 291 972 505</t>
  </si>
  <si>
    <t>Carnes na pedra e ambiente rústico.</t>
  </si>
  <si>
    <t>Adega da Ponta do Sol em Ponta do Sol — Carnes na pedra e ambiente rústico. Cozinha portuguesa com ingredientes regionais e ambiente familiar. 20€ – 30€.</t>
  </si>
  <si>
    <t>O Forno</t>
  </si>
  <si>
    <t>Estrada Regional 101, Ponta do Pargo</t>
  </si>
  <si>
    <t>+351 291 872 201</t>
  </si>
  <si>
    <t>Ponta do Pargo</t>
  </si>
  <si>
    <t>Coelho, cabrito e espetada no extremo oeste.</t>
  </si>
  <si>
    <t>O Forno em Ponta do Pargo, especialidade em caça e carnes do campo. Coelho, cabrito e espetada no extremo oeste. Temporada de outono-inverno. Ambiente rústico e autêntico. 15€ – 25€.</t>
  </si>
  <si>
    <t>New Wave</t>
  </si>
  <si>
    <t>Peixe/Surf</t>
  </si>
  <si>
    <t>Frente de Mar, Paul do Mar</t>
  </si>
  <si>
    <t>+351 291 872 414</t>
  </si>
  <si>
    <t>Atum e lulas grelhadas.</t>
  </si>
  <si>
    <t>New Wave em Paul do Mar, especializado em peixe e marisco do dia. Atum e lulas grelhadas. Junto ao porto de pesca ou à costa atlântica. 20€ – 30€.</t>
  </si>
  <si>
    <t>Papo Cheio</t>
  </si>
  <si>
    <t>Grelhados</t>
  </si>
  <si>
    <t>Sítio do Moreno, Santa Cruz</t>
  </si>
  <si>
    <t>+351 291 894 153</t>
  </si>
  <si>
    <t>Espetadas de carne em doses generosas.</t>
  </si>
  <si>
    <t>Papo Cheio em Santa Cruz — Espetadas de carne em doses generosas. Cozinha portuguesa com ingredientes regionais e ambiente familiar. 15€ – 25€.</t>
  </si>
  <si>
    <t>Adega do Pomar</t>
  </si>
  <si>
    <t>Folclore</t>
  </si>
  <si>
    <t>Estrada de Camacha, Largo da Achada</t>
  </si>
  <si>
    <t>+351 291 922 417</t>
  </si>
  <si>
    <t>Pratos típicos com noites de folclore.</t>
  </si>
  <si>
    <t>Adega do Pomar em Camacha — Pratos típicos com noites de folclore. Cozinha portuguesa com ingredientes regionais e ambiente familiar. 20€ – 30€.</t>
  </si>
  <si>
    <t>O Amaro</t>
  </si>
  <si>
    <t>Largo da Matriz 1, Velas</t>
  </si>
  <si>
    <t>+351 295 412 140</t>
  </si>
  <si>
    <t>Amêijoas da Caldeira de Santo Cristo.</t>
  </si>
  <si>
    <t>O Amaro em São Jorge, especializado em peixe e marisco do dia. Amêijoas da Caldeira de Santo Cristo. Junto ao porto de pesca ou à costa atlântica. 20€ – 35€.</t>
  </si>
  <si>
    <t>Sabores da Ilha</t>
  </si>
  <si>
    <t>Regional/Fajãs</t>
  </si>
  <si>
    <t>Manadas, Velas</t>
  </si>
  <si>
    <t>+351 295 414 444</t>
  </si>
  <si>
    <t>Queijo de São Jorge gratinado e carne de pasto.</t>
  </si>
  <si>
    <t>Sabores da Ilha em São Jorge — Queijo de São Jorge gratinado e carne de pasto. Cozinha portuguesa com ingredientes regionais e ambiente familiar. 18€ – 28€.</t>
  </si>
  <si>
    <t>Central Pub</t>
  </si>
  <si>
    <t>Bifaria</t>
  </si>
  <si>
    <t>R. Dr. M. Monteiro Velho Cabral</t>
  </si>
  <si>
    <t>+351 296 882 144</t>
  </si>
  <si>
    <t>Pub histórico com bifes regionais.</t>
  </si>
  <si>
    <t>Central Pub em Santa Maria — Pub histórico com bifes regionais. Cozinha portuguesa com ingredientes regionais e ambiente familiar. 12€ – 20€.</t>
  </si>
  <si>
    <t>Posta</t>
  </si>
  <si>
    <t>Rua da Ponte 1, Gimonde</t>
  </si>
  <si>
    <t>+351 273 382 555</t>
  </si>
  <si>
    <t>Gimonde</t>
  </si>
  <si>
    <t>Posta Mirandesa na brasa e folar transmontano.</t>
  </si>
  <si>
    <t>O Abel em Gimonde — Posta Mirandesa na brasa e folar transmontano. Cozinha portuguesa com ingredientes regionais e ambiente familiar. 25€ – 35€.</t>
  </si>
  <si>
    <t>Rua Roberto Ivens 826, Matosinhos</t>
  </si>
  <si>
    <t>+351 229 374 018</t>
  </si>
  <si>
    <t>35€ – 65€</t>
  </si>
  <si>
    <t>Arroz de Lavagante e marisco fresco.</t>
  </si>
  <si>
    <t>O Gaveto em Matosinhos, especializado em peixe e marisco do dia. Arroz de Lavagante e marisco fresco. Junto ao porto de pesca ou à costa atlântica. 35€ – 65€.</t>
  </si>
  <si>
    <t>Adega Ponte de Lima</t>
  </si>
  <si>
    <t>Sarrabulho</t>
  </si>
  <si>
    <t>Rua Agostinho José Taveira, Ponte de Lima</t>
  </si>
  <si>
    <t>+351 258 943 743</t>
  </si>
  <si>
    <t>Arroz de Sarrabulho com Rojões e vinho verde.</t>
  </si>
  <si>
    <t>Adega Ponte de Lima em Ponte de Lima — cozinha tradicional portuguesa de tacho e caldeirão. Arroz de Sarrabulho com Rojões e vinho verde. Receitas transmitidas de geração em geração. 15€ – 25€.</t>
  </si>
  <si>
    <t>Peso, Melgaço</t>
  </si>
  <si>
    <t>+351 251 414 444</t>
  </si>
  <si>
    <t>Alvarinho, Lampreia e Cabrito do Monte.</t>
  </si>
  <si>
    <t>Adega do Sossego em Melgaço, especialidade em caça e carnes do campo. Alvarinho, Lampreia e Cabrito do Monte. Temporada de outono-inverno. Ambiente rústico e autêntico. 25€ – 40€.</t>
  </si>
  <si>
    <t>O Careto</t>
  </si>
  <si>
    <t>Bísaro</t>
  </si>
  <si>
    <t>Varges, 5320-272 Vinhais</t>
  </si>
  <si>
    <t>+351 273 789 110</t>
  </si>
  <si>
    <t>Porco Bísaro e cozido à transmontana.</t>
  </si>
  <si>
    <t>O Careto em Vinhais — Porco Bísaro e cozido à transmontana. Cozinha portuguesa com ingredientes regionais e ambiente familiar. 20€ – 35€.</t>
  </si>
  <si>
    <t>Casa Pasto O Cardoso</t>
  </si>
  <si>
    <t>Cachena</t>
  </si>
  <si>
    <t>Lugar de Vilar da Veiga, Gerês</t>
  </si>
  <si>
    <t>+351 253 391 144</t>
  </si>
  <si>
    <t>Carne de vaca Cachena tenra e saborosa.</t>
  </si>
  <si>
    <t>Casa Pasto O Cardoso em Gerês — Carne de vaca Cachena tenra e saborosa. Cozinha portuguesa com ingredientes regionais e ambiente familiar. 15€ – 25€.</t>
  </si>
  <si>
    <t>Lurdes Capela</t>
  </si>
  <si>
    <t>Rua do Gerês 34, Gerês</t>
  </si>
  <si>
    <t>+351 253 391 162</t>
  </si>
  <si>
    <t>Vila do Gerês</t>
  </si>
  <si>
    <t>Vitela assada no forno e cozido à portuguesa.</t>
  </si>
  <si>
    <t>Lurdes Capela em Vila do Gerês — Vitela assada no forno e cozido à portuguesa. Cozinha portuguesa com ingredientes regionais e ambiente familiar. 18€ – 28€.</t>
  </si>
  <si>
    <t>O Aquário</t>
  </si>
  <si>
    <t>Avenida da Marginal, Esposende</t>
  </si>
  <si>
    <t>+351 253 965 244</t>
  </si>
  <si>
    <t>Peixe grelhado e marisco com vista Atlântico.</t>
  </si>
  <si>
    <t>O Aquário em Esposende, especializado em peixe e marisco do dia. Peixe grelhado e marisco com vista Atlântico. Junto ao porto de pesca ou à costa atlântica. 25€ – 45€.</t>
  </si>
  <si>
    <t>Adega Reg. Bairrada</t>
  </si>
  <si>
    <t>Leitão</t>
  </si>
  <si>
    <t>Rua de Camões 124, Gaia</t>
  </si>
  <si>
    <t>+351 223 751 144</t>
  </si>
  <si>
    <t>Vila Nova Gaia</t>
  </si>
  <si>
    <t>O melhor leitão assado fora da Bairrada.</t>
  </si>
  <si>
    <t>Adega Reg. Bairrada em Vila Nova Gaia — O melhor leitão assado fora da Bairrada. Cozinha portuguesa com ingredientes regionais e ambiente familiar. 20€ – 30€.</t>
  </si>
  <si>
    <t>O Toucinho</t>
  </si>
  <si>
    <t>Rua de Coruche 105, Almeirim</t>
  </si>
  <si>
    <t>+351 243 592 244</t>
  </si>
  <si>
    <t>O berço da Sopa de Pedra.</t>
  </si>
  <si>
    <t>O Toucinho em Almeirim — O berço da Sopa de Pedra. Cozinha portuguesa com ingredientes regionais e ambiente familiar. 15€ – 25€.</t>
  </si>
  <si>
    <t>Taberna do Quinzico</t>
  </si>
  <si>
    <t>Rua de S. Martinho 5, Santarém</t>
  </si>
  <si>
    <t>+351 243 322 411</t>
  </si>
  <si>
    <t>Magusto com bacalhau assado.</t>
  </si>
  <si>
    <t>Taberna do Quinzico em Santarém, referência da cozinha atlântica portuguesa. Magusto com bacalhau assado. Ementas do dia com peixe fresco e receitas de geração em geração. 15€ – 25€.</t>
  </si>
  <si>
    <t>Casa das Enguias</t>
  </si>
  <si>
    <t>Estrada Nacional 118, Salvaterra de Magos</t>
  </si>
  <si>
    <t>+351 263 504 220</t>
  </si>
  <si>
    <t>Salvaterra</t>
  </si>
  <si>
    <t>Enguias fritas e ensopado.</t>
  </si>
  <si>
    <t>Casa das Enguias em Salvaterra — Enguias fritas e ensopado. Cozinha portuguesa com ingredientes regionais e ambiente familiar. 20€ – 30€.</t>
  </si>
  <si>
    <t>O Galego</t>
  </si>
  <si>
    <t>Rua de S. João, Abrantes</t>
  </si>
  <si>
    <t>+351 241 372 250</t>
  </si>
  <si>
    <t>Sável frito com açorda de ovas.</t>
  </si>
  <si>
    <t>O Galego em Abrantes — Sável frito com açorda de ovas. Cozinha portuguesa com ingredientes regionais e ambiente familiar. 18€ – 28€.</t>
  </si>
  <si>
    <t>Eduardo das Conquilhas</t>
  </si>
  <si>
    <t>Rua de Dr. Francisco de Lacerda 2, Parede</t>
  </si>
  <si>
    <t>+351 214 530 085</t>
  </si>
  <si>
    <t>Parede</t>
  </si>
  <si>
    <t>Conquilhas e prego no pão em ambiente vivo.</t>
  </si>
  <si>
    <t>Eduardo das Conquilhas em Parede, especializado em peixe e marisco do dia. Conquilhas e prego no pão em ambiente vivo. Junto ao porto de pesca ou à costa atlântica. 25€ – 45€.</t>
  </si>
  <si>
    <t>O Escaroupim</t>
  </si>
  <si>
    <t>Peixe do Rio</t>
  </si>
  <si>
    <t>Aldeia de Escaroupim, Salvaterra de Magos</t>
  </si>
  <si>
    <t>Sável Frito e Ensopado de Enguias.</t>
  </si>
  <si>
    <t>O Escaroupim em Salvaterra, especializado em peixe e marisco do dia. Sável Frito e Ensopado de Enguias. Junto ao porto de pesca ou à costa atlântica. 20€ – 35€.</t>
  </si>
  <si>
    <t>O Salero</t>
  </si>
  <si>
    <t>Gastronomia Brava</t>
  </si>
  <si>
    <t>Rua Dr. Miguel Bombarda 101, V. F. Xira</t>
  </si>
  <si>
    <t>+351 263 273 144</t>
  </si>
  <si>
    <t>V. F. Xira</t>
  </si>
  <si>
    <t>Torricado com Bacalhau e carnes de toiro.</t>
  </si>
  <si>
    <t>O Salero em V. F. Xira, referência da cozinha atlântica portuguesa. Torricado com Bacalhau e carnes de toiro. Ementas do dia com peixe fresco e receitas de geração em geração. 20€ – 30€.</t>
  </si>
  <si>
    <t>Largo da Misericórdia, V. F. Xira</t>
  </si>
  <si>
    <t>+351 263 275 220</t>
  </si>
  <si>
    <t>Pão torrado com alho (torricado).</t>
  </si>
  <si>
    <t>Taberna do Largo em V. F. Xira — Pão torrado com alho (torricado). Cozinha portuguesa com ingredientes regionais e ambiente familiar. 18€ – 28€.</t>
  </si>
  <si>
    <t>Dom José</t>
  </si>
  <si>
    <t>Bacalhau à Dom José.</t>
  </si>
  <si>
    <t>Dom José em Bombarral, referência da cozinha atlântica portuguesa. Bacalhau à Dom José. Ementas do dia com peixe fresco e receitas de geração em geração. 25€ – 40€.</t>
  </si>
  <si>
    <t>Vila</t>
  </si>
  <si>
    <t>Cabrito e coelho de forno dentro das muralhas.</t>
  </si>
  <si>
    <t>Adega do Albertino em Óbidos, especialidade em caça e carnes do campo. Cabrito e coelho de forno dentro das muralhas. Temporada de outono-inverno. Ambiente rústico e autêntico. 18€ – 28€.</t>
  </si>
  <si>
    <t>Sabores da Lezíria</t>
  </si>
  <si>
    <t>Ribatejano</t>
  </si>
  <si>
    <t>Rua 1º de Dezembro, V. F. Xira</t>
  </si>
  <si>
    <t>+351 263 276 412</t>
  </si>
  <si>
    <t>Arroz de pato à antiga e carnes de toiro bravo.</t>
  </si>
  <si>
    <t>Sabores da Lezíria em V. F. Xira — cozinha tradicional portuguesa de tacho e caldeirão. Arroz de pato à antiga e carnes de toiro bravo. Receitas transmitidas de geração em geração. 15€ – 25€.</t>
  </si>
  <si>
    <t>Eduardo Conquilhas II</t>
  </si>
  <si>
    <t>Rua de Eduardo Maria Rodrigues 40</t>
  </si>
  <si>
    <t>+351 214 566 214</t>
  </si>
  <si>
    <t>Sucursal para conquilhas e marisco.</t>
  </si>
  <si>
    <t>Eduardo Conquilhas II em Carcavelos, especializado em peixe e marisco do dia. Sucursal para conquilhas e marisco. Junto ao porto de pesca ou à costa atlântica. 25€ – 45€.</t>
  </si>
  <si>
    <t>Largo de São Pedro, 2510-086 Óbidos</t>
  </si>
  <si>
    <t>+351 262 959 131</t>
  </si>
  <si>
    <t>Arroz de coelho e bacalhau com broa à frente da igreja.</t>
  </si>
  <si>
    <t>Taberna do Adro em Óbidos, referência da cozinha atlântica portuguesa. Arroz de coelho e bacalhau com broa à frente da igreja. Ementas do dia com peixe fresco e receitas de geração em geração. 15€ – 25€.</t>
  </si>
  <si>
    <t xml:space="preserve">  🟩  LISBOA  ·  28 entradas</t>
  </si>
  <si>
    <t>Adega do Isaias</t>
  </si>
  <si>
    <t>Adega Típica</t>
  </si>
  <si>
    <t>Rua da Almeiriga 2, Torres Vedras</t>
  </si>
  <si>
    <t>+351 261 313 148</t>
  </si>
  <si>
    <t>Grelhados na brasa e vinho do Oeste.</t>
  </si>
  <si>
    <t>Adega do Isaias em Torres Vedras — Grelhados na brasa e vinho do Oeste. Cozinha portuguesa com ingredientes regionais e ambiente familiar. 15€ – 25€.</t>
  </si>
  <si>
    <t>Culto da Tasca</t>
  </si>
  <si>
    <t>Rua Veiga da Cunha 6, Sintra</t>
  </si>
  <si>
    <t>+351 219 234 256</t>
  </si>
  <si>
    <t>15€ – 20€</t>
  </si>
  <si>
    <t>Comida honesta, famoso pelo Bife à Culto.</t>
  </si>
  <si>
    <t>Tasca histórica em Sintra com azulejo, madeira escura e balcão de pedra. Comida honesta, famoso pelo Bife à Culto. Preços honestos e cozinha de tacho. A partir de 15€.</t>
  </si>
  <si>
    <t>País das Uvas</t>
  </si>
  <si>
    <t>R. de Lisboa 9, Vila de Frades</t>
  </si>
  <si>
    <t>+351 284 441 023</t>
  </si>
  <si>
    <t>Vinho de talha de produção própria.</t>
  </si>
  <si>
    <t>Tasca histórica em Vila de Frades com azulejo, madeira escura e balcão de pedra. Vinho de talha de produção própria. Preços honestos e cozinha de tacho. A partir de 18€.</t>
  </si>
  <si>
    <t>Alheiras</t>
  </si>
  <si>
    <t>Avenida das Amendoeiras, Mirandela</t>
  </si>
  <si>
    <t>+351 278 265 144</t>
  </si>
  <si>
    <t>Alheira de Mirandela frita e grelhados.</t>
  </si>
  <si>
    <t>Taberna do Jeco em Mirandela — Alheira de Mirandela frita e grelhados. Cozinha portuguesa com ingredientes regionais e ambiente familiar. 12€ – 20€.</t>
  </si>
  <si>
    <t>A Licorista e Bacalhoeiro</t>
  </si>
  <si>
    <t>Rua dos Sapateiros 218, 1100-581 Lisboa</t>
  </si>
  <si>
    <t>+351 213 431 415</t>
  </si>
  <si>
    <t>Bacalhau de todas as formas e bife à casa.</t>
  </si>
  <si>
    <t>Tasca histórica em Lisboa com azulejo, madeira escura e balcão de pedra. Bacalhau de todas as formas e bife à casa. Preços honestos e cozinha de tacho. A partir de 15€.</t>
  </si>
  <si>
    <t>O Trigueirinho</t>
  </si>
  <si>
    <t>Tasca de Alfama</t>
  </si>
  <si>
    <t>Largo dos Trigueiros 17, 1100-611 Lisboa</t>
  </si>
  <si>
    <t>+351 218 874 130</t>
  </si>
  <si>
    <t>Grelhados no carvão e ambiente familiar.</t>
  </si>
  <si>
    <t>Tasca histórica em Lisboa com azulejo, madeira escura e balcão de pedra. Grelhados no carvão e ambiente familiar. Preços honestos e cozinha de tacho. A partir de 12€.</t>
  </si>
  <si>
    <t>Tasca do Jaime</t>
  </si>
  <si>
    <t>Fado/Graça</t>
  </si>
  <si>
    <t>Rua da Graça 91, 1170-165 Lisboa</t>
  </si>
  <si>
    <t>+351 218 861 647</t>
  </si>
  <si>
    <t>10€ – 18€</t>
  </si>
  <si>
    <t>Fado vadio, rissóis e chouriço assado.</t>
  </si>
  <si>
    <t>Tasca do Jaime em Lisboa — Fado vadio, rissóis e chouriço assado. Cozinha portuguesa com ingredientes regionais e ambiente familiar. 10€ – 18€.</t>
  </si>
  <si>
    <t>Adega das Gravatas</t>
  </si>
  <si>
    <t>Carnes/Carnide</t>
  </si>
  <si>
    <t>Travessa do Pregoeiro 15, Carnide</t>
  </si>
  <si>
    <t>+351 217 143 622</t>
  </si>
  <si>
    <t>Milhares de gravatas e naco de carne na pedra.</t>
  </si>
  <si>
    <t>Adega das Gravatas em Lisboa — Milhares de gravatas e naco de carne na pedra. Cozinha portuguesa com ingredientes regionais e ambiente familiar. 20€ – 30€.</t>
  </si>
  <si>
    <t>Cervejaria Ramiro</t>
  </si>
  <si>
    <t>Avenida Almirante Reis 1, 1150-007 Lisboa</t>
  </si>
  <si>
    <t>+351 969 828 801</t>
  </si>
  <si>
    <t>35€ – 60€</t>
  </si>
  <si>
    <t>Gambas à guilho, sapateira e prego final.</t>
  </si>
  <si>
    <t>Cervejaria Ramiro em Lisboa, especializado em peixe e marisco do dia. Gambas à guilho, sapateira e prego final. Junto ao porto de pesca ou à costa atlântica. 35€ – 60€.</t>
  </si>
  <si>
    <t>O Ribas</t>
  </si>
  <si>
    <t>Avenida Luísa Todi 284, Setúbal</t>
  </si>
  <si>
    <t>+351 265 526 315</t>
  </si>
  <si>
    <t>Choco Frito e peixe fresco grelhado na brasa.</t>
  </si>
  <si>
    <t>O Ribas em Setúbal, especializado em peixe e marisco do dia. Choco Frito e peixe fresco grelhado na brasa. Junto ao porto de pesca ou à costa atlântica. 15€ – 25€.</t>
  </si>
  <si>
    <t>Ponto Final</t>
  </si>
  <si>
    <t>Rua do Ginjal 72, Cacilhas</t>
  </si>
  <si>
    <t>+351 212 760 743</t>
  </si>
  <si>
    <t>Arroz de caboz e pataniscas junto à água.</t>
  </si>
  <si>
    <t>Ponto Final em Almada — cozinha tradicional portuguesa de tacho e caldeirão. Arroz de caboz e pataniscas junto à água. Receitas transmitidas de geração em geração. 25€ – 40€.</t>
  </si>
  <si>
    <t>Pipas à vista e grandes grelhados na brasa.</t>
  </si>
  <si>
    <t>Adega do Isaias em Torres Vedras — Pipas à vista e grandes grelhados na brasa. Cozinha portuguesa com ingredientes regionais e ambiente familiar. 15€ – 25€.</t>
  </si>
  <si>
    <t>Luxo/Emblemático</t>
  </si>
  <si>
    <t>+351 213 424 253</t>
  </si>
  <si>
    <t>Cozinha minhota e marisco premium.</t>
  </si>
  <si>
    <t>Solar dos Presuntos em Lisboa — Cozinha minhota e marisco premium. Cozinha portuguesa com ingredientes regionais e ambiente familiar. 40€ – 70€.</t>
  </si>
  <si>
    <t>O Velho Eurico</t>
  </si>
  <si>
    <t>Tasca de Culto</t>
  </si>
  <si>
    <t>Largo de São Cristóvão 3, 1100-513 Lisboa</t>
  </si>
  <si>
    <t>+351 218 850 510</t>
  </si>
  <si>
    <t>Bacalhau à Brás e borrego com toque jovem.</t>
  </si>
  <si>
    <t>Tasca histórica em Lisboa com azulejo, madeira escura e balcão de pedra. Bacalhau à Brás e borrego com toque jovem. Preços honestos e cozinha de tacho. A partir de 20€.</t>
  </si>
  <si>
    <t>Adega Tia Matilde</t>
  </si>
  <si>
    <t>Clássico/Benfica</t>
  </si>
  <si>
    <t>Rua da Beneficência 77, 1600-017 Lisboa</t>
  </si>
  <si>
    <t>+351 217 972 172</t>
  </si>
  <si>
    <t>30€ – 55€</t>
  </si>
  <si>
    <t>Arroz de Garoupa e Cozido à Portuguesa.</t>
  </si>
  <si>
    <t>Adega Tia Matilde em Lisboa — cozinha tradicional portuguesa de tacho e caldeirão. Arroz de Garoupa e Cozido à Portuguesa. Receitas transmitidas de geração em geração. 30€ – 55€.</t>
  </si>
  <si>
    <t>O Poleiro</t>
  </si>
  <si>
    <t>Rua de Entrecampos 30, 1700-158 Lisboa</t>
  </si>
  <si>
    <t>+351 217 976 265</t>
  </si>
  <si>
    <t>Arroz de Pica no Chão e Rojões na capital.</t>
  </si>
  <si>
    <t>O Poleiro em Lisboa — cozinha tradicional portuguesa de tacho e caldeirão. Arroz de Pica no Chão e Rojões na capital. Receitas transmitidas de geração em geração. 25€ – 40€.</t>
  </si>
  <si>
    <t>Cervejaria Trindade</t>
  </si>
  <si>
    <t>Histórico/Chiado</t>
  </si>
  <si>
    <t>Rua Nova da Trindade 20, 1200-303 Lisboa</t>
  </si>
  <si>
    <t>+351 213 423 506</t>
  </si>
  <si>
    <t>Bife à Trindade e azulejos maçónicos.</t>
  </si>
  <si>
    <t>Tasca histórica em Lisboa com azulejo, madeira escura e balcão de pedra. Bife à Trindade e azulejos maçónicos. Preços honestos e cozinha de tacho. A partir de 25€.</t>
  </si>
  <si>
    <t>Curral dos Caprinos</t>
  </si>
  <si>
    <t>Rua 25 de Abril 13, Cabriz</t>
  </si>
  <si>
    <t>+351 219 233 113</t>
  </si>
  <si>
    <t>Cabrito Assado no forno e queijos regionais.</t>
  </si>
  <si>
    <t>Curral dos Caprinos em Sintra, especialidade em caça e carnes do campo. Cabrito Assado no forno e queijos regionais. Temporada de outono-inverno. Ambiente rústico e autêntico. 25€ – 40€.</t>
  </si>
  <si>
    <t>O Faroleiro</t>
  </si>
  <si>
    <t>Estrada do Guincho, Cascais</t>
  </si>
  <si>
    <t>+351 214 869 017</t>
  </si>
  <si>
    <t>Peixe ao sal ou na brasa virado ao mar.</t>
  </si>
  <si>
    <t>O Faroleiro em Cascais, especializado em peixe e marisco do dia. Peixe ao sal ou na brasa virado ao mar. Junto ao porto de pesca ou à costa atlântica. 35€ – 60€.</t>
  </si>
  <si>
    <t>Dona Adélia</t>
  </si>
  <si>
    <t>Choco Frito</t>
  </si>
  <si>
    <t>Avenida Luísa Todi 570, Setúbal</t>
  </si>
  <si>
    <t>+351 265 526 230</t>
  </si>
  <si>
    <t>Choco frito crocante e peixe do mercado.</t>
  </si>
  <si>
    <t>Dona Adélia em Setúbal — Choco frito crocante e peixe do mercado. Cozinha portuguesa com ingredientes regionais e ambiente familiar. 15€ – 25€.</t>
  </si>
  <si>
    <t>Adega do Zé Grelha</t>
  </si>
  <si>
    <t>Carnes/Peixe</t>
  </si>
  <si>
    <t>Estrada de Sintra, Ericeira</t>
  </si>
  <si>
    <t>+351 261 865 144</t>
  </si>
  <si>
    <t>Costeletão de boi e peixe do mar sempre frescos.</t>
  </si>
  <si>
    <t>Adega do Zé Grelha em Ericeira, especializado em peixe e marisco do dia. Costeletão de boi e peixe do mar sempre frescos. Junto ao porto de pesca ou à costa atlântica. 20€ – 30€.</t>
  </si>
  <si>
    <t>O Galito</t>
  </si>
  <si>
    <t>Alentejano</t>
  </si>
  <si>
    <t>Rua de Artilharia Um 51, 1250-038 Lisboa</t>
  </si>
  <si>
    <t>+351 213 881 211</t>
  </si>
  <si>
    <t>Pezinhos de Coentrada e Ensopado de Borrego.</t>
  </si>
  <si>
    <t>O Galito em Lisboa, especialidade em caça e carnes do campo. Pezinhos de Coentrada e Ensopado de Borrego. Temporada de outono-inverno. Ambiente rústico e autêntico. 30€ – 50€.</t>
  </si>
  <si>
    <t>Adega Solar Vinho Porto</t>
  </si>
  <si>
    <t>Vinhos e Queijos</t>
  </si>
  <si>
    <t>Rua de São Pedro de Alcântara 45, Lisboa</t>
  </si>
  <si>
    <t>+351 213 475 707</t>
  </si>
  <si>
    <t>Degustar vinhos generosos e charcutaria nobre.</t>
  </si>
  <si>
    <t>Adega Solar Vinho Porto em Lisboa — Degustar vinhos generosos e charcutaria nobre. Cozinha portuguesa com ingredientes regionais e ambiente familiar. 20€ – 35€.</t>
  </si>
  <si>
    <t>Fado e Petiscos</t>
  </si>
  <si>
    <t>Rua do Diário de Notícias 39, Bairro Alto</t>
  </si>
  <si>
    <t>+351 961 339 096</t>
  </si>
  <si>
    <t>Fado vadio e chouriço assado à mesa.</t>
  </si>
  <si>
    <t>Tasca histórica em Lisboa com azulejo, madeira escura e balcão de pedra. Fado vadio e chouriço assado à mesa. Preços honestos e cozinha de tacho. A partir de 10€.</t>
  </si>
  <si>
    <t>A Taberna</t>
  </si>
  <si>
    <t>Saloio</t>
  </si>
  <si>
    <t>Rua de Casais de Mem Martins 55, Sintra</t>
  </si>
  <si>
    <t>+351 219 210 240</t>
  </si>
  <si>
    <t>Doses generosas de arroz de pato.</t>
  </si>
  <si>
    <t>A Taberna em Sintra — cozinha tradicional portuguesa de tacho e caldeirão. Doses generosas de arroz de pato. Receitas transmitidas de geração em geração. 15€ – 25€.</t>
  </si>
  <si>
    <t>Tasca da Linha</t>
  </si>
  <si>
    <t>Rua de Frederico Arouca 2, Cascais</t>
  </si>
  <si>
    <t>+351 214 836 211</t>
  </si>
  <si>
    <t>Petiscos do mar e ambiente náutico.</t>
  </si>
  <si>
    <t>Tasca da Linha em Cascais — Petiscos do mar e ambiente náutico. Cozinha portuguesa com ingredientes regionais e ambiente familiar. 20€ – 30€.</t>
  </si>
  <si>
    <t>Taberna do Guedes</t>
  </si>
  <si>
    <t>Baixa Pombalina</t>
  </si>
  <si>
    <t>Rua dos Correeiros 212, Lisboa</t>
  </si>
  <si>
    <t>+351 213 423 315</t>
  </si>
  <si>
    <t>Bacalhau à Brás feito na hora.</t>
  </si>
  <si>
    <t>Taberna do Guedes em Lisboa, referência da cozinha atlântica portuguesa. Bacalhau à Brás feito na hora. Ementas do dia com peixe fresco e receitas de geração em geração. 15€ – 22€.</t>
  </si>
  <si>
    <t>O Nobre</t>
  </si>
  <si>
    <t>Transmontano</t>
  </si>
  <si>
    <t>Avenida de Sacadura Cabral 53, Lisboa</t>
  </si>
  <si>
    <t>+351 217 970 760</t>
  </si>
  <si>
    <t>40€ – 60€</t>
  </si>
  <si>
    <t>Sopa de Santola e sabores transmontanos.</t>
  </si>
  <si>
    <t>O Nobre em Lisboa — Sopa de Santola e sabores transmontanos. Cozinha portuguesa com ingredientes regionais e ambiente familiar. 40€ – 60€.</t>
  </si>
  <si>
    <t xml:space="preserve">  🟧  ALENTEJO  ·  23 entradas</t>
  </si>
  <si>
    <t>Quarta-Feira</t>
  </si>
  <si>
    <t>R. do Inverno 16, 7000-599 Évora</t>
  </si>
  <si>
    <t>+351 266 707 530</t>
  </si>
  <si>
    <t>Sem ementa fixa. Expoente da hospitalidade.</t>
  </si>
  <si>
    <t>Quarta-Feira em Évora — Sem ementa fixa. Expoente da hospitalidade. Cozinha portuguesa com ingredientes regionais e ambiente familiar. 30€ – 45€.</t>
  </si>
  <si>
    <t>R. do Inverno 18, Évora</t>
  </si>
  <si>
    <t>Versão petiqueira, ideal para vinhos e queijos.</t>
  </si>
  <si>
    <t>Tasca histórica em Évora com azulejo, madeira escura e balcão de pedra. Versão petiqueira, ideal para vinhos e queijos. Preços honestos e cozinha de tacho. A partir de 15€.</t>
  </si>
  <si>
    <t>Botequim da Mouraria</t>
  </si>
  <si>
    <t>Tasca Gourmet</t>
  </si>
  <si>
    <t>R. da Mouraria 16, Évora</t>
  </si>
  <si>
    <t>+351 266 746 880</t>
  </si>
  <si>
    <t>Apenas 8 lugares ao balcão. Petiscos divinais.</t>
  </si>
  <si>
    <t>Tasca histórica em Évora com azulejo, madeira escura e balcão de pedra. Apenas 8 lugares ao balcão. Petiscos divinais. Preços honestos e cozinha de tacho. A partir de 25€.</t>
  </si>
  <si>
    <t>R. do Almeida 21, 7100-534 Estremoz</t>
  </si>
  <si>
    <t>+351 268 322 318</t>
  </si>
  <si>
    <t>Porco preto servido entre talhas gigantes.</t>
  </si>
  <si>
    <t>Adega do Isaias em Estremoz — Porco preto servido entre talhas gigantes. Cozinha portuguesa com ingredientes regionais e ambiente familiar. 15€ – 25€.</t>
  </si>
  <si>
    <t>A Cadeia Quinhentista</t>
  </si>
  <si>
    <t>R. de Alcárcova de Baixo, Estremoz</t>
  </si>
  <si>
    <t>+351 268 333 434</t>
  </si>
  <si>
    <t>Antiga prisão do séc. XVI. Cozinha refinada.</t>
  </si>
  <si>
    <t>A Cadeia Quinhentista em Estremoz — Antiga prisão do séc. XVI. Cozinha refinada. Cozinha portuguesa com ingredientes regionais e ambiente familiar. 30€ – 50€.</t>
  </si>
  <si>
    <t>Gadanha Mercearia</t>
  </si>
  <si>
    <t>Moderno/Regional</t>
  </si>
  <si>
    <t>Largo Dragões de Olivença 84, Estremoz</t>
  </si>
  <si>
    <t>+351 268 333 136</t>
  </si>
  <si>
    <t>Mercearia fina e restaurante de autor.</t>
  </si>
  <si>
    <t>Gadanha Mercearia em Estremoz — Mercearia fina e restaurante de autor. Cozinha portuguesa com ingredientes regionais e ambiente familiar. 25€ – 40€.</t>
  </si>
  <si>
    <t>O Fialho</t>
  </si>
  <si>
    <t>Travessa das Alcaçarias 21, Évora</t>
  </si>
  <si>
    <t>+351 266 703 079</t>
  </si>
  <si>
    <t>Cozinha burguesa alentejana de alto nível.</t>
  </si>
  <si>
    <t>O Fialho em Évora — Cozinha burguesa alentejana de alto nível. Cozinha portuguesa com ingredientes regionais e ambiente familiar. 40€ – 65€.</t>
  </si>
  <si>
    <t>Tomba Lobos</t>
  </si>
  <si>
    <t>R. da 5 de Outubro 7, Portalegre</t>
  </si>
  <si>
    <t>+351 245 906 111</t>
  </si>
  <si>
    <t>Mestre na caça, cogumelos e ervas.</t>
  </si>
  <si>
    <t>Tomba Lobos em Portalegre, casa de comidas de montanha com lareira e pedra à vista. Mestre na caça, cogumelos e ervas. Ambiente de aldeia e produtos da caça e da criação local. 30€ – 50€.</t>
  </si>
  <si>
    <t>Restaurante D. Guri</t>
  </si>
  <si>
    <t>Rossio, Portalegre</t>
  </si>
  <si>
    <t>+351 245 203 145</t>
  </si>
  <si>
    <t>Cozinha honesta, destaque para migas de espargos.</t>
  </si>
  <si>
    <t>Restaurante D. Guri em Portalegre — cozinha tradicional portuguesa de tacho e caldeirão. Cozinha honesta, destaque para migas de espargos. Receitas transmitidas de geração em geração. 15€ – 25€.</t>
  </si>
  <si>
    <t>Luís da Rocha</t>
  </si>
  <si>
    <t>Histórico/Doçaria</t>
  </si>
  <si>
    <t>R. Cap. João Francisco de Sousa 63, Beja</t>
  </si>
  <si>
    <t>+351 284 323 179</t>
  </si>
  <si>
    <t>Obrigatório provar a doçaria conventual.</t>
  </si>
  <si>
    <t>Tasca histórica em Beja com azulejo, madeira escura e balcão de pedra. Obrigatório provar a doçaria conventual. Preços honestos e cozinha de tacho. A partir de 15€.</t>
  </si>
  <si>
    <t>Adega Típica 25 de Abril</t>
  </si>
  <si>
    <t>Tasca Genuína</t>
  </si>
  <si>
    <t>R. da Moeda 23, Beja</t>
  </si>
  <si>
    <t>+351 284 325 991</t>
  </si>
  <si>
    <t>Pratos de caça e cozido à portuguesa.</t>
  </si>
  <si>
    <t>Tasca histórica em Beja com azulejo, madeira escura e balcão de pedra. Pratos de caça e cozido à portuguesa. Preços honestos e cozinha de tacho. A partir de 12€.</t>
  </si>
  <si>
    <t>Tasquinha do Oliveira</t>
  </si>
  <si>
    <t>Petiscos Gourmet</t>
  </si>
  <si>
    <t>R. Cândido dos Reis 45, Évora</t>
  </si>
  <si>
    <t>+351 266 744 841</t>
  </si>
  <si>
    <t>Empadinhas de perdiz e pezinhos de coentrada.</t>
  </si>
  <si>
    <t>Tasca histórica em Évora com azulejo, madeira escura e balcão de pedra. Empadinhas de perdiz e pezinhos de coentrada. Preços honestos e cozinha de tacho. A partir de 35€.</t>
  </si>
  <si>
    <t>Adega Velha</t>
  </si>
  <si>
    <t>Rua da Guia 15, 7860-011 Moura</t>
  </si>
  <si>
    <t>+351 285 251 209</t>
  </si>
  <si>
    <t>Talhas gigantes e ambiente parado no tempo.</t>
  </si>
  <si>
    <t>Adega Velha em Moura — Talhas gigantes e ambiente parado no tempo. Cozinha portuguesa com ingredientes regionais e ambiente familiar. 15€ – 25€.</t>
  </si>
  <si>
    <t>O Tordo</t>
  </si>
  <si>
    <t>Rua das Portas de Moura 22, Moura</t>
  </si>
  <si>
    <t>+351 285 251 556</t>
  </si>
  <si>
    <t>Arroz de Lebre e Perdiz Estufada.</t>
  </si>
  <si>
    <t>O Tordo em Moura, casa de comidas de montanha com lareira e pedra à vista. Arroz de Lebre e Perdiz Estufada. Ambiente de aldeia e produtos da caça e da criação local. 18€ – 28€.</t>
  </si>
  <si>
    <t>O Molhó Bico</t>
  </si>
  <si>
    <t>Rua de Santo António 4, 7830-388 Serpa</t>
  </si>
  <si>
    <t>+351 284 544 266</t>
  </si>
  <si>
    <t>Famoso pelas migas e carne do alguidar.</t>
  </si>
  <si>
    <t>O Molhó Bico em Serpa — cozinha tradicional portuguesa de tacho e caldeirão. Famoso pelas migas e carne do alguidar. Receitas transmitidas de geração em geração. 18€ – 28€.</t>
  </si>
  <si>
    <t>Adega Típica de Serpa</t>
  </si>
  <si>
    <t>Rua dos Cavalos 10, Serpa</t>
  </si>
  <si>
    <t>+351 284 549 243</t>
  </si>
  <si>
    <t>Queijo de Serpa, presunto e pratos de borrego.</t>
  </si>
  <si>
    <t>Adega Típica de Serpa em Serpa, especialidade em caça e carnes do campo. Queijo de Serpa, presunto e pratos de borrego. Temporada de outono-inverno. Ambiente rústico e autêntico. 15€ – 25€.</t>
  </si>
  <si>
    <t>Sabores de Monsaraz</t>
  </si>
  <si>
    <t>Rua Direita, Monsaraz</t>
  </si>
  <si>
    <t>+351 266 557 117</t>
  </si>
  <si>
    <t>Bacalhau Dourado, Migas e vista para o Alqueva.</t>
  </si>
  <si>
    <t>Sabores de Monsaraz em Monsaraz, referência da cozinha atlântica portuguesa. Bacalhau Dourado, Migas e vista para o Alqueva. Ementas do dia com peixe fresco e receitas de geração em geração. 20€ – 30€.</t>
  </si>
  <si>
    <t>O Alcaide</t>
  </si>
  <si>
    <t>+351 266 557 168</t>
  </si>
  <si>
    <t>Cozinha de grande qualidade dentro das muralhas.</t>
  </si>
  <si>
    <t>O Alcaide em Monsaraz — Cozinha de grande qualidade dentro das muralhas. Cozinha portuguesa com ingredientes regionais e ambiente familiar. 20€ – 35€.</t>
  </si>
  <si>
    <t>Adega Típica A Moagem</t>
  </si>
  <si>
    <t>Rua de Mourão, Reguengos de Monsaraz</t>
  </si>
  <si>
    <t>+351 266 502 245</t>
  </si>
  <si>
    <t>Pratos de panela e carne de porco preto certificada.</t>
  </si>
  <si>
    <t>Adega Típica A Moagem em Reguengos — Pratos de panela e carne de porco preto certificada. Cozinha portuguesa com ingredientes regionais e ambiente familiar. 18€ – 28€.</t>
  </si>
  <si>
    <t>Azenhas do Guadiana</t>
  </si>
  <si>
    <t>Monte das Azenhas, Mértola</t>
  </si>
  <si>
    <t>+351 286 611 140</t>
  </si>
  <si>
    <t>Peixe do rio e pratos de caça junto ao Guadiana.</t>
  </si>
  <si>
    <t>Azenhas do Guadiana em Mértola, especializado em peixe e marisco do dia. Peixe do rio e pratos de caça junto ao Guadiana. Junto ao porto de pesca ou à costa atlântica. 20€ – 35€.</t>
  </si>
  <si>
    <t>Espaço Guadiana</t>
  </si>
  <si>
    <t>Av. Aureliano Mira Fernandes, Mértola</t>
  </si>
  <si>
    <t>+351 286 611 113</t>
  </si>
  <si>
    <t>Vista sobre a vila e comida com toque moderno.</t>
  </si>
  <si>
    <t>Espaço Guadiana em Mértola — Vista sobre a vila e comida com toque moderno. Cozinha portuguesa com ingredientes regionais e ambiente familiar. 15€ – 25€.</t>
  </si>
  <si>
    <t>Marufo</t>
  </si>
  <si>
    <t>Estrada de Quarteira, Vilamoura</t>
  </si>
  <si>
    <t>+351 289 313 147</t>
  </si>
  <si>
    <t>Frango assado e entrecosto na brasa.</t>
  </si>
  <si>
    <t>Marufo em Quarteira — Frango assado e entrecosto na brasa. Cozinha portuguesa com ingredientes regionais e ambiente familiar. 15€ – 22€.</t>
  </si>
  <si>
    <t>Adega do Verdelho</t>
  </si>
  <si>
    <t>Vinhos/Tapas</t>
  </si>
  <si>
    <t>Av. Machado Serpa, Madalena</t>
  </si>
  <si>
    <t>+351 292 622 144</t>
  </si>
  <si>
    <t>Vinhos brancos vulcânicos do Pico.</t>
  </si>
  <si>
    <t>Adega do Verdelho em Pico — Vinhos brancos vulcânicos do Pico. Cozinha portuguesa com ingredientes regionais e ambiente familiar. 15€ – 25€.</t>
  </si>
  <si>
    <t xml:space="preserve">  🟥  ALGARVE  ·  23 entradas</t>
  </si>
  <si>
    <t>Noélia Jerónimo</t>
  </si>
  <si>
    <t>Av. da Ria Formosa, Cabanas de Tavira</t>
  </si>
  <si>
    <t>+351 281 370 649</t>
  </si>
  <si>
    <t>Cabanas de Tavira</t>
  </si>
  <si>
    <t>Arroz de Limão com Robalo e petiscos criativos.</t>
  </si>
  <si>
    <t>Noélia Jerónimo em Cabanas de Tavira — cozinha tradicional portuguesa de tacho e caldeirão. Arroz de Limão com Robalo e petiscos criativos. Receitas transmitidas de geração em geração. 35€ – 55€.</t>
  </si>
  <si>
    <t>A Tasca do Zé Belinho</t>
  </si>
  <si>
    <t>Santa Luzia, Tavira</t>
  </si>
  <si>
    <t>+351 965 244 851</t>
  </si>
  <si>
    <t>O templo do Polvo (estufado, grelhado, frito).</t>
  </si>
  <si>
    <t>Tasca histórica em Tavira com azulejo, madeira escura e balcão de pedra. O templo do Polvo (estufado, grelhado, frito). Preços honestos e cozinha de tacho. A partir de 20€.</t>
  </si>
  <si>
    <t>Taberna da Maré</t>
  </si>
  <si>
    <t>Travessa da Barca 9, Portimão</t>
  </si>
  <si>
    <t>+351 282 414 614</t>
  </si>
  <si>
    <t>Xerém de berbigão e lulinhas fritas.</t>
  </si>
  <si>
    <t>Taberna da Maré em Portimão — Xerém de berbigão e lulinhas fritas. Cozinha portuguesa com ingredientes regionais e ambiente familiar. 20€ – 35€.</t>
  </si>
  <si>
    <t>Adega Nova</t>
  </si>
  <si>
    <t>Rua Francisco Manuel 2, Faro</t>
  </si>
  <si>
    <t>+351 289 813 433</t>
  </si>
  <si>
    <t>Doses de bacalhau e bife à casa.</t>
  </si>
  <si>
    <t>Adega Nova em Faro, referência da cozinha atlântica portuguesa. Doses de bacalhau e bife à casa. Ementas do dia com peixe fresco e receitas de geração em geração. 18€ – 28€.</t>
  </si>
  <si>
    <t>A Tasca do João</t>
  </si>
  <si>
    <t>Rua do Alportel 3, Faro</t>
  </si>
  <si>
    <t>+351 289 821 785</t>
  </si>
  <si>
    <t>Petiscos diários e peixe fresco.</t>
  </si>
  <si>
    <t>Tasca histórica em Faro com azulejo, madeira escura e balcão de pedra. Petiscos diários e peixe fresco. Preços honestos e cozinha de tacho. A partir de 15€.</t>
  </si>
  <si>
    <t>O Retiro do Camponês</t>
  </si>
  <si>
    <t>Estrada de Boliqueime, Loulé</t>
  </si>
  <si>
    <t>+351 289 360 488</t>
  </si>
  <si>
    <t>Galinha Cerejada e Javali.</t>
  </si>
  <si>
    <t>O Retiro do Camponês em Loulé, casa de comidas de montanha com lareira e pedra à vista. Galinha Cerejada e Javali. Ambiente de aldeia e produtos da caça e da criação local. 20€ – 30€.</t>
  </si>
  <si>
    <t>Café Saudade</t>
  </si>
  <si>
    <t>Ameixial, Loulé</t>
  </si>
  <si>
    <t>+351 289 847 114</t>
  </si>
  <si>
    <t>Comida de tacho e pão de forno a lenha.</t>
  </si>
  <si>
    <t>Café Saudade em Loulé, casa de comidas de montanha com lareira e pedra à vista. Comida de tacho e pão de forno a lenha. Ambiente de aldeia e produtos da caça e da criação local. 12€ – 18€.</t>
  </si>
  <si>
    <t>A Tasca do Kiko</t>
  </si>
  <si>
    <t>Tapas Modernas</t>
  </si>
  <si>
    <t>Estrada da Ponta da Piedade, Lagos</t>
  </si>
  <si>
    <t>+351 282 045 423</t>
  </si>
  <si>
    <t>Tapas algarvias modernas.</t>
  </si>
  <si>
    <t>A Tasca do Kiko em Lagos — Tapas algarvias modernas. Cozinha portuguesa com ingredientes regionais e ambiente familiar. 25€ – 40€.</t>
  </si>
  <si>
    <t>Vila Velha</t>
  </si>
  <si>
    <t>Rua Comandante Matoso, Sagres</t>
  </si>
  <si>
    <t>+351 282 624 701</t>
  </si>
  <si>
    <t>Cataplana de peixe e perceves.</t>
  </si>
  <si>
    <t>Vila Velha em Sagres — Cataplana de peixe e perceves. Cozinha portuguesa com ingredientes regionais e ambiente familiar. 25€ – 45€.</t>
  </si>
  <si>
    <t>Adega das Levadas</t>
  </si>
  <si>
    <t>+351 289 561 247</t>
  </si>
  <si>
    <t>Cozinha de tacho e grelhados tradicionais.</t>
  </si>
  <si>
    <t>Adega das Levadas em Albufeira — Cozinha de tacho e grelhados tradicionais. Cozinha portuguesa com ingredientes regionais e ambiente familiar. 15€ – 25€.</t>
  </si>
  <si>
    <t>Solar do Farelo</t>
  </si>
  <si>
    <t>Serra/Interior</t>
  </si>
  <si>
    <t>Farelo, Mexilhoeira Grande</t>
  </si>
  <si>
    <t>+351 282 961 144</t>
  </si>
  <si>
    <t>Cabrito assado, milhos e migas.</t>
  </si>
  <si>
    <t>Solar do Farelo em Portimão, especialidade em caça e carnes do campo. Cabrito assado, milhos e migas. Temporada de outono-inverno. Ambiente rústico e autêntico. 20€ – 30€.</t>
  </si>
  <si>
    <t>O Cansado</t>
  </si>
  <si>
    <t>Peixe Grelhado</t>
  </si>
  <si>
    <t>Rua da Barca 2, Portimão</t>
  </si>
  <si>
    <t>+351 282 422 663</t>
  </si>
  <si>
    <t>Peixe fresquíssimo grelhado no carvão.</t>
  </si>
  <si>
    <t>O Cansado em Portimão, especializado em peixe e marisco do dia. Peixe fresquíssimo grelhado no carvão. Junto ao porto de pesca ou à costa atlântica. 25€ – 40€.</t>
  </si>
  <si>
    <t>Dona Barca</t>
  </si>
  <si>
    <t>Rua da Barca 10, Portimão</t>
  </si>
  <si>
    <t>+351 282 485 852</t>
  </si>
  <si>
    <t>Arroz de polvo e lulinhas fritas à algarvia.</t>
  </si>
  <si>
    <t>Dona Barca em Portimão, referência da cozinha atlântica portuguesa. Arroz de polvo e lulinhas fritas à algarvia. Ementas do dia com peixe fresco e receitas de geração em geração. 18€ – 28€.</t>
  </si>
  <si>
    <t>Veneza</t>
  </si>
  <si>
    <t>Regional/Garrafeira</t>
  </si>
  <si>
    <t>Estrada de Ferreiras, Paderne</t>
  </si>
  <si>
    <t>+351 289 367 129</t>
  </si>
  <si>
    <t>Cozinha serrana e mais de mil vinhos.</t>
  </si>
  <si>
    <t>Veneza em Albufeira — Cozinha serrana e mais de mil vinhos. Cozinha portuguesa com ingredientes regionais e ambiente familiar. 35€ – 60€.</t>
  </si>
  <si>
    <t>Marisqueira Rui</t>
  </si>
  <si>
    <t>Rua Comendador Vilarinho 27, Silves</t>
  </si>
  <si>
    <t>+351 282 442 682</t>
  </si>
  <si>
    <t>Sapateira recheada e amêijoas.</t>
  </si>
  <si>
    <t>Marisqueira Rui em Silves, especializado em peixe e marisco do dia. Sapateira recheada e amêijoas. Junto ao porto de pesca ou à costa atlântica. 35€ – 65€.</t>
  </si>
  <si>
    <t>O Teodósio</t>
  </si>
  <si>
    <t>Frango da Guia</t>
  </si>
  <si>
    <t>Rua do Comércio 22, Guia</t>
  </si>
  <si>
    <t>+351 289 561 217</t>
  </si>
  <si>
    <t>Frango da Guia com piri-piri.</t>
  </si>
  <si>
    <t>O Teodósio em Albufeira — Frango da Guia com piri-piri. Cozinha portuguesa com ingredientes regionais e ambiente familiar. 15€ – 22€.</t>
  </si>
  <si>
    <t>Taberna dos Arcos</t>
  </si>
  <si>
    <t>Rua 5 de Outubro 81, Albufeira</t>
  </si>
  <si>
    <t>+351 289 513 495</t>
  </si>
  <si>
    <t>Pratos tradicionais no centro histórico.</t>
  </si>
  <si>
    <t>Tasca histórica em Albufeira com azulejo, madeira escura e balcão de pedra. Pratos tradicionais no centro histórico. Preços honestos e cozinha de tacho. A partir de 15€.</t>
  </si>
  <si>
    <t>Taberna Modesto</t>
  </si>
  <si>
    <t>Ribeirinha</t>
  </si>
  <si>
    <t>Largo da Madalena 17, Faro</t>
  </si>
  <si>
    <t>+351 289 824 819</t>
  </si>
  <si>
    <t>Peixe grelhado no carvão no cais.</t>
  </si>
  <si>
    <t>Taberna Modesto em Faro — Peixe grelhado no carvão no cais. Cozinha portuguesa com ingredientes regionais e ambiente familiar. 20€ – 30€.</t>
  </si>
  <si>
    <t>A do João</t>
  </si>
  <si>
    <t>Ilha da Armona, Olhão</t>
  </si>
  <si>
    <t>+351 289 714 316</t>
  </si>
  <si>
    <t>Arroz de búzios e cataplanas de marisco.</t>
  </si>
  <si>
    <t>A do João em Olhão, especializado em peixe e marisco do dia. Arroz de búzios e cataplanas de marisco. Junto ao porto de pesca ou à costa atlântica. 25€ – 45€.</t>
  </si>
  <si>
    <t>O Chico</t>
  </si>
  <si>
    <t>Estrada Nacional 125, Luz de Tavira</t>
  </si>
  <si>
    <t>+351 281 961 405</t>
  </si>
  <si>
    <t>Grelhados mistos e pratos do dia honestos.</t>
  </si>
  <si>
    <t>O Chico em Tavira — Grelhados mistos e pratos do dia honestos. Cozinha portuguesa com ingredientes regionais e ambiente familiar. 15€ – 25€.</t>
  </si>
  <si>
    <t>Polvo &amp; Companhia</t>
  </si>
  <si>
    <t>Avenida Duarte Pacheco 6, Santa Luzia</t>
  </si>
  <si>
    <t>+351 281 324 449</t>
  </si>
  <si>
    <t>Variações modernas de polvo.</t>
  </si>
  <si>
    <t>Polvo &amp; Companhia em Tavira, referência da cozinha atlântica portuguesa. Variações modernas de polvo. Ementas do dia com peixe fresco e receitas de geração em geração. 20€ – 35€.</t>
  </si>
  <si>
    <t>Adega de Silves</t>
  </si>
  <si>
    <t>Rua Elias Garcia 18, Silves</t>
  </si>
  <si>
    <t>+351 282 445 104</t>
  </si>
  <si>
    <t>Pratos de forno e cozinha algarvia.</t>
  </si>
  <si>
    <t>Adega de Silves em Silves — Pratos de forno e cozinha algarvia. Cozinha portuguesa com ingredientes regionais e ambiente familiar. 15€ – 25€.</t>
  </si>
  <si>
    <t>O Retiro</t>
  </si>
  <si>
    <t>Estrada de Vale do Lobo, Almancil</t>
  </si>
  <si>
    <t>+351 289 396 261</t>
  </si>
  <si>
    <t>Bofes de porco preto e açordas.</t>
  </si>
  <si>
    <t>O Retiro em Loulé — Bofes de porco preto e açordas. Cozinha portuguesa com ingredientes regionais e ambiente familiar. 20€ – 35€.</t>
  </si>
  <si>
    <t xml:space="preserve">  🟪  AÇORES  ·  36 entradas</t>
  </si>
  <si>
    <t>Casa da Igreja</t>
  </si>
  <si>
    <t>Típico/Ostras</t>
  </si>
  <si>
    <t>+351 281 952 133</t>
  </si>
  <si>
    <t>15€ – 28€</t>
  </si>
  <si>
    <t>Cacela Velha</t>
  </si>
  <si>
    <t>Ostras e amêijoas frescas.</t>
  </si>
  <si>
    <t>Casa da Igreja em Cacela Velha — gastronomia açoreana autentica. Ostras e amêijoas frescas. Ingredientes vulcânicos e atlânticos: alcatra, lapas, queijo São Jorge e ananás. 15€ – 28€.</t>
  </si>
  <si>
    <t>Casa do Bolo do Caco</t>
  </si>
  <si>
    <t>Lanche Típico</t>
  </si>
  <si>
    <t>Rua Dr. Fernão de Ornelas, Funchal</t>
  </si>
  <si>
    <t>+351 291 228 152</t>
  </si>
  <si>
    <t>Bolo do caco quente com manteiga d'alho.</t>
  </si>
  <si>
    <t>Casa do Bolo do Caco em Funchal — gastronomia açoreana autentica. Bolo do caco quente com manteiga d'alho. Ingredientes vulcânicos e atlânticos: alcatra, lapas, queijo São Jorge e ananás. 5€ – 12€.</t>
  </si>
  <si>
    <t>Casa de Pasto Abel</t>
  </si>
  <si>
    <t>Rua Dr. Francisco Peres, Camacha</t>
  </si>
  <si>
    <t>+351 291 922 411</t>
  </si>
  <si>
    <t>Famoso pela Carne de Vinho e Alhos.</t>
  </si>
  <si>
    <t>Casa de Pasto Abel em Camacha — gastronomia açoreana autentica. Famoso pela Carne de Vinho e Alhos. Ingredientes vulcânicos e atlânticos: alcatra, lapas, queijo São Jorge e ananás. 15€ – 22€.</t>
  </si>
  <si>
    <t>O Virgilio</t>
  </si>
  <si>
    <t>Sitio da Ponta Delgada, São Vicente</t>
  </si>
  <si>
    <t>+351 291 862 311</t>
  </si>
  <si>
    <t>Mestre das Caldeiradas e Milho Frito.</t>
  </si>
  <si>
    <t>O Virgilio em São Vicente, especializado em peixe e marisco do dia. Mestre das Caldeiradas e Milho Frito. Junto ao porto de pesca ou à costa atlântica. 20€ – 30€.</t>
  </si>
  <si>
    <t>Tony's</t>
  </si>
  <si>
    <t>Cozido</t>
  </si>
  <si>
    <t>Largo do Teatro, 9500-111 Furnas</t>
  </si>
  <si>
    <t>+351 296 584 290</t>
  </si>
  <si>
    <t>O Rei do Cozido das Furnas.</t>
  </si>
  <si>
    <t>Tony's em São Miguel — gastronomia açoreana autentica. O Rei do Cozido das Furnas. Ingredientes vulcânicos e atlânticos: alcatra, lapas, queijo São Jorge e ananás. 20€ – 30€.</t>
  </si>
  <si>
    <t>Associação Agrícola</t>
  </si>
  <si>
    <t>Campo de Santana, Ribeira Grande</t>
  </si>
  <si>
    <t>+351 296 490 000</t>
  </si>
  <si>
    <t>Considerado o melhor bife dos Açores.</t>
  </si>
  <si>
    <t>Associação Agrícola em São Miguel — gastronomia açoreana autentica. Considerado o melhor bife dos Açores. Ingredientes vulcânicos e atlânticos: alcatra, lapas, queijo São Jorge e ananás. 25€ – 40€.</t>
  </si>
  <si>
    <t>A Tasca</t>
  </si>
  <si>
    <t>Rua do Aljube 16, Ponta Delgada</t>
  </si>
  <si>
    <t>+351 296 288 880</t>
  </si>
  <si>
    <t>Chouriço com ananás e bolo de chocolate.</t>
  </si>
  <si>
    <t>Tasca histórica em São Miguel com azulejo, madeira escura e balcão de pedra. Chouriço com ananás e bolo de chocolate. Preços honestos e cozinha de tacho. A partir de 20€.</t>
  </si>
  <si>
    <t>O Cavalo Branco</t>
  </si>
  <si>
    <t>Rua da Beneficência, Ponta Delgada</t>
  </si>
  <si>
    <t>+351 296 285 240</t>
  </si>
  <si>
    <t>Sopas do Espírito Santo e polvos assados.</t>
  </si>
  <si>
    <t>Tasca histórica em São Miguel com azulejo, madeira escura e balcão de pedra. Sopas do Espírito Santo e polvos assados. Preços honestos e cozinha de tacho. A partir de 12€.</t>
  </si>
  <si>
    <t>Ti Choa</t>
  </si>
  <si>
    <t>Grota do Medo 1, Serreta</t>
  </si>
  <si>
    <t>+351 295 906 287</t>
  </si>
  <si>
    <t>O templo da Alcatra à Moda da Terceira.</t>
  </si>
  <si>
    <t>Ti Choa em Terceira — gastronomia açoreana autentica. O templo da Alcatra à Moda da Terceira. Ingredientes vulcânicos e atlânticos: alcatra, lapas, queijo São Jorge e ananás. 15€ – 25€.</t>
  </si>
  <si>
    <t>Caneta</t>
  </si>
  <si>
    <t>Rua do Caneta 12, Vila de Altares</t>
  </si>
  <si>
    <t>+351 295 908 191</t>
  </si>
  <si>
    <t>Carnes próprias e Cozido no Alguidar.</t>
  </si>
  <si>
    <t>Caneta em Terceira — gastronomia açoreana autentica. Carnes próprias e Cozido no Alguidar. Ingredientes vulcânicos e atlânticos: alcatra, lapas, queijo São Jorge e ananás. 20€ – 30€.</t>
  </si>
  <si>
    <t>Taberna Roberto</t>
  </si>
  <si>
    <t>Parrilhada</t>
  </si>
  <si>
    <t>Estrada de São Bento 20, Angra</t>
  </si>
  <si>
    <t>+351 295 212 901</t>
  </si>
  <si>
    <t>Grelhados na brasa, morcela da Terceira.</t>
  </si>
  <si>
    <t>Taberna Roberto em Terceira — gastronomia açoreana autentica. Grelhados na brasa, morcela da Terceira. Ingredientes vulcânicos e atlânticos: alcatra, lapas, queijo São Jorge e ananás. 15€ – 25€.</t>
  </si>
  <si>
    <t>Mítico</t>
  </si>
  <si>
    <t>Rua José Azevedo Peter 9, Horta</t>
  </si>
  <si>
    <t>+351 292 292 327</t>
  </si>
  <si>
    <t>Bife de atum, caldo de peixe e o famoso Gin.</t>
  </si>
  <si>
    <t>Peter Café Sport em Faial — gastronomia açoreana autentica. Bife de atum, caldo de peixe e o famoso Gin. Ingredientes vulcânicos e atlânticos: alcatra, lapas, queijo São Jorge e ananás. 20€ – 35€.</t>
  </si>
  <si>
    <t>Na Pedra</t>
  </si>
  <si>
    <t>Rua de São João, Horta</t>
  </si>
  <si>
    <t>+351 292 292 444</t>
  </si>
  <si>
    <t>Canto da Doca em Faial — gastronomia açoreana autentica. Carnes e peixes grelhados na pedra. Ingredientes vulcânicos e atlânticos: alcatra, lapas, queijo São Jorge e ananás. 20€ – 30€.</t>
  </si>
  <si>
    <t>Genuíno</t>
  </si>
  <si>
    <t>Frente Mar</t>
  </si>
  <si>
    <t>Areinha de Velas, Horta</t>
  </si>
  <si>
    <t>+351 292 293 420</t>
  </si>
  <si>
    <t>Pratos inspirados no mundo com base açoriana.</t>
  </si>
  <si>
    <t>Genuíno em Faial — gastronomia açoreana autentica. Pratos inspirados no mundo com base açoriana. Ingredientes vulcânicos e atlânticos: alcatra, lapas, queijo São Jorge e ananás. 25€ – 40€.</t>
  </si>
  <si>
    <t>Mané Cigano</t>
  </si>
  <si>
    <t>Tasca Pescadores</t>
  </si>
  <si>
    <t>Rua da Alfarroba 3, Ponta Delgada</t>
  </si>
  <si>
    <t>+351 296 286 523</t>
  </si>
  <si>
    <t>10€ – 15€</t>
  </si>
  <si>
    <t>Chicharro frito com molho de vilão.</t>
  </si>
  <si>
    <t>Tasca histórica em São Miguel com azulejo, madeira escura e balcão de pedra. Chicharro frito com molho de vilão. Preços honestos e cozinha de tacho. A partir de 10€.</t>
  </si>
  <si>
    <t>O Miroma</t>
  </si>
  <si>
    <t>Furnas/Cozido</t>
  </si>
  <si>
    <t>R. Dr. Frederico Moniz Pereira, Furnas</t>
  </si>
  <si>
    <t>+351 296 584 422</t>
  </si>
  <si>
    <t>Cozido das Caldeiras e Bife à Miroma.</t>
  </si>
  <si>
    <t>O Miroma em São Miguel — gastronomia açoreana autentica. Cozido das Caldeiras e Bife à Miroma. Ingredientes vulcânicos e atlânticos: alcatra, lapas, queijo São Jorge e ananás. 20€ – 30€.</t>
  </si>
  <si>
    <t>Cais 20</t>
  </si>
  <si>
    <t>R. Dr. José Pereira Botelho 45</t>
  </si>
  <si>
    <t>+351 296 381 111</t>
  </si>
  <si>
    <t>Marisco fresco (cracas, lapas) até de madrugada.</t>
  </si>
  <si>
    <t>Cais 20 em São Miguel, especializado em peixe e marisco do dia. Marisco fresco (cracas, lapas) até de madrugada. Junto ao porto de pesca ou à costa atlântica. 25€ – 45€.</t>
  </si>
  <si>
    <t>Boca de Cena</t>
  </si>
  <si>
    <t>Cozinha Autor</t>
  </si>
  <si>
    <t>Rua de São João 11, Ponta Delgada</t>
  </si>
  <si>
    <t>+351 914 024 144</t>
  </si>
  <si>
    <t>Atum braseado e criatividade.</t>
  </si>
  <si>
    <t>Boca de Cena em São Miguel — gastronomia açoreana autentica. Atum braseado e criatividade. Ingredientes vulcânicos e atlânticos: alcatra, lapas, queijo São Jorge e ananás. 25€ – 40€.</t>
  </si>
  <si>
    <t>Rua da Marina, Vila Franca do Campo</t>
  </si>
  <si>
    <t>+351 296 582 144</t>
  </si>
  <si>
    <t>Doses fartas de petiscos e queijadas.</t>
  </si>
  <si>
    <t>Tasca histórica em São Miguel com azulejo, madeira escura e balcão de pedra. Doses fartas de petiscos e queijadas. Preços honestos e cozinha de tacho. A partir de 12€.</t>
  </si>
  <si>
    <t>Arquitetura</t>
  </si>
  <si>
    <t>Barca, Madalena do Pico</t>
  </si>
  <si>
    <t>+351 292 623 654</t>
  </si>
  <si>
    <t>Petiscos regionais gourmet num bar icónico.</t>
  </si>
  <si>
    <t>Cella Bar em Pico — gastronomia açoreana autentica. Petiscos regionais gourmet num bar icónico. Ingredientes vulcânicos e atlânticos: alcatra, lapas, queijo São Jorge e ananás. 25€ – 40€.</t>
  </si>
  <si>
    <t>Magma</t>
  </si>
  <si>
    <t>Rua do Poço 10, Santo Amaro</t>
  </si>
  <si>
    <t>+351 292 241 200</t>
  </si>
  <si>
    <t>Cozinha regional com vista panorâmica.</t>
  </si>
  <si>
    <t>Magma em Pico — gastronomia açoreana autentica. Cozinha regional com vista panorâmica. Ingredientes vulcânicos e atlânticos: alcatra, lapas, queijo São Jorge e ananás. 30€ – 50€.</t>
  </si>
  <si>
    <t>Aldeia da Cuada</t>
  </si>
  <si>
    <t>Comida Tacho</t>
  </si>
  <si>
    <t>Sítio da Cuada, Fajã Grande</t>
  </si>
  <si>
    <t>+351 292 590 040</t>
  </si>
  <si>
    <t>Inhames com linguiça na aldeia de xisto.</t>
  </si>
  <si>
    <t>Aldeia da Cuada em Flores — gastronomia açoreana autentica. Inhames com linguiça na aldeia de xisto. Ingredientes vulcânicos e atlânticos: alcatra, lapas, queijo São Jorge e ananás. 20€ – 30€.</t>
  </si>
  <si>
    <t>O Ferreiro</t>
  </si>
  <si>
    <t>Rua da Boavista, Santa Cruz</t>
  </si>
  <si>
    <t>+351 292 592 141</t>
  </si>
  <si>
    <t>O melhor bife das Flores, alto e tenro.</t>
  </si>
  <si>
    <t>O Ferreiro em Flores — gastronomia açoreana autentica. O melhor bife das Flores, alto e tenro. Ingredientes vulcânicos e atlânticos: alcatra, lapas, queijo São Jorge e ananás. 18€ – 28€.</t>
  </si>
  <si>
    <t>Os Moinhos</t>
  </si>
  <si>
    <t>Praia, São Mateus</t>
  </si>
  <si>
    <t>+351 295 712 110</t>
  </si>
  <si>
    <t>Cozinha graciosense e linguiça com inhames.</t>
  </si>
  <si>
    <t>Os Moinhos em Graciosa — gastronomia açoreana autentica. Cozinha graciosense e linguiça com inhames. Ingredientes vulcânicos e atlânticos: alcatra, lapas, queijo São Jorge e ananás. 15€ – 25€.</t>
  </si>
  <si>
    <t>Adega Lusitânia</t>
  </si>
  <si>
    <t>Tapas/Regional</t>
  </si>
  <si>
    <t>Rua de São Pedro 63, Angra</t>
  </si>
  <si>
    <t>Morcela com ananás e queijos da ilha.</t>
  </si>
  <si>
    <t>Adega Lusitânia em Terceira — gastronomia açoreana autentica. Morcela com ananás e queijos da ilha. Ingredientes vulcânicos e atlânticos: alcatra, lapas, queijo São Jorge e ananás. 18€ – 28€.</t>
  </si>
  <si>
    <t>Rua de Jesus 73, Praia da Vitória</t>
  </si>
  <si>
    <t>+351 295 513 144</t>
  </si>
  <si>
    <t>Peixe fresco da baía e ambiente náutico.</t>
  </si>
  <si>
    <t>O Pescador em Terceira, especializado em peixe e marisco do dia. Peixe fresco da baía e ambiente náutico. Junto ao porto de pesca ou à costa atlântica. 20€ – 35€.</t>
  </si>
  <si>
    <t>O Jaime</t>
  </si>
  <si>
    <t>Praia do Almoxarife, Horta</t>
  </si>
  <si>
    <t>+351 292 949 153</t>
  </si>
  <si>
    <t>Peixe grelhado com vista para a Montanha.</t>
  </si>
  <si>
    <t>O Jaime em Faial, especializado em peixe e marisco do dia. Peixe grelhado com vista para a Montanha. Junto ao porto de pesca ou à costa atlântica. 15€ – 25€.</t>
  </si>
  <si>
    <t>Botequim</t>
  </si>
  <si>
    <t>Hambúrguer</t>
  </si>
  <si>
    <t>Rua da Misericórdia 10, P. Delgada</t>
  </si>
  <si>
    <t>+351 296 629 110</t>
  </si>
  <si>
    <t>Hambúrguer no prato com carne regional.</t>
  </si>
  <si>
    <t>Botequim em São Miguel — gastronomia açoreana autentica. Hambúrguer no prato com carne regional. Ingredientes vulcânicos e atlânticos: alcatra, lapas, queijo São Jorge e ananás. 10€ – 15€.</t>
  </si>
  <si>
    <t>Quinta dos Açores</t>
  </si>
  <si>
    <t>Carnes/Laticínios</t>
  </si>
  <si>
    <t>Estrada de Santa Luzia, Angra</t>
  </si>
  <si>
    <t>Hambúrgueres de bife e gelados artesanais.</t>
  </si>
  <si>
    <t>Quinta dos Açores em Terceira — gastronomia açoreana autentica. Hambúrgueres de bife e gelados artesanais. Ingredientes vulcânicos e atlânticos: alcatra, lapas, queijo São Jorge e ananás. 12€ – 20€.</t>
  </si>
  <si>
    <t>Tasca do Isaias</t>
  </si>
  <si>
    <t>Rua do Aljube, Ponta Delgada</t>
  </si>
  <si>
    <t>Grelhados no carvão em plena rua.</t>
  </si>
  <si>
    <t>Tasca histórica em São Miguel com azulejo, madeira escura e balcão de pedra. Grelhados no carvão em plena rua. Preços honestos e cozinha de tacho. A partir de 15€.</t>
  </si>
  <si>
    <t>Cozinha do Convento</t>
  </si>
  <si>
    <t>Largo do Convento, Torre de Moncorvo</t>
  </si>
  <si>
    <t>+351 279 252 144</t>
  </si>
  <si>
    <t>Torre Moncorvo</t>
  </si>
  <si>
    <t>Ensopado de borrego e amêndoas cobertas.</t>
  </si>
  <si>
    <t>Cozinha do Convento em Torre Moncorvo — gastronomia açoreana autentica. Ensopado de borrego e amêndoas cobertas. Ingredientes vulcânicos e atlânticos: alcatra, lapas, queijo São Jorge e ananás. 20€ – 30€.</t>
  </si>
  <si>
    <t>Zé da Picanha — Angra</t>
  </si>
  <si>
    <t>Tasca de Carne</t>
  </si>
  <si>
    <t>Rua Direita 14, Angra do Heroísmo</t>
  </si>
  <si>
    <t>+351 295 217 165</t>
  </si>
  <si>
    <t>18€–28€</t>
  </si>
  <si>
    <t>Alcatra à terceirense em panela de barro — carne de vaca com louro, cebola e vinho branco, cozinhada lentamente.</t>
  </si>
  <si>
    <t>Tasca histórica em Angra do Heroísmo com azulejo, madeira escura e balcão de pedra. Alcatra à terceirense em panela de barro — carne de vaca com louro, cebola e vinho branco, cozinhada lentamente. Preços honestos e cozinha de tacho. A partir de 18€.</t>
  </si>
  <si>
    <t>Quinta das Rosas — Furnas</t>
  </si>
  <si>
    <t>Cozinha Geotérmica</t>
  </si>
  <si>
    <t>Furnas, São Miguel, Açores</t>
  </si>
  <si>
    <t>+351 296 584 289</t>
  </si>
  <si>
    <t>28€–45€</t>
  </si>
  <si>
    <t>Furnas, São Miguel</t>
  </si>
  <si>
    <t>Cozido das Furnas enterrado no solo vulcânico a 100°C — único no mundo. Ambiente de jardim botânico com fumarolas à mesa.</t>
  </si>
  <si>
    <t>Quinta das Rosas — Furnas em Furnas — gastronomia açoreana autentica. Cozido das Furnas enterrado no solo vulcânico a 100°C — único no mundo. Ambiente de jardim botânico com fumarolas à mesa. Ingredientes vulcânicos e atlânticos: alcatra, lapas, queijo São Jorge e ananás. 28€–45€.</t>
  </si>
  <si>
    <t>Tony's Restaurant — Horta</t>
  </si>
  <si>
    <t>Mariscos e Peixe</t>
  </si>
  <si>
    <t>Rua Vasco da Gama 4, 9900 Horta</t>
  </si>
  <si>
    <t>+351 292 392 464</t>
  </si>
  <si>
    <t>22€–38€</t>
  </si>
  <si>
    <t>Lapas grelhadas com manteiga e limão, chicharro em molho de vinho. Vista para a marina atlântica do Horta.</t>
  </si>
  <si>
    <t>Tony's Restaurant — Horta em Horta, especializado em peixe e marisco do dia. Lapas grelhadas com manteiga e limão, chicharro em molho de vinho. Vista para a marina atlântica do Horta. Junto ao porto de pesca ou à costa atlântica. 22€–38€.</t>
  </si>
  <si>
    <t>Solar da Lagoa — Sete Cidades</t>
  </si>
  <si>
    <t>Vista e Tradição</t>
  </si>
  <si>
    <t>Sete Cidades, Ponta Delgada</t>
  </si>
  <si>
    <t>+351 296 499 421</t>
  </si>
  <si>
    <t>20€–32€</t>
  </si>
  <si>
    <t>Com vista para a Lagoa Azul e Verde na caldeira vulcânica. Bacalhau à moda dos Açores, ananás de estufa e queijo de São Jorge.</t>
  </si>
  <si>
    <t>Solar da Lagoa — Sete Cidades em Sete Cidades — gastronomia açoreana autentica. Com vista para a Lagoa Azul e Verde na caldeira vulcânica. Bacalhau à moda dos Açores, ananás de estufa e queijo de São Jorge. Ingredientes vulcânicos e atlânticos: alcatra, lapas, queijo São Jorge e ananás. 20€–32€.</t>
  </si>
  <si>
    <t>O Mónaco — Alcatra Real</t>
  </si>
  <si>
    <t>Especialidade Regional</t>
  </si>
  <si>
    <t>Rua Direita 23, Angra do Heroísmo</t>
  </si>
  <si>
    <t>16€–25€</t>
  </si>
  <si>
    <t>Alcatra de carne — prato emblemático da Terceira, cozinhado em caçarola de barro. Frente à Catedral Património UNESCO.</t>
  </si>
  <si>
    <t>O Mónaco — Alcatra Real em Angra do Heroísmo — gastronomia açoreana autentica. Alcatra de carne — prato emblemático da Terceira, cozinhado em caçarola de barro. Frente à Catedral Património UNESCO. Ingredientes vulcânicos e atlânticos: alcatra, lapas, queijo São Jorge e ananás. 16€–25€.</t>
  </si>
  <si>
    <t xml:space="preserve">  🟫  MADEIRA  ·  29 entradas</t>
  </si>
  <si>
    <t>A Bica</t>
  </si>
  <si>
    <t>Rua do Hospital Velho 17, Funchal</t>
  </si>
  <si>
    <t>+351 291 220 338</t>
  </si>
  <si>
    <t>Peixe-espada preto com banana.</t>
  </si>
  <si>
    <t>Tasca histórica em Funchal com azulejo, madeira escura e balcão de pedra. Peixe-espada preto com banana. Preços honestos e cozinha de tacho. A partir de 15€.</t>
  </si>
  <si>
    <t>Taberna Ruel</t>
  </si>
  <si>
    <t>Rua de Santa Maria 119, Funchal</t>
  </si>
  <si>
    <t>+351 291 220 381</t>
  </si>
  <si>
    <t>Produtos frescos do Mercado dos Lavradores.</t>
  </si>
  <si>
    <t>Taberna Ruel em Funchal — sabores madeirenses tradicionais. Produtos frescos do Mercado dos Lavradores. Espetada em pau de loureiro, peixe-espada com banana e bolo do caco caseiro. 25€ – 40€.</t>
  </si>
  <si>
    <t>Restaurante Jaquet</t>
  </si>
  <si>
    <t>Rua de Santa Maria 5, Funchal</t>
  </si>
  <si>
    <t>+351 291 225 344</t>
  </si>
  <si>
    <t>Lapas grelhadas e gaiado.</t>
  </si>
  <si>
    <t>Tasca histórica em Funchal com azulejo, madeira escura e balcão de pedra. Lapas grelhadas e gaiado. Preços honestos e cozinha de tacho. A partir de 15€.</t>
  </si>
  <si>
    <t>Adega da Quinta</t>
  </si>
  <si>
    <t>Rua José Joaquim da Costa</t>
  </si>
  <si>
    <t>+351 291 910 530</t>
  </si>
  <si>
    <t>Espetada em pau de loureiro e milho frito.</t>
  </si>
  <si>
    <t>Adega da Quinta em Câmara de Lobos — sabores madeirenses tradicionais. Espetada em pau de loureiro e milho frito. Espetada em pau de loureiro, peixe-espada com banana e bolo do caco caseiro. 25€ – 35€.</t>
  </si>
  <si>
    <t>Vila da Carne</t>
  </si>
  <si>
    <t>Espetada Regional</t>
  </si>
  <si>
    <t>Rua de São João 30, Câmara de Lobos</t>
  </si>
  <si>
    <t>+351 291 943 472</t>
  </si>
  <si>
    <t>Espetada de carne de vaca com bolo do caco.</t>
  </si>
  <si>
    <t>Vila da Carne em Câmara de Lobos — sabores madeirenses tradicionais. Espetada de carne de vaca com bolo do caco. Espetada em pau de loureiro, peixe-espada com banana e bolo do caco caseiro. 20€ – 35€.</t>
  </si>
  <si>
    <t>Estrada João Gonçalves Zarco 493</t>
  </si>
  <si>
    <t>+351 291 944 040</t>
  </si>
  <si>
    <t>Verdadeira espetada madeirense.</t>
  </si>
  <si>
    <t>O Lagar em Câmara de Lobos — sabores madeirenses tradicionais. Verdadeira espetada madeirense. Espetada em pau de loureiro, peixe-espada com banana e bolo do caco caseiro. 20€ – 30€.</t>
  </si>
  <si>
    <t>As Vides</t>
  </si>
  <si>
    <t>Rua da Achada 17, Estreito</t>
  </si>
  <si>
    <t>+351 291 945 322</t>
  </si>
  <si>
    <t>Berço da espetada em pau de loureiro.</t>
  </si>
  <si>
    <t>As Vides em Câmara de Lobos — sabores madeirenses tradicionais. Berço da espetada em pau de loureiro. Espetada em pau de loureiro, peixe-espada com banana e bolo do caco caseiro. 18€ – 28€.</t>
  </si>
  <si>
    <t>Quinta do Furão</t>
  </si>
  <si>
    <t>Estrada do Furão, Santana</t>
  </si>
  <si>
    <t>+351 291 570 100</t>
  </si>
  <si>
    <t>Ingredientes próprios e vista sobre as falésias.</t>
  </si>
  <si>
    <t>Quinta do Furão em Santana — sabores madeirenses tradicionais. Ingredientes próprios e vista sobre as falésias. Espetada em pau de loureiro, peixe-espada com banana e bolo do caco caseiro. 30€ – 50€.</t>
  </si>
  <si>
    <t>Kalyptus</t>
  </si>
  <si>
    <t>Estrada Monumental 182, Funchal</t>
  </si>
  <si>
    <t>+351 291 765 241</t>
  </si>
  <si>
    <t>Bife de Atum com Milho Frito.</t>
  </si>
  <si>
    <t>Tasca histórica em Funchal com azulejo, madeira escura e balcão de pedra. Bife de Atum com Milho Frito. Preços honestos e cozinha de tacho. A partir de 18€.</t>
  </si>
  <si>
    <t>Largo da Autonomia 1, C. Lobos</t>
  </si>
  <si>
    <t>+351 291 944 356</t>
  </si>
  <si>
    <t>Peixe-Espada Preto e Gatas (peixe seco).</t>
  </si>
  <si>
    <t>O Pescador em Câmara de Lobos, especializado em peixe e marisco do dia. Peixe-Espada Preto e Gatas (peixe seco). Junto ao porto de pesca ou à costa atlântica. 20€ – 30€.</t>
  </si>
  <si>
    <t>Taberna do Capitão</t>
  </si>
  <si>
    <t>Petiscos do Mar</t>
  </si>
  <si>
    <t>Marina do Funchal, Cais da Pontinha</t>
  </si>
  <si>
    <t>+351 291 222 284</t>
  </si>
  <si>
    <t>Lapas grelhadas, Caramujos e Chicharro frito.</t>
  </si>
  <si>
    <t>Tasca histórica em Funchal com azulejo, madeira escura e balcão de pedra. Lapas grelhadas, Caramujos e Chicharro frito. Preços honestos e cozinha de tacho. A partir de 20€.</t>
  </si>
  <si>
    <t>Chalet Vicente</t>
  </si>
  <si>
    <t>Elegante</t>
  </si>
  <si>
    <t>Estrada Monumental 238, Funchal</t>
  </si>
  <si>
    <t>+351 291 765 818</t>
  </si>
  <si>
    <t>Cozinha madeirense burguesa.</t>
  </si>
  <si>
    <t>Chalet Vicente em Funchal — sabores madeirenses tradicionais. Cozinha madeirense burguesa. Espetada em pau de loureiro, peixe-espada com banana e bolo do caco caseiro. 30€ – 50€.</t>
  </si>
  <si>
    <t>Confraria das Lapas</t>
  </si>
  <si>
    <t>Rua de Santa Maria 235, Funchal</t>
  </si>
  <si>
    <t>+351 291 230 144</t>
  </si>
  <si>
    <t>Lapas, caramujos e amêijoas.</t>
  </si>
  <si>
    <t>Confraria das Lapas em Funchal — sabores madeirenses tradicionais. Lapas, caramujos e amêijoas. Espetada em pau de loureiro, peixe-espada com banana e bolo do caco caseiro. 15€ – 25€.</t>
  </si>
  <si>
    <t>Cantinho dos Amigos</t>
  </si>
  <si>
    <t>Estrada Regional 101, Santana</t>
  </si>
  <si>
    <t>+351 291 572 405</t>
  </si>
  <si>
    <t>Sopa de tomate e cebola com ovo escalfado.</t>
  </si>
  <si>
    <t>Cantinho dos Amigos em Santana — sabores madeirenses tradicionais. Sopa de tomate e cebola com ovo escalfado. Espetada em pau de loureiro, peixe-espada com banana e bolo do caco caseiro. 12€ – 20€.</t>
  </si>
  <si>
    <t>Venda Velha</t>
  </si>
  <si>
    <t>Tasca de Noite</t>
  </si>
  <si>
    <t>Rua de Santa Maria 170, Funchal</t>
  </si>
  <si>
    <t>+351 962 400 954</t>
  </si>
  <si>
    <t>Poncha e petiscos (amendoins, dentes de milho).</t>
  </si>
  <si>
    <t>Tasca histórica em Funchal com azulejo, madeira escura e balcão de pedra. Poncha e petiscos (amendoins, dentes de milho). Preços honestos e cozinha de tacho. A partir de 10€.</t>
  </si>
  <si>
    <t>O Velho e o Mar</t>
  </si>
  <si>
    <t>Rua de Santa Maria 44, Funchal</t>
  </si>
  <si>
    <t>+351 291 224 433</t>
  </si>
  <si>
    <t>Arroz de Lagosta e Peixe-Espada.</t>
  </si>
  <si>
    <t>O Velho e o Mar em Funchal, especializado em peixe e marisco do dia. Arroz de Lagosta e Peixe-Espada. Junto ao porto de pesca ou à costa atlântica. 30€ – 50€.</t>
  </si>
  <si>
    <t>Restaurante do Forte</t>
  </si>
  <si>
    <t>Luxo</t>
  </si>
  <si>
    <t>Fortaleza de São Tiago, Funchal</t>
  </si>
  <si>
    <t>+351 291 214 933</t>
  </si>
  <si>
    <t>Gastronomia regional elevada a fine dining.</t>
  </si>
  <si>
    <t>Restaurante do Forte em Funchal — sabores madeirenses tradicionais. Gastronomia regional elevada a fine dining. Espetada em pau de loureiro, peixe-espada com banana e bolo do caco caseiro. 40€ – 65€.</t>
  </si>
  <si>
    <t>Solar do Peixe</t>
  </si>
  <si>
    <t>Largo da Graça, Caniçal</t>
  </si>
  <si>
    <t>+351 291 965 244</t>
  </si>
  <si>
    <t>O templo do peixe-espada.</t>
  </si>
  <si>
    <t>Solar do Peixe em Machico, especializado em peixe e marisco do dia. O templo do peixe-espada. Junto ao porto de pesca ou à costa atlântica. 20€ – 30€.</t>
  </si>
  <si>
    <t>Baía do Engenho</t>
  </si>
  <si>
    <t>Estrada de S. João, Arco da Calheta</t>
  </si>
  <si>
    <t>+351 291 823 410</t>
  </si>
  <si>
    <t>Cozinha clássica com vista sobre o vale.</t>
  </si>
  <si>
    <t>Baía do Engenho em Calheta — sabores madeirenses tradicionais. Cozinha clássica com vista sobre o vale. Espetada em pau de loureiro, peixe-espada com banana e bolo do caco caseiro. 18€ – 28€.</t>
  </si>
  <si>
    <t>Liana's</t>
  </si>
  <si>
    <t>Peixe-Espada</t>
  </si>
  <si>
    <t>Rua José da Silva S/N, Funchal</t>
  </si>
  <si>
    <t>+351 291 762 144</t>
  </si>
  <si>
    <t>Peixe-Espada Preto com molho de Maracujá.</t>
  </si>
  <si>
    <t>Liana's em Funchal, especializado em peixe e marisco do dia. Peixe-Espada Preto com molho de Maracujá. Junto ao porto de pesca ou à costa atlântica. 20€ – 30€.</t>
  </si>
  <si>
    <t>Pizzaria Xaramba</t>
  </si>
  <si>
    <t>Rua do Carmo 23, Funchal</t>
  </si>
  <si>
    <t>+351 291 233 444</t>
  </si>
  <si>
    <t>Bifes de atum e pregos (apesar do nome).</t>
  </si>
  <si>
    <t>Pizzaria Xaramba em Funchal — sabores madeirenses tradicionais. Bifes de atum e pregos (apesar do nome). Espetada em pau de loureiro, peixe-espada com banana e bolo do caco caseiro. 15€ – 25€.</t>
  </si>
  <si>
    <t>Londres</t>
  </si>
  <si>
    <t>Rua da Carreira 77, Funchal</t>
  </si>
  <si>
    <t>+351 291 225 152</t>
  </si>
  <si>
    <t>Comida caseira barata e de excelência.</t>
  </si>
  <si>
    <t>Tasca histórica em Funchal com azulejo, madeira escura e balcão de pedra. Comida caseira barata e de excelência. Preços honestos e cozinha de tacho. A partir de 12€.</t>
  </si>
  <si>
    <t>Santo António</t>
  </si>
  <si>
    <t>Espetada</t>
  </si>
  <si>
    <t>Estreito de Câmara de Lobos</t>
  </si>
  <si>
    <t>N/D</t>
  </si>
  <si>
    <t>Estreito</t>
  </si>
  <si>
    <t>Espetada regional pura.</t>
  </si>
  <si>
    <t>Santo António em Estreito — sabores madeirenses tradicionais. Espetada regional pura. Espetada em pau de loureiro, peixe-espada com banana e bolo do caco caseiro. 20€ – 30€.</t>
  </si>
  <si>
    <t>Forjaria</t>
  </si>
  <si>
    <t>Cozinha Tacho</t>
  </si>
  <si>
    <t>Terreiro, Calheta de S. Jorge</t>
  </si>
  <si>
    <t>+351 295 416 111</t>
  </si>
  <si>
    <t>Cortes de carne em antiga oficina recuperada.</t>
  </si>
  <si>
    <t>Forjaria em São Jorge — sabores madeirenses tradicionais. Cortes de carne em antiga oficina recuperada. Espetada em pau de loureiro, peixe-espada com banana e bolo do caco caseiro. 15€ – 25€.</t>
  </si>
  <si>
    <t>O Tapassol</t>
  </si>
  <si>
    <t>Tasca Regional</t>
  </si>
  <si>
    <t>Rua Dom Carlos I 62, 9000 Funchal</t>
  </si>
  <si>
    <t>+351 291 225 023</t>
  </si>
  <si>
    <t>20€–35€</t>
  </si>
  <si>
    <t>Espetada de carne em espeto de pau de loureiro, bolo do caco com manteiga de alho. Referência da cozinha madeirense desde 1986.</t>
  </si>
  <si>
    <t>Tasca histórica em Funchal com azulejo, madeira escura e balcão de pedra. Espetada de carne em espeto de pau de loureiro, bolo do caco com manteiga de alho. Referência da cozinha madeirense desde 1986. Preços honestos e cozinha de tacho. A partir de 20€.</t>
  </si>
  <si>
    <t>Gavião Novo</t>
  </si>
  <si>
    <t>Peixe Tradicional</t>
  </si>
  <si>
    <t>Rua de Santa Maria 131, 9050 Funchal</t>
  </si>
  <si>
    <t>+351 291 229 238</t>
  </si>
  <si>
    <t>30€–55€</t>
  </si>
  <si>
    <t>O mais antigo restaurante de peixe-espada do Funchal (1943). Peixe-espada preto com banana da Madeira — prato icónico da ilha.</t>
  </si>
  <si>
    <t>Gavião Novo em Funchal, especializado em peixe e marisco do dia. O mais antigo restaurante de peixe-espada do Funchal (1943). Peixe-espada preto com banana da Madeira — prato icónico da ilha. Junto ao porto de pesca ou à costa atlântica. 30€–55€.</t>
  </si>
  <si>
    <t>Tasca Literária</t>
  </si>
  <si>
    <t>Rua de Santa Maria 57, 9050 Funchal</t>
  </si>
  <si>
    <t>+351 291 224 622</t>
  </si>
  <si>
    <t>Funchal — Zona Velha</t>
  </si>
  <si>
    <t>Lapas grelhadas, prego no bolo do caco, poncha artesanal. Na Zona Velha junto às portas pintadas. Ambiente literário.</t>
  </si>
  <si>
    <t>Tasca histórica em Funchal — Zona Velha com azulejo, madeira escura e balcão de pedra. Lapas grelhadas, prego no bolo do caco, poncha artesanal. Na Zona Velha junto às portas pintadas. Ambiente literário. Preços honestos e cozinha de tacho. A partir de 18€.</t>
  </si>
  <si>
    <t>Cantinho da Serra</t>
  </si>
  <si>
    <t>Regional de Altitude</t>
  </si>
  <si>
    <t>Achadas da Cruz, 9270 Porto Moniz</t>
  </si>
  <si>
    <t>+351 291 853 023</t>
  </si>
  <si>
    <t>18€–30€</t>
  </si>
  <si>
    <t>Porto Moniz — Achadas da Cruz</t>
  </si>
  <si>
    <t>Acesso único por teleférico rural a 400m sobre o Atlântico. Bacalhau com batata-doce da Madeira, cabrito estufado com inhame.</t>
  </si>
  <si>
    <t>Cantinho da Serra em Porto Moniz — Achadas da Cruz — sabores madeirenses tradicionais. Acesso único por teleférico rural a 400m sobre o Atlântico. Bacalhau com batata-doce da Madeira, cabrito estufado com inhame. Espetada em pau de loureiro, peixe-espada com banana e bolo do caco caseiro. 18€–30€.</t>
  </si>
  <si>
    <t>Armazém do Sal</t>
  </si>
  <si>
    <t>Alta Cozinha</t>
  </si>
  <si>
    <t>Rua da Alfândega 135, 9000 Funchal</t>
  </si>
  <si>
    <t>+351 291 241 285</t>
  </si>
  <si>
    <t>45€–75€</t>
  </si>
  <si>
    <t>No armazém de sal do porto do Funchal (séc. XVIII). Cozinha criativa madeirense. Harmonização com Vinho Madeira histórico — Verdelho, Bual e Sercial.</t>
  </si>
  <si>
    <t>Armazém do Sal em Funchal — sabores madeirenses tradicionais. No armazém de sal do porto do Funchal (séc. XVIII). Cozinha criativa madeirense. Harmonização com Vinho Madeira histórico — Verdelho, Bual e Sercial. Espetada em pau de loureiro, peixe-espada com banana e bolo do caco caseiro. 45€–75€.</t>
  </si>
  <si>
    <t>🍽️  283 entradas  ·  Portugal Vivo</t>
  </si>
  <si>
    <t>🏢  ENTIDADES E OPERADORES  —  57 entradas</t>
  </si>
  <si>
    <t>Norte · Centro · Lisboa · Alentejo · Algarve · Açores · Madeira  ·  Câmaras, Juntas de Turismo e Operadores Regionais</t>
  </si>
  <si>
    <t xml:space="preserve">  🟦  NORTE  ·  8 entradas</t>
  </si>
  <si>
    <t>Turismo do Porto e Norte de Portugal, E.R. (TPNP)</t>
  </si>
  <si>
    <t>Entidade Oficial</t>
  </si>
  <si>
    <t>Planeamento e promoção dos 86 municípios da região</t>
  </si>
  <si>
    <t>Sede em Viana do Castelo; entidade pública regional</t>
  </si>
  <si>
    <t>Associação de Turismo do Porto e Norte (ATP)</t>
  </si>
  <si>
    <t>Associação</t>
  </si>
  <si>
    <t>Promoção em mercados externos; City Breaks e Natureza</t>
  </si>
  <si>
    <t>Porto / Norte</t>
  </si>
  <si>
    <t>Agência Regional de Promoção Turística</t>
  </si>
  <si>
    <t>Cooltour Oporto</t>
  </si>
  <si>
    <t>Operador Turístico</t>
  </si>
  <si>
    <t>Experiências autênticas no Porto e região Norte</t>
  </si>
  <si>
    <t>Operador com raízes locais; foco em autenticidade</t>
  </si>
  <si>
    <t>In Tours Portugal</t>
  </si>
  <si>
    <t>DMC</t>
  </si>
  <si>
    <t>Programas específicos Porto e Norte; DMC</t>
  </si>
  <si>
    <t>Agência de viagens e Destination Management Company</t>
  </si>
  <si>
    <t>At Porto Incoming Tourism</t>
  </si>
  <si>
    <t>Património cultural e gastronómico do Norte</t>
  </si>
  <si>
    <t>Focado em incoming de turismo cultural</t>
  </si>
  <si>
    <t>Ecolotours Turismo</t>
  </si>
  <si>
    <t>Turismo de grupo; forte atuação no Douro e Porto</t>
  </si>
  <si>
    <t>Especialistas em turismo de grupo</t>
  </si>
  <si>
    <t>Alma at Porto</t>
  </si>
  <si>
    <t>Animação Turística</t>
  </si>
  <si>
    <t>Rotas e experiências com atendimento personalizado</t>
  </si>
  <si>
    <t>Empresa de animação turística com foco no Porto</t>
  </si>
  <si>
    <t>Operadores de Cruzeiros Douro</t>
  </si>
  <si>
    <t>Cruzeiros fluviais e visitas a quintas durienses</t>
  </si>
  <si>
    <t>Douro (vários)</t>
  </si>
  <si>
    <t>Diversos agentes certificados; verificar em Douro Histórico</t>
  </si>
  <si>
    <t xml:space="preserve">  🟧  ALENTEJO  ·  10 entradas</t>
  </si>
  <si>
    <t>Turismo do Alentejo, E.R.T.</t>
  </si>
  <si>
    <t>Planeamento e desenvolvimento turístico regional</t>
  </si>
  <si>
    <t>Entidade Regional de Turismo — ponto de contacto institucional</t>
  </si>
  <si>
    <t>ARPTA – Ag. Regional de Promoção Turística do Alentejo</t>
  </si>
  <si>
    <t>Promoção externa do destino Alentejo</t>
  </si>
  <si>
    <t>Focada em mercados externos; integrada na rede Visit Alentejo</t>
  </si>
  <si>
    <t>ASTO – Observatório do Turismo Sustentável do Alentejo</t>
  </si>
  <si>
    <t>Monitorização da sustentabilidade turística regional</t>
  </si>
  <si>
    <t>Integrado na rede da UN Tourism</t>
  </si>
  <si>
    <t>Do Alentejo Pro Mundo</t>
  </si>
  <si>
    <t>Agência de Viagens</t>
  </si>
  <si>
    <t>Agência de Viagens e Turismo</t>
  </si>
  <si>
    <t>Operador local registado no concelho de Alandroal</t>
  </si>
  <si>
    <t>Domitur Travel</t>
  </si>
  <si>
    <t>Viagens e turismo</t>
  </si>
  <si>
    <t>Operador local registado no concelho de Almodôvar</t>
  </si>
  <si>
    <t>Arraiolos Tours e Transfers</t>
  </si>
  <si>
    <t>Transfers e tours locais</t>
  </si>
  <si>
    <t>Operador local especializado em transfers</t>
  </si>
  <si>
    <t>Land &amp; Sea Alentejo</t>
  </si>
  <si>
    <t>Experiências de natureza e mar</t>
  </si>
  <si>
    <t>Agência de animação turística em Beja</t>
  </si>
  <si>
    <t>Horizonte Infinito</t>
  </si>
  <si>
    <t>Turismo de natureza e aventura</t>
  </si>
  <si>
    <t>Operador local em Beja</t>
  </si>
  <si>
    <t>Operadores de Walking &amp; Cycling – Alentejo</t>
  </si>
  <si>
    <t>Caminhadas, ciclismo, Caminhos de Santiago, Rota Vicentina</t>
  </si>
  <si>
    <t>Alentejo (vários)</t>
  </si>
  <si>
    <t>Mais de 80 agências e operadores registados na região</t>
  </si>
  <si>
    <t>Enoturismo Alentejo – Quintas e Herdades</t>
  </si>
  <si>
    <t>Visitas a adegas, provas de vinho, enoturismo</t>
  </si>
  <si>
    <t>Quintas e herdades com reserva direta para provas e visitas</t>
  </si>
  <si>
    <t xml:space="preserve">  🟥  ALGARVE  ·  17 entradas</t>
  </si>
  <si>
    <t>Região de Turismo do Algarve (RTA)</t>
  </si>
  <si>
    <t>Planeamento e coordenação do turismo regional</t>
  </si>
  <si>
    <t>Principal organismo público de turismo no Algarve</t>
  </si>
  <si>
    <t>Associação Turismo do Algarve (ATA)</t>
  </si>
  <si>
    <t>Promoção internacional do destino Algarve</t>
  </si>
  <si>
    <t>Opera através do portal oficial VisitAlgarve</t>
  </si>
  <si>
    <t>AHISA – Associação de Hotelaria do Algarve</t>
  </si>
  <si>
    <t>Representação do setor hoteleiro</t>
  </si>
  <si>
    <t>Parceiro estratégico setorial no Algarve</t>
  </si>
  <si>
    <t>APAVT – Assoc. Portuguesa de Agências de Viagem</t>
  </si>
  <si>
    <t>Representação de agências de viagem</t>
  </si>
  <si>
    <t>Lisboa / Algarve</t>
  </si>
  <si>
    <t>Parceiro estratégico setorial a nível nacional</t>
  </si>
  <si>
    <t>Viagens Turiossónoba</t>
  </si>
  <si>
    <t>Consultoria de viagens e acompanhamento personalizado</t>
  </si>
  <si>
    <t>Especializada em viagens de grupo e consultoria</t>
  </si>
  <si>
    <t>Rickytravel</t>
  </si>
  <si>
    <t>Alojamento e pacotes de férias</t>
  </si>
  <si>
    <t>Forte presença online; pacotes para a região</t>
  </si>
  <si>
    <t>Litoral Blue</t>
  </si>
  <si>
    <t>Transfers privados e tours personalizados</t>
  </si>
  <si>
    <t>RNAVT 7056 — operador registado</t>
  </si>
  <si>
    <t>ClubAlgarve</t>
  </si>
  <si>
    <t>Viagens e pacotes para mercado local e internacional</t>
  </si>
  <si>
    <t>Viagens em grupo; programas para 2026</t>
  </si>
  <si>
    <t>Asalgarve</t>
  </si>
  <si>
    <t>Reservas e apoio ao cliente local</t>
  </si>
  <si>
    <t>Agência registada com serviços de proximidade</t>
  </si>
  <si>
    <t>Atravel (DMC)</t>
  </si>
  <si>
    <t>Gestão de destino (Destination Management Company)</t>
  </si>
  <si>
    <t>DMC especializado em programas para grupos e incentivos</t>
  </si>
  <si>
    <t>Viagens El Corte Inglés – Algarve</t>
  </si>
  <si>
    <t>Balcões físicos em centros comerciais da região</t>
  </si>
  <si>
    <t>Algarve (vários)</t>
  </si>
  <si>
    <t>Grande rede com presença física no Algarve</t>
  </si>
  <si>
    <t>Algarve Moments</t>
  </si>
  <si>
    <t>Jeep Safaris, Grutas de Benagil, observação de golfinhos</t>
  </si>
  <si>
    <t>Experiências emblemáticas do Algarve</t>
  </si>
  <si>
    <t>Extremo Sul</t>
  </si>
  <si>
    <t>Animação turística diversificada no Algarve</t>
  </si>
  <si>
    <t>Empresa distinguida em animação turística</t>
  </si>
  <si>
    <t>Frota Azul Algarve</t>
  </si>
  <si>
    <t>Transporte turístico e logística de grupos</t>
  </si>
  <si>
    <t>Operador histórico desde 1981</t>
  </si>
  <si>
    <t>Iberian Escapes</t>
  </si>
  <si>
    <t>Experiências de luxo personalizadas e concierge</t>
  </si>
  <si>
    <t>Agência de lifestyle e concierge premium</t>
  </si>
  <si>
    <t>Rotatur</t>
  </si>
  <si>
    <t>Transporte e tours privados adaptados</t>
  </si>
  <si>
    <t>Operador local de transportes e tours</t>
  </si>
  <si>
    <t>Domitur Vilamoura</t>
  </si>
  <si>
    <t>Programas para grupos e indivíduos</t>
  </si>
  <si>
    <t>Especializado em programas turísticos diversificados</t>
  </si>
  <si>
    <t>Visit Azores (ART – Assoc. Turismo dos Açores)</t>
  </si>
  <si>
    <t>Promoção externa e portal oficial de empresas certificadas por ilha</t>
  </si>
  <si>
    <t>Entidade responsável pela promoção externa do arquipélago</t>
  </si>
  <si>
    <t>Direção Regional do Turismo dos Açores (DRT)</t>
  </si>
  <si>
    <t>Regulação e fiscalização da atividade turística</t>
  </si>
  <si>
    <t>Organismo do Governo Regional dos Açores</t>
  </si>
  <si>
    <t>Melo Travel</t>
  </si>
  <si>
    <t>Programas personalizados e logística inter-ilhas</t>
  </si>
  <si>
    <t>Ponta Delgada (S. Miguel)</t>
  </si>
  <si>
    <t>Uma das agências de referência no arquipélago</t>
  </si>
  <si>
    <t>Agência de viagens + atividades de aventura em S. Miguel e Terceira</t>
  </si>
  <si>
    <t>Operador líder; combina viagens e atividades</t>
  </si>
  <si>
    <t>Ilha Verde (Grupo)</t>
  </si>
  <si>
    <t>Aluguer de viaturas e organização de serviços turísticos</t>
  </si>
  <si>
    <t>Açores (vários)</t>
  </si>
  <si>
    <t>Forte rede de balcões por todo o arquipélago</t>
  </si>
  <si>
    <t>Futurismo Azores Adventure</t>
  </si>
  <si>
    <t>Ecoturismo e observação de cetáceos</t>
  </si>
  <si>
    <t>Um dos maiores operadores de incoming nos Açores</t>
  </si>
  <si>
    <t>Observação de cetáceos (baleias e golfinhos)</t>
  </si>
  <si>
    <t>Pico (Lajes)</t>
  </si>
  <si>
    <t>Referência mundial em whale watching</t>
  </si>
  <si>
    <t>Norberto Azores</t>
  </si>
  <si>
    <t>Faial (Horta)</t>
  </si>
  <si>
    <t>Referência mundial em whale watching no Faial</t>
  </si>
  <si>
    <t>Pico Me Up</t>
  </si>
  <si>
    <t>Subida ao ponto mais alto de Portugal (Pico 2351m)</t>
  </si>
  <si>
    <t>Especialista em montanhismo no Pico</t>
  </si>
  <si>
    <t>Subida e atividades de montanha no Pico</t>
  </si>
  <si>
    <t>Foco exclusivo no montanhismo e trekking no Pico</t>
  </si>
  <si>
    <t>Azores Adventure Islands</t>
  </si>
  <si>
    <t>Canyoning e exploração terrestre/aquática em S. Miguel e Flores</t>
  </si>
  <si>
    <t>S. Miguel / Flores</t>
  </si>
  <si>
    <t>Destaque em atividades de exploração e canyoning</t>
  </si>
  <si>
    <t>Fun Activities Açores</t>
  </si>
  <si>
    <t>Atividades de exploração terrestre e aquática</t>
  </si>
  <si>
    <t>Especialistas em aventura e natureza nos Açores</t>
  </si>
  <si>
    <t xml:space="preserve">  🟫  MADEIRA  ·  10 entradas</t>
  </si>
  <si>
    <t>Direção Regional do Turismo (DRT Madeira)</t>
  </si>
  <si>
    <t>Política turística da Região Autónoma da Madeira</t>
  </si>
  <si>
    <t>Organismo governamental de definição, execução e fiscalização</t>
  </si>
  <si>
    <t>Associação de Promoção da Madeira (APM)</t>
  </si>
  <si>
    <t>Promoção da Madeira e Porto Santo nos mercados externos</t>
  </si>
  <si>
    <t>Entidade público-privada de promoção externa</t>
  </si>
  <si>
    <t>Visit Madeira (Portal Oficial)</t>
  </si>
  <si>
    <t>Portal Oficial</t>
  </si>
  <si>
    <t>Diretório de agentes e postos de informação turística</t>
  </si>
  <si>
    <t>Portal oficial com diretório completo de operadores</t>
  </si>
  <si>
    <t>EMVIAGEM</t>
  </si>
  <si>
    <t>Serviços completos de agência de viagens</t>
  </si>
  <si>
    <t>Localizada na Rua 31 de Janeiro, Funchal</t>
  </si>
  <si>
    <t>Mediterranean Travel Services (MTS)</t>
  </si>
  <si>
    <t>Incoming de grupos, incentivos e reservas locais</t>
  </si>
  <si>
    <t>Grande operador de incoming; sede na Rua dos Aranhas, Funchal</t>
  </si>
  <si>
    <t>André Tours</t>
  </si>
  <si>
    <t>Serviços personalizados para individuais e grupos; forte presença na Madeira</t>
  </si>
  <si>
    <t>DMC com atuação em todo o país</t>
  </si>
  <si>
    <t>Manuel José, Agência de Viagens</t>
  </si>
  <si>
    <t>Agência local registada no diretório oficial</t>
  </si>
  <si>
    <t>Agente certificado no diretório Visit Madeira</t>
  </si>
  <si>
    <t>Adventure Land Madeira</t>
  </si>
  <si>
    <t>Safaris de jipe e tours de aventura</t>
  </si>
  <si>
    <t>Especialista em tours off-road e aventura</t>
  </si>
  <si>
    <t>Belmiro Jardim Mendes</t>
  </si>
  <si>
    <t>Atividades marítimo-turísticas</t>
  </si>
  <si>
    <t>RNAAT 161/2016 — operador marítimo certificado</t>
  </si>
  <si>
    <t>AlbanoAktiv</t>
  </si>
  <si>
    <t>Turismo ativo: ciclismo e caminhadas</t>
  </si>
  <si>
    <t>Especialista em atividades de turismo ativo na ilha</t>
  </si>
  <si>
    <t>🏢  57 entradas  ·  Portugal Vivo</t>
  </si>
  <si>
    <t>🛖  ALOJAMENTOS RURAIS  —  133 entradas</t>
  </si>
  <si>
    <t>Norte · Centro · Lisboa · Alentejo · Algarve · Açores · Madeira  ·  Turismo Rural, Quintas e Casas de Campo</t>
  </si>
  <si>
    <t xml:space="preserve">  🟦  NORTE  ·  133 entradas</t>
  </si>
  <si>
    <t>Casitas com charme</t>
  </si>
  <si>
    <t>Campo</t>
  </si>
  <si>
    <t>12 prop.</t>
  </si>
  <si>
    <t>16 casas de aldeia restauradas em local pitoresco dos Açores; restaurante de cozinha tradicional açoriana sazonal</t>
  </si>
  <si>
    <t>Azul Singular</t>
  </si>
  <si>
    <t>Glamping</t>
  </si>
  <si>
    <t>8 prop.</t>
  </si>
  <si>
    <t>Glamping em tenda de madeira e lona; no coração de uma plantação de plantas de todo o mundo</t>
  </si>
  <si>
    <t>Bananas Lodge</t>
  </si>
  <si>
    <t>2 prop.</t>
  </si>
  <si>
    <t>2 bungalows charmosos perto das melhores praias de surf de São Miguel; ambiente tropical</t>
  </si>
  <si>
    <t>Cabanas da Viscondessa</t>
  </si>
  <si>
    <t>Urzelina, São Jorge</t>
  </si>
  <si>
    <t>6 prop.</t>
  </si>
  <si>
    <t>Cabanas modernas de madeira com história; vistas deslumbrantes, gastronomia local, surf e whale watching</t>
  </si>
  <si>
    <t>Caparica Azores Ecolodge</t>
  </si>
  <si>
    <t>7 prop.</t>
  </si>
  <si>
    <t>Retiro natural ecológico em harmonia com a natureza; ar puro e clima agradável</t>
  </si>
  <si>
    <t>Herdade do Ananás</t>
  </si>
  <si>
    <t>Bed &amp; Breakfast</t>
  </si>
  <si>
    <t>8 quartos</t>
  </si>
  <si>
    <t>Rodeado de estufas de ananás; receção com pão artesanal e sumos frescos dos pomares</t>
  </si>
  <si>
    <t>Pico do Refúgio</t>
  </si>
  <si>
    <t>Apartamentos de férias</t>
  </si>
  <si>
    <t>5 prop.</t>
  </si>
  <si>
    <t>Hotel rural do séc. XVII; antiga fortaleza e fábrica de chá com vistas para o mar</t>
  </si>
  <si>
    <t>Pocinho Bay</t>
  </si>
  <si>
    <t>Hotel &amp; Self-Catering</t>
  </si>
  <si>
    <t>À beira-mar</t>
  </si>
  <si>
    <t>5 quartos</t>
  </si>
  <si>
    <t>Junto ao mar; camas de cedro polido feitas à mão; inspiração nas casas de pedra de lava do Pocinho</t>
  </si>
  <si>
    <t>Quinta da Magnolia</t>
  </si>
  <si>
    <t>Hotel Rural</t>
  </si>
  <si>
    <t>Ilha</t>
  </si>
  <si>
    <t>10 quartos</t>
  </si>
  <si>
    <t>Reconstruída com pedras de basalto originais; cada suite tem identidade própria</t>
  </si>
  <si>
    <t>Quinta dos Mistérios</t>
  </si>
  <si>
    <t>Santo Amaro, São Jorge</t>
  </si>
  <si>
    <t>Refúgio intemporal ligado à natureza vulcânica e prados verdes de São Jorge</t>
  </si>
  <si>
    <t>Santa Barbara Eco-Beach Resort</t>
  </si>
  <si>
    <t>Hotel de Luxo</t>
  </si>
  <si>
    <t>30 quartos</t>
  </si>
  <si>
    <t>Primeiro resort de praia ecológico dos Açores; vista para a praia de Santa Bárbara</t>
  </si>
  <si>
    <t>Sea U Pico</t>
  </si>
  <si>
    <t>Casita</t>
  </si>
  <si>
    <t>São Vicente, Pico</t>
  </si>
  <si>
    <t>6 pessoas</t>
  </si>
  <si>
    <t>Vistas deslumbrantes sobre o oceano; charme rústico com comodidades modernas</t>
  </si>
  <si>
    <t>Villa Natura - Ecoturismo</t>
  </si>
  <si>
    <t>Casa de férias</t>
  </si>
  <si>
    <t>Na Reserva Natural do Figueiral-Prainha; acesso direto à Praia Formosa; premiada em turismo sustentável</t>
  </si>
  <si>
    <t>Lava Homes</t>
  </si>
  <si>
    <t>Bed &amp; Breakfast / Casa</t>
  </si>
  <si>
    <t>Lajes do Pico, Pico</t>
  </si>
  <si>
    <t>14 prop.</t>
  </si>
  <si>
    <t>Villas ecológicas com vistas panorâmicas sobre o oceano; piscina, spa e restaurante em terreno vulcânico</t>
  </si>
  <si>
    <t>Calhau Grande</t>
  </si>
  <si>
    <t>Casas ecológicas e autossuficientes numa pequena vila; jardim cuidado com amor; decoração tradicional</t>
  </si>
  <si>
    <t>Casas de Levada</t>
  </si>
  <si>
    <t>Estreito da Calheta</t>
  </si>
  <si>
    <t>6 casas de pedra em 5000 m²; piscina infinita com vista para o oceano; profundo amor pela terra</t>
  </si>
  <si>
    <t>Quinta Grande</t>
  </si>
  <si>
    <t>9 prop.</t>
  </si>
  <si>
    <t>Acessível só por teleférico ou barco; produções de vinho Malvasia; antigo refúgio de padres</t>
  </si>
  <si>
    <t>Casa do Rio Vez</t>
  </si>
  <si>
    <t>3 prop.</t>
  </si>
  <si>
    <t>3 casas minimalistas de vidro junto ao Rio Vez; espaços luminosos e vistas deslumbrantes para o rio</t>
  </si>
  <si>
    <t>Casas do Côro</t>
  </si>
  <si>
    <t>Mêda, Douro</t>
  </si>
  <si>
    <t>20 quartos</t>
  </si>
  <si>
    <t>Casas de arquitetura beirã reconstruídas; restaurante gourmet, piscina, chapel e horta biológica</t>
  </si>
  <si>
    <t>Morgadio da Calçada</t>
  </si>
  <si>
    <t>Provesende, Douro</t>
  </si>
  <si>
    <t>Região Vinícola</t>
  </si>
  <si>
    <t>Hotel do séc. XVII entre vinhas e oliveiras; provas de vinhos e piscina exterior no Douro</t>
  </si>
  <si>
    <t>Morphosis Boutique Home</t>
  </si>
  <si>
    <t>Celeirós do Douro</t>
  </si>
  <si>
    <t>3 apartamentos rústicos contemporâneos rodeados de vinhas; degustação de vinhos com os anfitriões</t>
  </si>
  <si>
    <t>Pousada Mosteiro de Guimarães</t>
  </si>
  <si>
    <t>Pousada</t>
  </si>
  <si>
    <t>51 quartos</t>
  </si>
  <si>
    <t>Galardoada com prémio de arquitetura; fachadas de granito e jardins; vista sobre a cidade berço</t>
  </si>
  <si>
    <t>Quinta da Corte</t>
  </si>
  <si>
    <t>Valença do Douro</t>
  </si>
  <si>
    <t>7 quartos</t>
  </si>
  <si>
    <t>Propriedade histórica do séc. XIX; piscina de beiral infinito e terraço panorâmico sobre o Douro</t>
  </si>
  <si>
    <t>Quinta da Gricha - Gricha Vineyard House</t>
  </si>
  <si>
    <t>São João da Pesqueira, Douro</t>
  </si>
  <si>
    <t>4 quartos</t>
  </si>
  <si>
    <t>Retiro íntimo e luxuoso no Douro; quinta restaurada do séc. XIX com 50 hectares de vinha</t>
  </si>
  <si>
    <t>Quinta do Vallado</t>
  </si>
  <si>
    <t>Peso da Régua, Douro</t>
  </si>
  <si>
    <t>13 quartos</t>
  </si>
  <si>
    <t>Enoturismo icónico desde 1716; 70 hectares de vinhas com vinhos reconhecidos internacionalmente</t>
  </si>
  <si>
    <t>Tapada de São Domingos</t>
  </si>
  <si>
    <t>Casas de férias</t>
  </si>
  <si>
    <t>Foz do Sousa, Douro</t>
  </si>
  <si>
    <t>4 prop.</t>
  </si>
  <si>
    <t>4 casas independentes em ardósia a 12 km do Porto; piscina privativa e vistas para o rio</t>
  </si>
  <si>
    <t>Terra Rosa Country House &amp; Vineyards</t>
  </si>
  <si>
    <t>Design Hotel</t>
  </si>
  <si>
    <t>Ponte de Lima, Minho</t>
  </si>
  <si>
    <t>70 hectares com 50 de vinhas; piscina aquecida; paisagem vinícola única no Minho</t>
  </si>
  <si>
    <t>Tower House</t>
  </si>
  <si>
    <t>7 pessoas</t>
  </si>
  <si>
    <t>Propriedade tradicional com origens medievais no sopé da Serra da Cabreira; perto do Porto e Braga</t>
  </si>
  <si>
    <t>Bode Country House</t>
  </si>
  <si>
    <t>11 quartos</t>
  </si>
  <si>
    <t>Aos pés das falésias de granito de Monsanto; piscina infinita com vistas panorâmicas e bistro sazonal</t>
  </si>
  <si>
    <t>Casa da Cisterna</t>
  </si>
  <si>
    <t>12 quartos</t>
  </si>
  <si>
    <t>Hotel boutique com história; destino secreto no interior; caminhadas, ciclismo e personalização total</t>
  </si>
  <si>
    <t>Manteigas, Serra da Estrela</t>
  </si>
  <si>
    <t>Serra</t>
  </si>
  <si>
    <t>18 quartos</t>
  </si>
  <si>
    <t>Hotel de design na Serra da Estrela; baloiço suspenso sobre o vale glaciário; interior minimalista</t>
  </si>
  <si>
    <t>Casa de São Lourenço / Burel Panorama Hotel</t>
  </si>
  <si>
    <t>21 quartos</t>
  </si>
  <si>
    <t>Hotel sustentável 5★ na Serra da Estrela; restaurante imperdível; vistas sobre o rio Zêzere</t>
  </si>
  <si>
    <t>Cooking and Nature Emotional Hotel</t>
  </si>
  <si>
    <t>Alvados</t>
  </si>
  <si>
    <t>Cada quarto tem nome de emoção; gastronomia regional; passeios a cavalo e ciclismo</t>
  </si>
  <si>
    <t>Encosta do Sobreiro - Serra da Estrela</t>
  </si>
  <si>
    <t>4 casas para até 10 pessoas; ski, caminhadas, parapente e aldeias históricas na Serra da Estrela</t>
  </si>
  <si>
    <t>Flamboyant bed &amp; breakfast</t>
  </si>
  <si>
    <t>Hotel</t>
  </si>
  <si>
    <t>Serra do Bouro</t>
  </si>
  <si>
    <t>Costa</t>
  </si>
  <si>
    <t>Experiência boutique na Costa de Prata a preço acessível</t>
  </si>
  <si>
    <t>Luz Houses</t>
  </si>
  <si>
    <t>15 quartos</t>
  </si>
  <si>
    <t>Perto do Santuário de Fátima; trilhas meditativas, gruta terapêutica e lareira nos quartos</t>
  </si>
  <si>
    <t>Villa Pedra Natural Houses</t>
  </si>
  <si>
    <t>11 prop.</t>
  </si>
  <si>
    <t>Hotel rural ecológico na Aldeia de Cima; casas independentes com privacidade entre olivais</t>
  </si>
  <si>
    <t>Aethos Ericeira</t>
  </si>
  <si>
    <t>50 quartos</t>
  </si>
  <si>
    <t>Hotel de design contemporâneo a curta distância a pé da praia; perfeito para surf</t>
  </si>
  <si>
    <t>Areias do Seixo</t>
  </si>
  <si>
    <t>14 quartos</t>
  </si>
  <si>
    <t>Hotel 5★ a passos da praia; mix de móveis tradicionais, antigos e modernos; restaurante e spa</t>
  </si>
  <si>
    <t>Casa Do Valle</t>
  </si>
  <si>
    <t>Centro Histórico</t>
  </si>
  <si>
    <t>B&amp;B com vistas para montanhas e palácios de Sintra; piscina; microclima especial</t>
  </si>
  <si>
    <t>Casal do Frade</t>
  </si>
  <si>
    <t>Aldeia do Meco</t>
  </si>
  <si>
    <t>9 quartos</t>
  </si>
  <si>
    <t>Hotel ecológico no Parque Natural da Arrábida; piscina de água salgada e serviços de massagem</t>
  </si>
  <si>
    <t>Dream Guincho Unique Stay</t>
  </si>
  <si>
    <t>Malveira da Serra</t>
  </si>
  <si>
    <t>Hotel boutique a 5 min da Praia do Guincho; 8 quartos de design único; perto de Cascais e Sintra</t>
  </si>
  <si>
    <t>Hotel Casa Palmela</t>
  </si>
  <si>
    <t>Spa Hotel</t>
  </si>
  <si>
    <t>Boutique hotel no Parque Natural da Arrábida; equitação, spa e vistas sobre montanhas e vinhas</t>
  </si>
  <si>
    <t>Quinta de Santana</t>
  </si>
  <si>
    <t>Gradil</t>
  </si>
  <si>
    <t>Casa senhorial de enoturismo; produz vinho, mel, flores e queijo próprios; a 5 casas de 2-5 quartos</t>
  </si>
  <si>
    <t>Quinta do Miguel</t>
  </si>
  <si>
    <t>50 km a sul de Lisboa perto da Praia do Meco; mobiliário de design e piscina partilhada</t>
  </si>
  <si>
    <t>Quinta Verde Sintra</t>
  </si>
  <si>
    <t>Entre Sintra e o Atlântico; 3 quartos, 2 apartamentos, piscina e jardim com vista para a serra</t>
  </si>
  <si>
    <t>Chalet Saudade - Vintage GuestHouse</t>
  </si>
  <si>
    <t>Propriedade centenária no centro histórico de Sintra, no Vale da Raposa; viagem no tempo</t>
  </si>
  <si>
    <t>Quinta Velha</t>
  </si>
  <si>
    <t>B&amp;B &amp; Apartamentos</t>
  </si>
  <si>
    <t>2 hectares de floresta privada; vistas para o Palácio da Pena; 6 quartos suite únicos</t>
  </si>
  <si>
    <t>A Casa de Estremoz</t>
  </si>
  <si>
    <t>12 pessoas</t>
  </si>
  <si>
    <t>Casa renovada com piscina exterior; design autêntico alentejano; até 6 adultos + 6 crianças</t>
  </si>
  <si>
    <t>Acima</t>
  </si>
  <si>
    <t>No coração da Serra do Litoral Alentejano; 3 quartos, cozinha aberta para pátio, lareira e terraço</t>
  </si>
  <si>
    <t>Blue House</t>
  </si>
  <si>
    <t>10 pessoas</t>
  </si>
  <si>
    <t>Casa renovada entre natureza; elegância rústica perto da praia; pet-friendly</t>
  </si>
  <si>
    <t>BomBom</t>
  </si>
  <si>
    <t>Monte Alentejano restaurado; arquitetura encantadora, toques vintage, lareira e jardim; vista de estrelas</t>
  </si>
  <si>
    <t>Cá na Serra</t>
  </si>
  <si>
    <t>Design único e curvo que cria jogos de luz e sombra; villa de 3 quartos</t>
  </si>
  <si>
    <t>Casa 4 Serras</t>
  </si>
  <si>
    <t>Luxo no topo da Serra de Grândola; 2 casas interligadas; refeições gourmet e serviço personalizado</t>
  </si>
  <si>
    <t>Casa Azul do Olival</t>
  </si>
  <si>
    <t>Apartamento com charme</t>
  </si>
  <si>
    <t>3 pessoas</t>
  </si>
  <si>
    <t>Apartamento inspirado no mar e no céu; cozinha espaçosa e sala de estar acolhedora</t>
  </si>
  <si>
    <t>Casa da Ermida da Santa Catarina</t>
  </si>
  <si>
    <t>Quinta convertida com charme rústico moderno e vistas deslumbrantes para a natureza</t>
  </si>
  <si>
    <t>Casa do Regadio</t>
  </si>
  <si>
    <t>Retiro paradisíaco na Costa Alentejana onde serenidade, natureza e aventura se encontram</t>
  </si>
  <si>
    <t>Casa Nativa</t>
  </si>
  <si>
    <t>Na reserva natural de Carvalhal; rodeada por pinhais e solos arenosos; sem vizinhos à volta</t>
  </si>
  <si>
    <t>Casa Serra II</t>
  </si>
  <si>
    <t>Casa de Campo</t>
  </si>
  <si>
    <t>9 pessoas</t>
  </si>
  <si>
    <t>3 suítes requintadas com piscina privada e vistas panorâmicas; perto de praias intocadas</t>
  </si>
  <si>
    <t>Casas do Sal</t>
  </si>
  <si>
    <t>28 pessoas</t>
  </si>
  <si>
    <t>Oásis inspirado no sal; combina conforto moderno com o património salineiro da região</t>
  </si>
  <si>
    <t>Cerro da Fontinha</t>
  </si>
  <si>
    <t>São Teotónio</t>
  </si>
  <si>
    <t>Retiro inesquecível com vistas deslumbrantes sobre o campo alentejano</t>
  </si>
  <si>
    <t>Cucumbi</t>
  </si>
  <si>
    <t>Santa Susana</t>
  </si>
  <si>
    <t>Paraíso escondido em 118 acres de agricultura orgânica; antiga casa de campo transformada</t>
  </si>
  <si>
    <t>Espaço Fataca</t>
  </si>
  <si>
    <t>Espaços versáteis que estimulam a criatividade; convivência na beleza alentejana</t>
  </si>
  <si>
    <t>Albernoa</t>
  </si>
  <si>
    <t>Hotel rural e spa de classe mundial; restaurante gourmet, piscina, yoga e aventura</t>
  </si>
  <si>
    <t>Herdade da Matinha</t>
  </si>
  <si>
    <t>35 quartos</t>
  </si>
  <si>
    <t>Encantador hotel rural do séc. XIX; quartos espaçosos e cozinha gourmet com produtos frescos</t>
  </si>
  <si>
    <t>Herdade das Barradas da Serra</t>
  </si>
  <si>
    <t>Localização tranquila a 4 km de Grândola; piscina exterior e snack-bar</t>
  </si>
  <si>
    <t>Herdade do Reguenguinho</t>
  </si>
  <si>
    <t>Explosão de cor no sudoeste alentejano; criatividade dos proprietários Susana e Ricardo</t>
  </si>
  <si>
    <t>Herdade do Touril</t>
  </si>
  <si>
    <t>365 hectares de paisagens serenas; terraços privados e o charme da vizinha Zambujeira do Mar</t>
  </si>
  <si>
    <t>Herdade Ribeira de Borba</t>
  </si>
  <si>
    <t>Vila Viçosa</t>
  </si>
  <si>
    <t>Turismo rural com atividades agrícolas; 2 piscinas e montado a vista; bicicletas gratuitas</t>
  </si>
  <si>
    <t>Horta Redonda</t>
  </si>
  <si>
    <t>Vistas magníficas sobre vinhedos, serras e o castelo de Estremoz; luxo e tradição</t>
  </si>
  <si>
    <t>Hotel Convento de São Paulo</t>
  </si>
  <si>
    <t>Casa Senhorial</t>
  </si>
  <si>
    <t>41 quartos</t>
  </si>
  <si>
    <t>Mosteiro do séc. XII em 750 hectares; piscinas, ténis, padel; 70% energia solar</t>
  </si>
  <si>
    <t>Imani Country House</t>
  </si>
  <si>
    <t>Hotel Boutique</t>
  </si>
  <si>
    <t>Sofisticado refúgio alentejano; charme rústico com elegância; suites, piscinas e jardins</t>
  </si>
  <si>
    <t>Monte Azaruja</t>
  </si>
  <si>
    <t>Évoramonte</t>
  </si>
  <si>
    <t>Entrada ladeada por ciprestes e campos de vinhas; refúgio secreto no interior alentejano</t>
  </si>
  <si>
    <t>Monte da bela Raposa</t>
  </si>
  <si>
    <t>B&amp;B / Casa inteira</t>
  </si>
  <si>
    <t>Pavia</t>
  </si>
  <si>
    <t>6 quartos</t>
  </si>
  <si>
    <t>Hotel rural com pequeno-almoço típico numa cozinha antiga espaçosa; piscina</t>
  </si>
  <si>
    <t>Monte da Casa do João</t>
  </si>
  <si>
    <t>Suites, gastronomia local e vida na quinta; piscina e jardim perfumado</t>
  </si>
  <si>
    <t>Monte das Casolas</t>
  </si>
  <si>
    <t>Comporta/Carvalhal/Melides; jardim e estacionamento privado</t>
  </si>
  <si>
    <t>Monte do Cardal</t>
  </si>
  <si>
    <t>Odeceixe</t>
  </si>
  <si>
    <t>Rodeado de natureza e oliveiras; piscina aberta todo o ano; perto da Costa Vicentina</t>
  </si>
  <si>
    <t>Monte do Cortiço Santana do Campo</t>
  </si>
  <si>
    <t>Piscina privada, jardim e terraço partilhado em Arraiolos</t>
  </si>
  <si>
    <t>Monte do Olival</t>
  </si>
  <si>
    <t>Olivais idílicos e arredores encantadores; hospitalidade tradicional portuguesa</t>
  </si>
  <si>
    <t>Monte Falperras</t>
  </si>
  <si>
    <t>Retiro rústico confortável; paisagens naturais deslumbrantes com toque de tradição alentejana</t>
  </si>
  <si>
    <t>Monte Velho Equo-Resort</t>
  </si>
  <si>
    <t>Experiências equestres únicas no coração do Alentejo; mix de cavalos e natureza</t>
  </si>
  <si>
    <t>Pé no Monte</t>
  </si>
  <si>
    <t>São Teotório</t>
  </si>
  <si>
    <t>Alojamento sereno para amantes da natureza e paz; beleza rural alentejana</t>
  </si>
  <si>
    <t>Quinta das Beldroegas - Casas de Campo</t>
  </si>
  <si>
    <t>Casa de campo no coração de Portugal; estilo tradicional com conforto moderno</t>
  </si>
  <si>
    <t>Quinta Das Lavandas</t>
  </si>
  <si>
    <t>Campos de lavanda circundantes; atmosfera relaxante e natureza perfumada</t>
  </si>
  <si>
    <t>Santa Clara a Velha</t>
  </si>
  <si>
    <t>Lago</t>
  </si>
  <si>
    <t>Nas margens de um belo lago no coração de Portugal; vistas sobre a albufeira</t>
  </si>
  <si>
    <t>São Lourenço do Barrocal</t>
  </si>
  <si>
    <t>24 quartos</t>
  </si>
  <si>
    <t>História do séc. XIX; unidades elegantemente mobiladas junto ao mais belo aldamento do Alentejo</t>
  </si>
  <si>
    <t>Spatia Comporta Resort</t>
  </si>
  <si>
    <t>Refúgio requintado na Costa da Comporta; design contemporâneo com natureza e exclusividade</t>
  </si>
  <si>
    <t>The One Country House</t>
  </si>
  <si>
    <t>13 pessoas</t>
  </si>
  <si>
    <t>Charme rústico e luxo moderno em Grândola; ideal para famílias ou grupos</t>
  </si>
  <si>
    <t>Três Marias</t>
  </si>
  <si>
    <t>Entre Porto Covo e Milfontes; 10 quartos com toques inspirados no Norte de África; noites estreladas</t>
  </si>
  <si>
    <t>Vale do Gaio Hotel</t>
  </si>
  <si>
    <t>Torrão</t>
  </si>
  <si>
    <t>Nas margens da albufeira do Vale do Gaio; charme e diversão no Alentejo</t>
  </si>
  <si>
    <t>Vigias Eternal Landscapes</t>
  </si>
  <si>
    <t>Herdade de 12 hectares em Marvão; convite a abrandar o ritmo e respirar fundo</t>
  </si>
  <si>
    <t>Casa do Governador</t>
  </si>
  <si>
    <t>Casa senhorial do séc. XIX a 3 km de Évora; 5 hectares de vinhas; decoração rústica contemporânea</t>
  </si>
  <si>
    <t>Turismo Rural Monte Ponte Pedra</t>
  </si>
  <si>
    <t>B&amp;B hipster só para adultos entre pinhais; grilos, redes e o compasso sereno do Alentejo</t>
  </si>
  <si>
    <t>Aldeia da Pedralva – Nature &amp; Village Experience</t>
  </si>
  <si>
    <t>Casas de campo</t>
  </si>
  <si>
    <t>26 prop.</t>
  </si>
  <si>
    <t>Antigas casas de aldeia recuperadas no coração da Costa Vicentina; ecossistema próprio</t>
  </si>
  <si>
    <t>Casa Agostos</t>
  </si>
  <si>
    <t>Santa Bárbara de Nexe</t>
  </si>
  <si>
    <t>Design minimalista entre centenas de oliveiras; branco da casa contrasta com natureza verde</t>
  </si>
  <si>
    <t>Casa Cerro da Vigia</t>
  </si>
  <si>
    <t>Carrapateira</t>
  </si>
  <si>
    <t>8 pessoas</t>
  </si>
  <si>
    <t>Vista deslumbrante da Praia de Amado; rodeada pelo Parque Natural da Costa Vicentina</t>
  </si>
  <si>
    <t>Casa Ciconia</t>
  </si>
  <si>
    <t>Casa de Praia</t>
  </si>
  <si>
    <t>Fuseta</t>
  </si>
  <si>
    <t>Casa tradicional em 2,6 hectares entre Olhão e Tavira; acesso fácil a praias isoladas</t>
  </si>
  <si>
    <t>Casa em Loulé</t>
  </si>
  <si>
    <t>4 pessoas</t>
  </si>
  <si>
    <t>Local calmo em Loulé; férias relaxantes perto da praia</t>
  </si>
  <si>
    <t>Casa Fajara</t>
  </si>
  <si>
    <t>Hotel rural no Parque Natural da Costa Vicentina; acesso fácil a praias de Bordeira e Amado</t>
  </si>
  <si>
    <t>Casa LUUM</t>
  </si>
  <si>
    <t>Agostos</t>
  </si>
  <si>
    <t>Arquitectura invulgar entre centenas de oliveiras, amendoeiras e sobreiros</t>
  </si>
  <si>
    <t>Casa Modesta</t>
  </si>
  <si>
    <t>Retiro rural contemporâneo perto da Ria Formosa; design sustentável; 9 quartos com pátios privados</t>
  </si>
  <si>
    <t>Casa Santa Barbara 25</t>
  </si>
  <si>
    <t>Bela vila de férias em Santa Barbara de Nexe</t>
  </si>
  <si>
    <t>Casas da Quinta de Cima</t>
  </si>
  <si>
    <t>Vila Nova de Cacela</t>
  </si>
  <si>
    <t>Propriedade familiar de 50 ha perto de Cacela Velha; gastronomia da quinta para a mesa; cavalo e barco</t>
  </si>
  <si>
    <t>Generous Villa</t>
  </si>
  <si>
    <t>Vale de Carrapateira - Bordeira</t>
  </si>
  <si>
    <t>Quinta maravilhosamente renovada nas colinas de Bordeira; terraço sul com piscina e vistas</t>
  </si>
  <si>
    <t>House Cork 5</t>
  </si>
  <si>
    <t>Paraíso tranquilo num vale rodeado de sobreiros e vegetação exuberante</t>
  </si>
  <si>
    <t>Monte da Vilarinha</t>
  </si>
  <si>
    <t>13 prop.</t>
  </si>
  <si>
    <t>Vista para belo vale no coração da Costa Vicentina; comunhão em paz com a natureza</t>
  </si>
  <si>
    <t>Muxima - Montes Ferreiros</t>
  </si>
  <si>
    <t>Alojamento único e exótico com coração africano; back-to-basics com delicioso pequeno-almoço caseiro</t>
  </si>
  <si>
    <t>Quinta da Donalda</t>
  </si>
  <si>
    <t>15 pessoas</t>
  </si>
  <si>
    <t>Autêntica Quinta portuguesa há mais de 360 anos na mesma família; 92 hectares em plena atividade</t>
  </si>
  <si>
    <t>Quinta do Freixo</t>
  </si>
  <si>
    <t>Benafim</t>
  </si>
  <si>
    <t>Propriedade de 700 hectares com vales, prados, lagos e nascentes; 15 alojamentos subtilmente decorados</t>
  </si>
  <si>
    <t>Silves Villa</t>
  </si>
  <si>
    <t>Luxo nas margens do Rio Arade; jacuzzi, piscina e 4 quartos com varanda de vista para o rio</t>
  </si>
  <si>
    <t>The Cottage 32</t>
  </si>
  <si>
    <t>Casa discreta numa propriedade privada perto de Ferragudo; simples, prática e bem equipada</t>
  </si>
  <si>
    <t>The Granite House</t>
  </si>
  <si>
    <t>Lugar autêntico e tranquilo na serra de Monchique; longe das praias mas perto da natureza</t>
  </si>
  <si>
    <t>The Yellow House</t>
  </si>
  <si>
    <t>Refúgio de serenidade na Serra de Monchique; longe dos destinos típicos; conexão com a natureza</t>
  </si>
  <si>
    <t>Vila Valverde</t>
  </si>
  <si>
    <t>Luz - Lagos</t>
  </si>
  <si>
    <t>Casa senhorial do séc. XIX com design contemporâneo; 5 hectares de jardins e vistas sobre a baía</t>
  </si>
  <si>
    <t>Pure Fonte Velha Bed and Breakfast</t>
  </si>
  <si>
    <t>Design moderno mediterrânico; paredes brancas e cerâmica azul local; perto da Costa Vicentina</t>
  </si>
  <si>
    <t>Jardins</t>
  </si>
  <si>
    <t>40 quartos</t>
  </si>
  <si>
    <t>Palácio histórico em Coimbra com jardins românticos onde viveu Inês de Castro; spa e gastronomia premiada</t>
  </si>
  <si>
    <t>Solar dos Mouros</t>
  </si>
  <si>
    <t>Casa de Férias</t>
  </si>
  <si>
    <t>Coimbra Alta</t>
  </si>
  <si>
    <t>8 aptos</t>
  </si>
  <si>
    <t>Vista única sobre os telhados de Coimbra; decoração de arte contemporânea portuguesa</t>
  </si>
  <si>
    <t>Buçaco Palace Hotel</t>
  </si>
  <si>
    <t>Buçaco, Mealhada</t>
  </si>
  <si>
    <t>Floresta</t>
  </si>
  <si>
    <t>64 quartos</t>
  </si>
  <si>
    <t>Palácio neo-manuelino no coração da Floresta do Buçaco; museu da Batalha de Buçaco</t>
  </si>
  <si>
    <t>Inatel Luso</t>
  </si>
  <si>
    <t>Hotel histórico nas famosas termas do Luso; piscina com água termal; spa</t>
  </si>
  <si>
    <t>Beira-Serra</t>
  </si>
  <si>
    <t>6 casas</t>
  </si>
  <si>
    <t>Casas de xisto restauradas na Rota das Aldeias de Xisto; fogões a lenha; silêncio absoluto</t>
  </si>
  <si>
    <t>Quinta do Rio Dão</t>
  </si>
  <si>
    <t>Quinta vinícola ribeirinha no coração da região do Dão; provas de vinho e gastronomia</t>
  </si>
  <si>
    <t>Pousada de Viseu — Grão Vasco</t>
  </si>
  <si>
    <t>84 quartos</t>
  </si>
  <si>
    <t>Pousada histórica no centro de Viseu; antiga escola e hospital; terraço sobre a cidade</t>
  </si>
  <si>
    <t>Quinta de Sao Lourenco</t>
  </si>
  <si>
    <t>Gouveia, Serra da Estrela</t>
  </si>
  <si>
    <t>Casa senhorial do séc. XVIII com vista para a Serra da Estrela; jardins e animais de quinta</t>
  </si>
  <si>
    <t>Convento de Alcobaça</t>
  </si>
  <si>
    <t>Convento</t>
  </si>
  <si>
    <t>Hotel num convento do séc. XII junto ao Mosteiro Património UNESCO; claustros e jardins</t>
  </si>
  <si>
    <t>Eco-Resort Gardunha</t>
  </si>
  <si>
    <t>Fundão, Serra da Gardunha</t>
  </si>
  <si>
    <t>20 cabanas</t>
  </si>
  <si>
    <t>Cabanas na floresta de castanheiros; ecoturismo certificado; trilhos e produtos locais DOP</t>
  </si>
  <si>
    <t>Quinta da Baroca</t>
  </si>
  <si>
    <t>5 unidades</t>
  </si>
  <si>
    <t>Quinta ribeirinha com produção de azeite e vinho; piscina natural no rio Alva</t>
  </si>
  <si>
    <t>Casa Mestre José Adelino Amarante</t>
  </si>
  <si>
    <t>B&amp;B</t>
  </si>
  <si>
    <t>Casa museificada do compositor popular; património sonoro local; aldeia granítica</t>
  </si>
  <si>
    <t>Montebelo Aguieira Lake Resort</t>
  </si>
  <si>
    <t>Barragem</t>
  </si>
  <si>
    <t>120 quartos</t>
  </si>
  <si>
    <t>Resort junto à Barragem do Aguieira; desportos náuticos; golfe; natureza</t>
  </si>
  <si>
    <t>Aldeia dos Carqueijais</t>
  </si>
  <si>
    <t>8 casas</t>
  </si>
  <si>
    <t>Aldeia recuperada no coração do interior profundo; granito e xisto; produção de mel</t>
  </si>
  <si>
    <t>Solar de Alarcão</t>
  </si>
  <si>
    <t>Solar renascentista na terra dos Templários; azulejos e mobiliário de época</t>
  </si>
  <si>
    <t>Quinta da Mata</t>
  </si>
  <si>
    <t>Quinta agrícola com produção de queijo da Serra; animais de quinta; contacto com a lavoura</t>
  </si>
  <si>
    <t>Ecolodge Serra da Lousã</t>
  </si>
  <si>
    <t>10 casas</t>
  </si>
  <si>
    <t>Casas de xisto nas Aldeias de Xisto da Lousã; ecoturismo; percursos de rio; mel e aguardente</t>
  </si>
  <si>
    <t>🛖  133 entradas  ·  Portugal Vivo</t>
  </si>
  <si>
    <t xml:space="preserve">  🟦  NORTE  ·  64 entradas</t>
  </si>
  <si>
    <t>Insetos e Polinizadores</t>
  </si>
  <si>
    <t>Pirilampos, borboletas e abelhas silvestres</t>
  </si>
  <si>
    <t>Polinizadores de Portugal (iNaturalist)</t>
  </si>
  <si>
    <t>Maio a Julho (Pirilampos)</t>
  </si>
  <si>
    <t>Parque Biológico de Gaia em Norte. Pirilampos, borboletas e abelhas silvestres. Polinizadores de Portugal (iNaturalist). Melhor época: Maio a Julho (Pirilampos).</t>
  </si>
  <si>
    <t>EBIO de Coimbra / Jardim Botânico da UC</t>
  </si>
  <si>
    <t>Abelhas solitárias, moscas (Syrphidae) e borboletas</t>
  </si>
  <si>
    <t>Polli.NET — rede de conservação de polinizadores</t>
  </si>
  <si>
    <t>Março a Outubro</t>
  </si>
  <si>
    <t>EBIO de Coimbra / Jardim Botânico da UC em Centro. Abelhas solitárias, moscas (Syrphidae) e borboletas. Polli.NET — rede de conservação de polinizadores. Melhor época: Março a Outubro.</t>
  </si>
  <si>
    <t>Rede Estações Biodiversidade Tagis (Lisboa)</t>
  </si>
  <si>
    <t>Borboletas diurnas e insetos polinizadores locais</t>
  </si>
  <si>
    <t>Censos de Borboletas de Portugal</t>
  </si>
  <si>
    <t>Primavera (Abril/Junho)</t>
  </si>
  <si>
    <t>Rede Estações Biodiversidade Tagis (Lisboa) em Lisboa. Borboletas diurnas e insetos polinizadores locais. Censos de Borboletas de Portugal. Melhor época: Primavera (Abril/Junho).</t>
  </si>
  <si>
    <t>Centro Ciência Viva do Algarve</t>
  </si>
  <si>
    <t>Insetos de zonas húmidas e polinizadores costeiros</t>
  </si>
  <si>
    <t>Guardiões das Flores — interações planta-polinizador</t>
  </si>
  <si>
    <t>Todo o ano (pico Primavera)</t>
  </si>
  <si>
    <t>Centro Ciência Viva do Algarve em Algarve. Insetos de zonas húmidas e polinizadores costeiros. Guardiões das Flores — interações planta-polinizador. Melhor época: Todo o ano (pico Primavera).</t>
  </si>
  <si>
    <t>APA do Carmo / Parque do Carmo (SP)</t>
  </si>
  <si>
    <t>Abelhas nativas sem ferrão (ASF)</t>
  </si>
  <si>
    <t>FIT Count Brasil — contagens rápidas de polinizadores</t>
  </si>
  <si>
    <t>Agosto a Novembro</t>
  </si>
  <si>
    <t>APA do Carmo / Parque do Carmo (SP) em Brasil. Abelhas nativas sem ferrão (ASF). FIT Count Brasil — contagens rápidas de polinizadores. Melhor época: Agosto a Novembro.</t>
  </si>
  <si>
    <t>🌍 Referência Internacional</t>
  </si>
  <si>
    <t>Vale Encantado (Salvador, BA)</t>
  </si>
  <si>
    <t>Insetos da Mata Atlântica e Restingas</t>
  </si>
  <si>
    <t>Guardiões da Chapada — conservação local</t>
  </si>
  <si>
    <t>Setembro a Fevereiro</t>
  </si>
  <si>
    <t>Vale Encantado (Salvador, BA) em Brasil. Insetos da Mata Atlântica e Restingas. Guardiões da Chapada — conservação local. Melhor época: Setembro a Fevereiro.</t>
  </si>
  <si>
    <t>SiBBr — Sist. Informação Biodiversidade Brasileira</t>
  </si>
  <si>
    <t>Abelhas, besouros, borboletas (diversidade ampla)</t>
  </si>
  <si>
    <t>#cidadãoasf — monitorização colaborativa</t>
  </si>
  <si>
    <t>Depende do bioma</t>
  </si>
  <si>
    <t>SiBBr — Sist. Informação Biodiversidade Brasileira em Brasil. Abelhas, besouros, borboletas (diversidade ampla). #cidadãoasf — monitorização colaborativa. Melhor época: Depende do bioma.</t>
  </si>
  <si>
    <t>Herdade da Mitra (UÉvora)</t>
  </si>
  <si>
    <t>Abelhas silvestres (Apis, Bombus), escaravelho-de-flores (Oxythyrea), borboletas do montado</t>
  </si>
  <si>
    <t>Polinizadores de Portugal (iNaturalist); Montado Vivo</t>
  </si>
  <si>
    <t>Abr-Set</t>
  </si>
  <si>
    <t>Herdade da Mitra (UÉvora) em Alentejo. Abelhas silvestres (Apis, Bombus), escaravelho-de-flores (Oxythyrea), borboletas do montado. Polinizadores de Portugal (iNaturalist); Montado Vivo. Melhor época: Abr-Set.</t>
  </si>
  <si>
    <t>Parque Natural do Vale do Guadiana</t>
  </si>
  <si>
    <t>Abelha Eucera, borboletas Zerynthia, mariposa Charaxes jasius</t>
  </si>
  <si>
    <t>BioLit Portugal; Censos de Borboletas</t>
  </si>
  <si>
    <t>Parque Natural do Vale do Guadiana em Alentejo. Abelha Eucera, borboletas Zerynthia, mariposa Charaxes jasius. BioLit Portugal; Censos de Borboletas. Melhor época: Mai-Jul.</t>
  </si>
  <si>
    <t>Mata de Sesimbra (Arrábida)</t>
  </si>
  <si>
    <t>Polinizadores mediterrâneos; Anthophora plumipes; Megachile (abelha-pedreiro)</t>
  </si>
  <si>
    <t>Polli.NET; iNaturalist Portugal</t>
  </si>
  <si>
    <t>Mata de Sesimbra (Arrábida) em Lisboa. Polinizadores mediterrâneos; Anthophora plumipes; Megachile (abelha-pedreiro). Polli.NET; iNaturalist Portugal. Melhor época: Mar-Jun.</t>
  </si>
  <si>
    <t>Vale de Milhaços (Azeitão)</t>
  </si>
  <si>
    <t>Borboletas Pieridae, Lycaenidae; abelhas silvestres; sírfidos</t>
  </si>
  <si>
    <t>FIT Count (Reino Unido metodologia adaptada); BioBlitz Setúbal</t>
  </si>
  <si>
    <t>Abr-Jul</t>
  </si>
  <si>
    <t>Vale de Milhaços (Azeitão) em Lisboa. Borboletas Pieridae, Lycaenidae; abelhas silvestres; sírfidos. FIT Count (Reino Unido metodologia adaptada); BioBlitz Setúbal. Melhor época: Abr-Jul.</t>
  </si>
  <si>
    <t>Estação Experimental de Montemuro (U.Trás-os-Montes)</t>
  </si>
  <si>
    <t>Abelha-ibérica (Apis mellifera iberiensis), abelhões de altitude (Bombus terrestris/pascuorum)</t>
  </si>
  <si>
    <t>Honeybee Democracy Watch; Beecheck Portugal</t>
  </si>
  <si>
    <t>Estação Experimental de Montemuro (U.Trás-os-Montes) em Norte. Abelha-ibérica (Apis mellifera iberiensis), abelhões de altitude (Bombus terrestris/pascuorum). Honeybee Democracy Watch; Beecheck Portugal. Melhor época: Jun-Ago.</t>
  </si>
  <si>
    <t>Agrobiotech — Pólo de Bragança (IPB)</t>
  </si>
  <si>
    <t>Dipteros polinizadores, moscas de flores (Episyrphus balteatus), abelhas Halictidae</t>
  </si>
  <si>
    <t>PollinEsco; Citizen Science UAB</t>
  </si>
  <si>
    <t>Agrobiotech — Pólo de Bragança (IPB) em Norte. Dipteros polinizadores, moscas de flores (Episyrphus balteatus), abelhas Halictidae. PollinEsco; Citizen Science UAB. Melhor época: Mai-Set.</t>
  </si>
  <si>
    <t>Borboleta-monarca (Danaus plexippus, pop. residente); abelhas de flores exóticas</t>
  </si>
  <si>
    <t>Monarch Watch Iberia; iNaturalist</t>
  </si>
  <si>
    <t>Jan-Dez</t>
  </si>
  <si>
    <t>Jardim Botânico da Madeira em Madeira. Borboleta-monarca (Danaus plexippus, pop. residente); abelhas de flores exóticas. Monarch Watch Iberia; iNaturalist. Melhor época: Jan-Dez.</t>
  </si>
  <si>
    <t>Reserva Natural da Caldeira do Faial</t>
  </si>
  <si>
    <t>Endémicos: mariposa Noctua atlantica; borboletas Vanessa indica buana; abelhões madeiral</t>
  </si>
  <si>
    <t>Endémicos Açores (SPEA-Nature); Biodiversidade insular</t>
  </si>
  <si>
    <t>Reserva Natural da Caldeira do Faial em Açores. Endémicos: mariposa Noctua atlantica; borboletas Vanessa indica buana; abelhões madeiral. Endémicos Açores (SPEA-Nature); Biodiversidade insular. Melhor época: Mai-Set.</t>
  </si>
  <si>
    <t>Estación Biológica de Doñana</t>
  </si>
  <si>
    <t>Abelhas de montado (Xylocopa violacea), moscas-de-flores, mariposas migrantes</t>
  </si>
  <si>
    <t>BEECOME; Red de Vigilancia de Polinizadores</t>
  </si>
  <si>
    <t>Estación Biológica de Doñana em Espanha. Abelhas de montado (Xylocopa violacea), moscas-de-flores, mariposas migrantes. BEECOME; Red de Vigilancia de Polinizadores. Melhor época: Mar-Jun.</t>
  </si>
  <si>
    <t>Estuário do Sado / Sesimbra</t>
  </si>
  <si>
    <t>Avistamento Cetáceos</t>
  </si>
  <si>
    <t>Golfinhos-roazes (residentes), golfinhos-comuns, baleias em águas profundas</t>
  </si>
  <si>
    <t>Bolhas Tours / SeaEO-Tours</t>
  </si>
  <si>
    <t>Todo o ano (residentes); Primavera e Outono (migratórios)</t>
  </si>
  <si>
    <t>Estuário do Sado / Sesimbra em Lisboa. Golfinhos-roazes (residentes), golfinhos-comuns, baleias em águas profundas. Bolhas Tours / SeaEO-Tours. Melhor época: Todo o ano (residentes); Primavera e Outono (migratórios).</t>
  </si>
  <si>
    <t>Falésias da Arrábida (observação de terra)</t>
  </si>
  <si>
    <t>Golfinhos-roazes (observação de terra)</t>
  </si>
  <si>
    <t>Própria (miradouro)</t>
  </si>
  <si>
    <t>Maio a Setembro (mar calmo)</t>
  </si>
  <si>
    <t>Falésias da Arrábida (observação de terra) em Lisboa. Golfinhos-roazes (observação de terra). Própria (miradouro). Melhor época: Maio a Setembro (mar calmo).</t>
  </si>
  <si>
    <t>Sagres / Canhão de São Vicente</t>
  </si>
  <si>
    <t>Golfinhos, baleias-anãs, aves marinhas raras</t>
  </si>
  <si>
    <t>Ocean Vibes Algarve</t>
  </si>
  <si>
    <t>Julho a Setembro</t>
  </si>
  <si>
    <t>Sagres / Canhão de São Vicente em Algarve. Golfinhos, baleias-anãs, aves marinhas raras. Ocean Vibes Algarve. Melhor época: Julho a Setembro.</t>
  </si>
  <si>
    <t>Mosteiros (São Miguel, Açores)</t>
  </si>
  <si>
    <t>Baleias-de-barba, cachalotes, golfinhos</t>
  </si>
  <si>
    <t>Terra do Pico</t>
  </si>
  <si>
    <t>Abril-Junho (baleias); Verão (sazonais)</t>
  </si>
  <si>
    <t>Descoberta rara de Açores: Baleias-de-barba, cachalotes, golfinhos. Uma das experiências mais incomuns de Portugal, fora de qualquer guia convencional. Melhor época: Abril-Junho (baleias); Verão (sazonais).</t>
  </si>
  <si>
    <t>Vila Franca do Campo (São Miguel, Açores)</t>
  </si>
  <si>
    <t>Cachalotes, baleias-azuis (migração), golfinhos-pintados</t>
  </si>
  <si>
    <t>Terra Azul</t>
  </si>
  <si>
    <t>Todo o ano (cachalotes); Primavera (baleias azuis)</t>
  </si>
  <si>
    <t>Descoberta rara de Açores: Cachalotes, baleias-azuis (migração), golfinhos-pintados. Uma das experiências mais incomuns de Portugal, fora de qualquer guia convencional. Melhor época: Todo o ano (cachalotes); Primavera (baleias azuis).</t>
  </si>
  <si>
    <t>Caniçal / Ponta de São Lourenço (Madeira)</t>
  </si>
  <si>
    <t>Lobos-marinhos, baleias-piloto, golfinhos</t>
  </si>
  <si>
    <t>Lobosonda</t>
  </si>
  <si>
    <t>Junho a Agosto</t>
  </si>
  <si>
    <t>Descoberta rara de Madeira: Lobos-marinhos, baleias-piloto, golfinhos. Uma das experiências mais incomuns de Portugal, fora de qualquer guia convencional. Melhor época: Junho a Agosto.</t>
  </si>
  <si>
    <t>Peniche — Cabo Carvoeiro</t>
  </si>
  <si>
    <t>Golfinhos-comuns, baleias-piloto, orca (ocasional)</t>
  </si>
  <si>
    <t>Fun Dive Peniche / Berlenga Aquasub</t>
  </si>
  <si>
    <t>Abr-Out (golfinhos); Jul-Set (orca)</t>
  </si>
  <si>
    <t>Peniche — Cabo Carvoeiro em Norte. Golfinhos-comuns, baleias-piloto, orca (ocasional). Fun Dive Peniche / Berlenga Aquasub. Melhor época: Abr-Out (golfinhos); Jul-Set (orca).</t>
  </si>
  <si>
    <t>Viana do Castelo — Plataforma Continental</t>
  </si>
  <si>
    <t>Golfinhos-comuns, cachalotes, baleia-de-Cuvier</t>
  </si>
  <si>
    <t>Observação terrestre/vela privada</t>
  </si>
  <si>
    <t>Viana do Castelo — Plataforma Continental em Norte. Golfinhos-comuns, cachalotes, baleia-de-Cuvier. Observação terrestre/vela privada. Melhor época: Jun-Set.</t>
  </si>
  <si>
    <t>Nazaré — Canyon Marinho</t>
  </si>
  <si>
    <t>Baleia-comum, baleia-de-Sei, golfinhos-comuns</t>
  </si>
  <si>
    <t>Fishing Safari Nazaré</t>
  </si>
  <si>
    <t>Fev-Mai (baleias grandes)</t>
  </si>
  <si>
    <t>Nazaré — Canyon Marinho em Centro. Baleia-comum, baleia-de-Sei, golfinhos-comuns. Fishing Safari Nazaré. Melhor época: Fev-Mai (baleias grandes).</t>
  </si>
  <si>
    <t>Berlengas — Reserva Natural</t>
  </si>
  <si>
    <t>Golfinhos-roazes, baleias-anãs, focas-monge (históricas)</t>
  </si>
  <si>
    <t>Viamar Berlenga / Berlenga Aquasub</t>
  </si>
  <si>
    <t>Berlengas — Reserva Natural em Centro. Golfinhos-roazes, baleias-anãs, focas-monge (históricas). Viamar Berlenga / Berlenga Aquasub. Melhor época: Abr-Set.</t>
  </si>
  <si>
    <t>Portimão — Canhão de Lagos</t>
  </si>
  <si>
    <t>Baleias-comuns, golfinhos-comuns, golfinhos-riscados</t>
  </si>
  <si>
    <t>Ocean Dream / Whale Watch Algarve</t>
  </si>
  <si>
    <t>Portimão — Canhão de Lagos em Algarve. Baleias-comuns, golfinhos-comuns, golfinhos-riscados. Ocean Dream / Whale Watch Algarve. Melhor época: Abr-Out.</t>
  </si>
  <si>
    <t>Faro — Barreira Natural / Armona</t>
  </si>
  <si>
    <t>Golfinhos-comuns, golfinhos-nariz-garrafa, tartarugas-verdes</t>
  </si>
  <si>
    <t>Formosamar</t>
  </si>
  <si>
    <t>Descoberta rara de Algarve: Golfinhos-comuns, golfinhos-nariz-garrafa, tartarugas-verdes. Uma das experiências mais incomuns de Portugal, fora de qualquer guia convencional. Melhor época: Mai-Set.</t>
  </si>
  <si>
    <t>Corvo e Flores — Western Group</t>
  </si>
  <si>
    <t>Orcas, cachalotes, baleias-de-Cuvier, golfinhos-de-Risso</t>
  </si>
  <si>
    <t>Espaço Talassa (Lajes do Pico)</t>
  </si>
  <si>
    <t>Corvo e Flores — Western Group em Açores. Orcas, cachalotes, baleias-de-Cuvier, golfinhos-de-Risso. Espaço Talassa (Lajes do Pico). Melhor época: Jun-Set.</t>
  </si>
  <si>
    <t>Santa Maria — Banco Princesa Alice</t>
  </si>
  <si>
    <t>Baleias-azuis, baleias-de-barba, tartarugas</t>
  </si>
  <si>
    <t>Nami Cetaceans Santa Maria</t>
  </si>
  <si>
    <t>Santa Maria — Banco Princesa Alice em Açores. Baleias-azuis, baleias-de-barba, tartarugas. Nami Cetaceans Santa Maria. Melhor época: Abr-Jul.</t>
  </si>
  <si>
    <t>Terceira — Calheta de Nesquim</t>
  </si>
  <si>
    <t>Golfinhos-comuns, cachalotes; vigia histórica</t>
  </si>
  <si>
    <t>OlaZul / Futurismo Azores</t>
  </si>
  <si>
    <t>Terceira — Calheta de Nesquim em Açores. Golfinhos-comuns, cachalotes; vigia histórica. OlaZul / Futurismo Azores. Melhor época: Abr-Out.</t>
  </si>
  <si>
    <t>Porto Santo — Norte da Ilha</t>
  </si>
  <si>
    <t>Golfinhos-nariz-garrafa, golfinhos-riscados, baleias-piloto</t>
  </si>
  <si>
    <t>Abyssal Porto Santo</t>
  </si>
  <si>
    <t>Jun-Out</t>
  </si>
  <si>
    <t>Porto Santo — Norte da Ilha em Madeira. Golfinhos-nariz-garrafa, golfinhos-riscados, baleias-piloto. Abyssal Porto Santo. Melhor época: Jun-Out.</t>
  </si>
  <si>
    <t>Desertas — Reserva Natural Estrita</t>
  </si>
  <si>
    <t>Lobo-marinho-do-mediterrâneo (única colónia NE Atlântico), golfinhos</t>
  </si>
  <si>
    <t>Madeira Whale Watch / autorização PN</t>
  </si>
  <si>
    <t>Desertas — Reserva Natural Estrita em Madeira. Lobo-marinho-do-mediterrâneo (única colónia NE Atlântico), golfinhos. Madeira Whale Watch / autorização PN. Melhor época: Todo o ano.</t>
  </si>
  <si>
    <t>Moinho de Maré de Corroios</t>
  </si>
  <si>
    <t>Moinho de Maré</t>
  </si>
  <si>
    <t>Moinho de Maré do Cais (Montijo)</t>
  </si>
  <si>
    <t>Moinho de Maré de Alhos Vedros</t>
  </si>
  <si>
    <t>Moinhos de Montedor</t>
  </si>
  <si>
    <t>Moinhos Serra da Atalhada</t>
  </si>
  <si>
    <t>Moinho de Vento Nascente de Alburrica</t>
  </si>
  <si>
    <t>Núcleo Molinológico dos Moinhos da Gândara</t>
  </si>
  <si>
    <t>Azenha</t>
  </si>
  <si>
    <t>Moinho do Pêgo Escuro</t>
  </si>
  <si>
    <t>Moinho de Moimenta (Vinhais)</t>
  </si>
  <si>
    <t>Moinho de Água</t>
  </si>
  <si>
    <t>Moinho da Serra da Portela (Ansião)</t>
  </si>
  <si>
    <t>Moinho de Vento da Quintinha</t>
  </si>
  <si>
    <t>Azenha da Cabana do Castelo</t>
  </si>
  <si>
    <t>Geoparque Algarvensis</t>
  </si>
  <si>
    <t>Moinho de Vento de Entrevinhas</t>
  </si>
  <si>
    <t>Moinho de Vento de Lograssol</t>
  </si>
  <si>
    <t>Moinho de Vento de Nisa</t>
  </si>
  <si>
    <t>Moinho de Água de Monte do Trigo</t>
  </si>
  <si>
    <t>Moinhos de Marés de Alcácer do Sal</t>
  </si>
  <si>
    <t>Moinho de Vento de Aljustrel</t>
  </si>
  <si>
    <t>Azenha da Benaciate</t>
  </si>
  <si>
    <t>Moinho de Vento de Barcelos</t>
  </si>
  <si>
    <t>Moinhos do Rio Olo (Parque Alvão)</t>
  </si>
  <si>
    <t>Moinho de Vento de Abação</t>
  </si>
  <si>
    <t>Azenha do Moinho Novo — Régua</t>
  </si>
  <si>
    <t>Moinho de Maré de Esposende</t>
  </si>
  <si>
    <t>Azenha da Portela</t>
  </si>
  <si>
    <t>Moinho do Espirro</t>
  </si>
  <si>
    <t>Moinho de Vento de Lagoa</t>
  </si>
  <si>
    <t>Moinho de Vento da Feteira</t>
  </si>
  <si>
    <t>Azenha do Lombo dos Carros</t>
  </si>
  <si>
    <t>Moinho de Água da Ribeira da Ponta</t>
  </si>
  <si>
    <t>👁️  MIRADOUROS DE PORTUGAL  —  281 entradas</t>
  </si>
  <si>
    <t>Norte · Centro · Lisboa · Alentejo · Algarve · Açores · Madeira  ·  Pontos Panorâmicos, Belvederes e Vistas Excepcionais</t>
  </si>
  <si>
    <t>Nome / Miradouro</t>
  </si>
  <si>
    <t>Localidade</t>
  </si>
  <si>
    <t>Caminhada / Acesso Ped.</t>
  </si>
  <si>
    <t>Exposição Solar</t>
  </si>
  <si>
    <t>Acesso BTT</t>
  </si>
  <si>
    <t xml:space="preserve">  🟦  NORTE  ·  40 entradas</t>
  </si>
  <si>
    <t>Pedra Bela</t>
  </si>
  <si>
    <t>1 min</t>
  </si>
  <si>
    <t>Sol</t>
  </si>
  <si>
    <t>Estrada alcatroada (exigente)</t>
  </si>
  <si>
    <t>Miradouro com vistas panorâmicas sobre Gerês. Acesso a pé em 1 min. Vista em pleno sol. Um dos pontos de contemplação privilegiados da paisagem de Norte.</t>
  </si>
  <si>
    <t>Miradouro da Boneca</t>
  </si>
  <si>
    <t>25 min (trilho)</t>
  </si>
  <si>
    <t>Sombra Parcial</t>
  </si>
  <si>
    <t>Inacessível (BTT técnico)</t>
  </si>
  <si>
    <t>Miradouro com vistas panorâmicas sobre Gerês. Acesso a pé em 25 min (trilho). Vista com sombra parcial. Um dos pontos de contemplação privilegiados da paisagem de Norte.</t>
  </si>
  <si>
    <t>Fafião</t>
  </si>
  <si>
    <t>5 min</t>
  </si>
  <si>
    <t>Estradas municipais tranquilas</t>
  </si>
  <si>
    <t>Miradouro com vistas panorâmicas sobre Montalegre. Acesso a pé em 5 min. Vista em pleno sol. Um dos pontos de contemplação privilegiados da paisagem de Norte.</t>
  </si>
  <si>
    <t>Tibães</t>
  </si>
  <si>
    <t>2 min</t>
  </si>
  <si>
    <t>Sombra</t>
  </si>
  <si>
    <t>Subida suave desde o centro</t>
  </si>
  <si>
    <t>Miradouro com vistas panorâmicas sobre Braga. Acesso a pé em 2 min.  Um dos pontos de contemplação privilegiados da paisagem de Norte.</t>
  </si>
  <si>
    <t>Monte de Santa Luzia</t>
  </si>
  <si>
    <t>0 min</t>
  </si>
  <si>
    <t>Subida clássica por estrada</t>
  </si>
  <si>
    <t>Miradouro com vistas panorâmicas sobre Viana do Castelo. Acesso a pé em 0 min. Vista em pleno sol. Um dos pontos de contemplação privilegiados da paisagem de Norte.</t>
  </si>
  <si>
    <t>Miradouro de Penouços</t>
  </si>
  <si>
    <t>Estrada de montanha</t>
  </si>
  <si>
    <t>Miradouro com vistas panorâmicas sobre Arcos de Valdevez. Acesso a pé em 2 min. Vista em pleno sol. Um dos pontos de contemplação privilegiados da paisagem de Norte.</t>
  </si>
  <si>
    <t>10 min (escadas)</t>
  </si>
  <si>
    <t>Rota mítica cicloturismo</t>
  </si>
  <si>
    <t>Miradouro com vistas panorâmicas sobre Arcos de Valdevez. Acesso a pé em 10 min (escadas). Vista em pleno sol. Um dos pontos de contemplação privilegiados da paisagem de Norte.</t>
  </si>
  <si>
    <t>Miradouro de Junceda</t>
  </si>
  <si>
    <t>20 min (terra)</t>
  </si>
  <si>
    <t>Ideal Gravel/BTT</t>
  </si>
  <si>
    <t>Miradouro com vistas panorâmicas sobre Gerês. Acesso a pé em 20 min (terra). Vista em pleno sol. Um dos pontos de contemplação privilegiados da paisagem de Norte.</t>
  </si>
  <si>
    <t>Miradouro São Bento da Porta Aberta</t>
  </si>
  <si>
    <t>Rio Caldo</t>
  </si>
  <si>
    <t>Estrada nacional</t>
  </si>
  <si>
    <t>Miradouro com vistas panorâmicas sobre Rio Caldo. Acesso a pé em 1 min. Vista em pleno sol. Um dos pontos de contemplação privilegiados da paisagem de Norte.</t>
  </si>
  <si>
    <t>Miradouro da Ermida</t>
  </si>
  <si>
    <t>Subida longa e isolada</t>
  </si>
  <si>
    <t>Miradouro com vistas panorâmicas sobre Ponte da Barca. Acesso a pé em 5 min. Vista em pleno sol. Um dos pontos de contemplação privilegiados da paisagem de Norte.</t>
  </si>
  <si>
    <t>São Leonardo de Galafura</t>
  </si>
  <si>
    <t>Régua</t>
  </si>
  <si>
    <t>Estrada N313</t>
  </si>
  <si>
    <t>Miradouro com vistas panorâmicas sobre Régua. Acesso a pé em 2 min. Vista com sombra parcial. Um dos pontos de contemplação privilegiados da paisagem de Norte.</t>
  </si>
  <si>
    <t>Casal de Loivos</t>
  </si>
  <si>
    <t>Subida íngreme desde Pinhão</t>
  </si>
  <si>
    <t>Miradouro com vistas panorâmicas sobre Pinhão. Acesso a pé em 1 min. Vista em pleno sol. Um dos pontos de contemplação privilegiados da paisagem de Norte.</t>
  </si>
  <si>
    <t>São Salvador do Mundo</t>
  </si>
  <si>
    <t>Pesqueira</t>
  </si>
  <si>
    <t>10 min</t>
  </si>
  <si>
    <t>Acesso por asfalto</t>
  </si>
  <si>
    <t>Miradouro com vistas panorâmicas sobre Pesqueira. Acesso a pé em 10 min. Vista em pleno sol. Um dos pontos de contemplação privilegiados da paisagem de Norte.</t>
  </si>
  <si>
    <t>Boa Vista</t>
  </si>
  <si>
    <t>Tabuaço</t>
  </si>
  <si>
    <t>Rota Douro Sul</t>
  </si>
  <si>
    <t>Miradouro com vistas panorâmicas sobre Tabuaço. Acesso a pé em 1 min. Vista em pleno sol. Um dos pontos de contemplação privilegiados da paisagem de Norte.</t>
  </si>
  <si>
    <t>Ujo</t>
  </si>
  <si>
    <t>Caminhos rurais</t>
  </si>
  <si>
    <t>Miradouro com vistas panorâmicas sobre Alijó. Acesso a pé em 5 min. Vista em pleno sol. Um dos pontos de contemplação privilegiados da paisagem de Norte.</t>
  </si>
  <si>
    <t>Nossa Senhora do Viso</t>
  </si>
  <si>
    <t>Vila Flor</t>
  </si>
  <si>
    <t>Subida dura em asfalto</t>
  </si>
  <si>
    <t>Miradouro com vistas panorâmicas sobre Vila Flor. Acesso a pé em 2 min. Vista em pleno sol. Um dos pontos de contemplação privilegiados da paisagem de Norte.</t>
  </si>
  <si>
    <t>Foz Côa</t>
  </si>
  <si>
    <t>BTT recomendado</t>
  </si>
  <si>
    <t>Miradouro com vistas panorâmicas sobre Foz Côa. Acesso a pé em 10 min. Vista em pleno sol. Um dos pontos de contemplação privilegiados da paisagem de Norte.</t>
  </si>
  <si>
    <t>Pena do Guincho</t>
  </si>
  <si>
    <t>15 min</t>
  </si>
  <si>
    <t>Trilhos de Gravel</t>
  </si>
  <si>
    <t>Miradouro com vistas panorâmicas sobre Sabrosa. Acesso a pé em 15 min. Vista em pleno sol. Um dos pontos de contemplação privilegiados da paisagem de Norte.</t>
  </si>
  <si>
    <t>Vargelas</t>
  </si>
  <si>
    <t>S. João da Pesqueira</t>
  </si>
  <si>
    <t>Estrada Beira Douro</t>
  </si>
  <si>
    <t>Miradouro com vistas panorâmicas sobre S. João da Pesqueira. Acesso a pé em 1 min. Vista em pleno sol. Um dos pontos de contemplação privilegiados da paisagem de Norte.</t>
  </si>
  <si>
    <t>Torguiano</t>
  </si>
  <si>
    <t>São Martinho de Antas</t>
  </si>
  <si>
    <t>Estrada secundária</t>
  </si>
  <si>
    <t>Miradouro com vistas panorâmicas sobre São Martinho de Antas. Acesso a pé em 2 min. Vista em pleno sol. Um dos pontos de contemplação privilegiados da paisagem de Norte.</t>
  </si>
  <si>
    <t>Fraga do Puio</t>
  </si>
  <si>
    <t>Picote</t>
  </si>
  <si>
    <t>Plano desde aldeia</t>
  </si>
  <si>
    <t>Miradouro com vistas panorâmicas sobre Picote. Acesso a pé em 2 min. Vista em pleno sol. Um dos pontos de contemplação privilegiados da paisagem de Norte.</t>
  </si>
  <si>
    <t>São João das Arribas</t>
  </si>
  <si>
    <t>Miranda</t>
  </si>
  <si>
    <t>Trilho terra batida</t>
  </si>
  <si>
    <t>Miradouro com vistas panorâmicas sobre Miranda. Acesso a pé em 5 min. Vista em pleno sol. Um dos pontos de contemplação privilegiados da paisagem de Norte.</t>
  </si>
  <si>
    <t>Picões</t>
  </si>
  <si>
    <t>Caminhos BTT</t>
  </si>
  <si>
    <t>Miradouro com vistas panorâmicas sobre Mogadouro. Acesso a pé em 10 min. Vista em pleno sol. Um dos pontos de contemplação privilegiados da paisagem de Norte.</t>
  </si>
  <si>
    <t>Assumadouro</t>
  </si>
  <si>
    <t>Bemposta</t>
  </si>
  <si>
    <t>Descida técnica</t>
  </si>
  <si>
    <t>Miradouro com vistas panorâmicas sobre Bemposta. Acesso a pé em 2 min. Vista em pleno sol. Um dos pontos de contemplação privilegiados da paisagem de Norte.</t>
  </si>
  <si>
    <t>Cerca</t>
  </si>
  <si>
    <t>Ciclo-estrada local</t>
  </si>
  <si>
    <t>Miradouro com vistas panorâmicas sobre Mogadouro. Acesso a pé em 1 min. Vista em pleno sol. Um dos pontos de contemplação privilegiados da paisagem de Norte.</t>
  </si>
  <si>
    <t>Penedo Durão</t>
  </si>
  <si>
    <t>Subida mítica 7km</t>
  </si>
  <si>
    <t>Miradouro com vistas panorâmicas sobre Freixo de Espada à Cinta. Acesso a pé em 1 min. Vista em pleno sol. Um dos pontos de contemplação privilegiados da paisagem de Norte.</t>
  </si>
  <si>
    <t>Carrascalinho</t>
  </si>
  <si>
    <t>Fornos</t>
  </si>
  <si>
    <t>BTT apenas</t>
  </si>
  <si>
    <t>Miradouro com vistas panorâmicas sobre Fornos. Acesso a pé em 15 min. Vista em pleno sol. Um dos pontos de contemplação privilegiados da paisagem de Norte.</t>
  </si>
  <si>
    <t>Nossa Senhora da Assunção</t>
  </si>
  <si>
    <t>Subida popular ciclistas</t>
  </si>
  <si>
    <t>Miradouro com vistas panorâmicas sobre Santo Tirso. Acesso a pé em 2 min. Vista com sombra parcial. Um dos pontos de contemplação privilegiados da paisagem de Norte.</t>
  </si>
  <si>
    <t>Monte do Faro</t>
  </si>
  <si>
    <t>Subida longa e sombreada</t>
  </si>
  <si>
    <t>Miradouro com vistas panorâmicas sobre Valença. Acesso a pé em 2 min. Vista em pleno sol. Um dos pontos de contemplação privilegiados da paisagem de Norte.</t>
  </si>
  <si>
    <t>Serra do Pilar</t>
  </si>
  <si>
    <t>Acesso pela ponte superior</t>
  </si>
  <si>
    <t>Miradouro com vistas panorâmicas sobre Gaia. Acesso a pé em 1 min. Vista em pleno sol. Um dos pontos de contemplação privilegiados da paisagem de Norte.</t>
  </si>
  <si>
    <t>Virtudes</t>
  </si>
  <si>
    <t>Zona pedonal/ciclística</t>
  </si>
  <si>
    <t>Miradouro com vistas panorâmicas sobre Porto. Acesso a pé em 1 min.  Um dos pontos de contemplação privilegiados da paisagem de Norte.</t>
  </si>
  <si>
    <t>Miradouro da Vitória</t>
  </si>
  <si>
    <t>Ruas estreitas de calçada</t>
  </si>
  <si>
    <t>Miradouro com vistas panorâmicas sobre Porto. Acesso a pé em 2 min. Vista em pleno sol. Um dos pontos de contemplação privilegiados da paisagem de Norte.</t>
  </si>
  <si>
    <t>Passeio Alegre</t>
  </si>
  <si>
    <t>Porto — Foz</t>
  </si>
  <si>
    <t>Ciclovia da marginal</t>
  </si>
  <si>
    <t>Miradouro com vistas panorâmicas sobre Porto — Foz. Acesso a pé em 0 min.  Um dos pontos de contemplação privilegiados da paisagem de Norte.</t>
  </si>
  <si>
    <t>Monte de São Félix</t>
  </si>
  <si>
    <t>Laúndos</t>
  </si>
  <si>
    <t>Subida em asfalto</t>
  </si>
  <si>
    <t>Miradouro com vistas panorâmicas sobre Laúndos. Acesso a pé em 5 min. Vista em pleno sol. Um dos pontos de contemplação privilegiados da paisagem de Norte.</t>
  </si>
  <si>
    <t>Capela Senhor da Pedra</t>
  </si>
  <si>
    <t>Ciclovia da costa</t>
  </si>
  <si>
    <t>Monte do Crasto</t>
  </si>
  <si>
    <t>Acesso por zona urbana</t>
  </si>
  <si>
    <t>Miradouro com vistas panorâmicas sobre Gondomar. Acesso a pé em 2 min.  Um dos pontos de contemplação privilegiados da paisagem de Norte.</t>
  </si>
  <si>
    <t>Miradouro de Fontainhas</t>
  </si>
  <si>
    <t>Estrada marginal</t>
  </si>
  <si>
    <t>Miradouro com vistas panorâmicas sobre Porto. Acesso a pé em 1 min. Vista em pleno sol. Um dos pontos de contemplação privilegiados da paisagem de Norte.</t>
  </si>
  <si>
    <t>Miradouro de Santa Justa</t>
  </si>
  <si>
    <t>Centro BTT Valongo</t>
  </si>
  <si>
    <t>Miradouro com vistas panorâmicas sobre Valongo. Acesso a pé em 5 min. Vista em pleno sol. Um dos pontos de contemplação privilegiados da paisagem de Norte.</t>
  </si>
  <si>
    <t>Cervantes</t>
  </si>
  <si>
    <t>Subida estrada florestal</t>
  </si>
  <si>
    <t>Miradouro com vistas panorâmicas sobre Vila Nova de Cerveira. Acesso a pé em 2 min. Vista em pleno sol. Um dos pontos de contemplação privilegiados da paisagem de Norte.</t>
  </si>
  <si>
    <t>Colcurinho</t>
  </si>
  <si>
    <t>Estrada íngreme</t>
  </si>
  <si>
    <t>Miradouro com vistas panorâmicas sobre Oliveira do Hospital. Acesso a pé em 1 min. Vista em pleno sol. Um dos pontos de contemplação privilegiados da paisagem de Norte.</t>
  </si>
  <si>
    <t xml:space="preserve">  🟨  CENTRO  ·  41 entradas</t>
  </si>
  <si>
    <t>Torre</t>
  </si>
  <si>
    <t>Seia/Covilhã</t>
  </si>
  <si>
    <t>Subida mítica (HC)</t>
  </si>
  <si>
    <t>Miradouro com vistas panorâmicas sobre Seia/Covilhã. Acesso a pé em 0 min. Vista em pleno sol. Um dos pontos de contemplação privilegiados da paisagem de Centro.</t>
  </si>
  <si>
    <t>Cântaro Magro</t>
  </si>
  <si>
    <t>Estrada N338</t>
  </si>
  <si>
    <t>Miradouro com vistas panorâmicas sobre Serra da Estrela. Acesso a pé em 5 min. Vista em pleno sol. Um dos pontos de contemplação privilegiados da paisagem de Centro.</t>
  </si>
  <si>
    <t>Varanda dos Carqueijais</t>
  </si>
  <si>
    <t>Início da subida à Estrela</t>
  </si>
  <si>
    <t>Miradouro com vistas panorâmicas sobre Covilhã. Acesso a pé em 1 min. Vista em pleno sol. Um dos pontos de contemplação privilegiados da paisagem de Centro.</t>
  </si>
  <si>
    <t>Nossa Senhora do Desterro</t>
  </si>
  <si>
    <t>Subida técnica asfalto</t>
  </si>
  <si>
    <t>Miradouro com vistas panorâmicas sobre Seia. Acesso a pé em 2 min. Vista com sombra parcial. Um dos pontos de contemplação privilegiados da paisagem de Centro.</t>
  </si>
  <si>
    <t>Vale Glaciar do Zêzere</t>
  </si>
  <si>
    <t>A descida mais bonita</t>
  </si>
  <si>
    <t>Miradouro com vistas panorâmicas sobre Serra da Estrela. Acesso a pé em 1 min. Vista em pleno sol. Um dos pontos de contemplação privilegiados da paisagem de Centro.</t>
  </si>
  <si>
    <t>Cabeça do Velho</t>
  </si>
  <si>
    <t>Estrada panorâmica</t>
  </si>
  <si>
    <t>Miradouro com vistas panorâmicas sobre Gouveia. Acesso a pé em 2 min. Vista em pleno sol. Um dos pontos de contemplação privilegiados da paisagem de Centro.</t>
  </si>
  <si>
    <t>Trevim</t>
  </si>
  <si>
    <t>Subida épica por estrada</t>
  </si>
  <si>
    <t>Miradouro com vistas panorâmicas sobre Lousã. Acesso a pé em 1 min. Vista em pleno sol. Um dos pontos de contemplação privilegiados da paisagem de Centro.</t>
  </si>
  <si>
    <t>Nossa Senhora da Piedade</t>
  </si>
  <si>
    <t>Estrada estreita e cénica</t>
  </si>
  <si>
    <t>Miradouro com vistas panorâmicas sobre Lousã. Acesso a pé em 5 min.  Um dos pontos de contemplação privilegiados da paisagem de Centro.</t>
  </si>
  <si>
    <t>Estradas montanha isoladas</t>
  </si>
  <si>
    <t>Miradouro com vistas panorâmicas sobre Arganil. Acesso a pé em 10 min.  Um dos pontos de contemplação privilegiados da paisagem de Centro.</t>
  </si>
  <si>
    <t>Caramulinho</t>
  </si>
  <si>
    <t>Caramulo</t>
  </si>
  <si>
    <t>Subida clássica cicloturismo</t>
  </si>
  <si>
    <t>Miradouro com vistas panorâmicas sobre Caramulo. Acesso a pé em 10 min. Vista em pleno sol. Um dos pontos de contemplação privilegiados da paisagem de Centro.</t>
  </si>
  <si>
    <t>Penedo do Guincho</t>
  </si>
  <si>
    <t>Miradouro com vistas panorâmicas sobre Castelo Branco. Acesso a pé em 5 min. Vista em pleno sol. Um dos pontos de contemplação privilegiados da paisagem de Centro.</t>
  </si>
  <si>
    <t>Portas de Rodão</t>
  </si>
  <si>
    <t>Vila Velha de Rodão</t>
  </si>
  <si>
    <t>Percurso plano junto ao rio</t>
  </si>
  <si>
    <t>Miradouro com vistas panorâmicas sobre Vila Velha de Rodão. Acesso a pé em 2 min. Vista em pleno sol. Um dos pontos de contemplação privilegiados da paisagem de Centro.</t>
  </si>
  <si>
    <t>Baloiço do Coentral</t>
  </si>
  <si>
    <t>Castanheira de Pera</t>
  </si>
  <si>
    <t>Gravel / BTT</t>
  </si>
  <si>
    <t>Miradouro com vistas panorâmicas sobre Castanheira de Pera. Acesso a pé em 5 min. Vista em pleno sol. Um dos pontos de contemplação privilegiados da paisagem de Centro.</t>
  </si>
  <si>
    <t>Castelo de Marialva</t>
  </si>
  <si>
    <t>Estrada calçada antiga</t>
  </si>
  <si>
    <t>Miradouro com vistas panorâmicas sobre Mêda. Acesso a pé em 5 min. Vista em pleno sol. Um dos pontos de contemplação privilegiados da paisagem de Centro.</t>
  </si>
  <si>
    <t>Cicloturismo histórico</t>
  </si>
  <si>
    <t>Miradouro com vistas panorâmicas sobre Sabugal. Acesso a pé em 10 min. Vista em pleno sol. Um dos pontos de contemplação privilegiados da paisagem de Centro.</t>
  </si>
  <si>
    <t>Acesso difícil (calçada)</t>
  </si>
  <si>
    <t>Miradouro com vistas panorâmicas sobre Idanha-a-Nova. Acesso a pé em 15 min. Vista em pleno sol. Um dos pontos de contemplação privilegiados da paisagem de Centro.</t>
  </si>
  <si>
    <t>Subida curta mas intensa</t>
  </si>
  <si>
    <t>Miradouro com vistas panorâmicas sobre Figueira de Castelo Rodrigo. Acesso a pé em 2 min. Vista em pleno sol. Um dos pontos de contemplação privilegiados da paisagem de Centro.</t>
  </si>
  <si>
    <t>Celorico</t>
  </si>
  <si>
    <t>Subida encosta norte Estrela</t>
  </si>
  <si>
    <t>Miradouro com vistas panorâmicas sobre Celorico. Acesso a pé em 5 min. Vista em pleno sol. Um dos pontos de contemplação privilegiados da paisagem de Centro.</t>
  </si>
  <si>
    <t>Rota plana Beira Interior</t>
  </si>
  <si>
    <t>Miradouro com vistas panorâmicas sobre Belmonte. Acesso a pé em 2 min. Vista em pleno sol. Um dos pontos de contemplação privilegiados da paisagem de Centro.</t>
  </si>
  <si>
    <t>Penedo da Saudade</t>
  </si>
  <si>
    <t>Urbano</t>
  </si>
  <si>
    <t>Miradouro com vistas panorâmicas sobre Coimbra. Acesso a pé em 1 min.  Um dos pontos de contemplação privilegiados da paisagem de Centro.</t>
  </si>
  <si>
    <t>Subida íngreme calçada</t>
  </si>
  <si>
    <t>Miradouro com vistas panorâmicas sobre Coimbra. Acesso a pé em 2 min. Vista em pleno sol. Um dos pontos de contemplação privilegiados da paisagem de Centro.</t>
  </si>
  <si>
    <t>Sítio da Nazaré</t>
  </si>
  <si>
    <t>Ciclovia Estrada Atlântica</t>
  </si>
  <si>
    <t>Miradouro com vistas panorâmicas sobre Nazaré. Acesso a pé em 1 min. Vista em pleno sol. Um dos pontos de contemplação privilegiados da paisagem de Centro.</t>
  </si>
  <si>
    <t>Forte de S. Miguel Arcanjo</t>
  </si>
  <si>
    <t>Acesso asfalto</t>
  </si>
  <si>
    <t>Miradouro com vistas panorâmicas sobre Nazaré. Acesso a pé em 10 min. Vista em pleno sol. Um dos pontos de contemplação privilegiados da paisagem de Centro.</t>
  </si>
  <si>
    <t>Miradouro do Suberco</t>
  </si>
  <si>
    <t>Ponto alto da vila</t>
  </si>
  <si>
    <t>Miradouro com vistas panorâmicas sobre Leiria. Acesso a pé em 10 min. Vista em pleno sol. Um dos pontos de contemplação privilegiados da paisagem de Centro.</t>
  </si>
  <si>
    <t>Senhora do Monte</t>
  </si>
  <si>
    <t>BTT/Estrada</t>
  </si>
  <si>
    <t>Miradouro com vistas panorâmicas sobre Leiria. Acesso a pé em 2 min. Vista em pleno sol. Um dos pontos de contemplação privilegiados da paisagem de Centro.</t>
  </si>
  <si>
    <t>Cabo Mondego</t>
  </si>
  <si>
    <t>Ciclovia costeira</t>
  </si>
  <si>
    <t>Miradouro com vistas panorâmicas sobre Figueira da Foz. Acesso a pé em 5 min. Vista em pleno sol. Um dos pontos de contemplação privilegiados da paisagem de Centro.</t>
  </si>
  <si>
    <t>Buarcos</t>
  </si>
  <si>
    <t>Ciclovia marginal</t>
  </si>
  <si>
    <t>Miradouro com vistas panorâmicas sobre Figueira da Foz. Acesso a pé em 1 min. Vista em pleno sol. Um dos pontos de contemplação privilegiados da paisagem de Centro.</t>
  </si>
  <si>
    <t>Ciclovia à lagoa</t>
  </si>
  <si>
    <t>Miradouro com vistas panorâmicas sobre Óbidos. Acesso a pé em 15 min. Vista em pleno sol. Um dos pontos de contemplação privilegiados da paisagem de Centro.</t>
  </si>
  <si>
    <t>Cabo Carvoeiro</t>
  </si>
  <si>
    <t>Volta à península</t>
  </si>
  <si>
    <t>Miradouro com vistas panorâmicas sobre Peniche. Acesso a pé em 1 min. Vista em pleno sol. Um dos pontos de contemplação privilegiados da paisagem de Centro.</t>
  </si>
  <si>
    <t>Papôa</t>
  </si>
  <si>
    <t>Gravel</t>
  </si>
  <si>
    <t>Miradouro com vistas panorâmicas sobre Peniche. Acesso a pé em 15 min. Vista em pleno sol. Um dos pontos de contemplação privilegiados da paisagem de Centro.</t>
  </si>
  <si>
    <t>São Martinho do Porto</t>
  </si>
  <si>
    <t>Estrada encosta norte</t>
  </si>
  <si>
    <t>Miradouro com vistas panorâmicas sobre Caldas da Rainha. Acesso a pé em 5 min. Vista em pleno sol. Um dos pontos de contemplação privilegiados da paisagem de Centro.</t>
  </si>
  <si>
    <t>Ciclovia de Fátima</t>
  </si>
  <si>
    <t>Miradouro com vistas panorâmicas sobre Fátima. Acesso a pé em 2 min. Vista em pleno sol. Um dos pontos de contemplação privilegiados da paisagem de Centro.</t>
  </si>
  <si>
    <t>V.N. Barquinha</t>
  </si>
  <si>
    <t>Trilhos do Tejo</t>
  </si>
  <si>
    <t>Miradouro com vistas panorâmicas sobre V.N. Barquinha. Acesso a pé em 2 min. Vista em pleno sol. Um dos pontos de contemplação privilegiados da paisagem de Centro.</t>
  </si>
  <si>
    <t>Convento de Cristo</t>
  </si>
  <si>
    <t>Subida calçada</t>
  </si>
  <si>
    <t>Miradouro com vistas panorâmicas sobre Tomar. Acesso a pé em 5 min. Vista com sombra parcial. Um dos pontos de contemplação privilegiados da paisagem de Centro.</t>
  </si>
  <si>
    <t>20 min</t>
  </si>
  <si>
    <t>BTT técnico</t>
  </si>
  <si>
    <t>Miradouro com vistas panorâmicas sobre Vila de Rei. Acesso a pé em 20 min. Vista em pleno sol. Um dos pontos de contemplação privilegiados da paisagem de Centro.</t>
  </si>
  <si>
    <t>Dornes</t>
  </si>
  <si>
    <t>Rota Aldeias Ribeira</t>
  </si>
  <si>
    <t>Miradouro com vistas panorâmicas sobre Ferreira do Zêzere. Acesso a pé em 5 min. Vista em pleno sol. Um dos pontos de contemplação privilegiados da paisagem de Centro.</t>
  </si>
  <si>
    <t>Miradouro da Serrinha</t>
  </si>
  <si>
    <t>Estrada curvas sobre rio</t>
  </si>
  <si>
    <t>Miradouro com vistas panorâmicas sobre Tomar. Acesso a pé em 1 min. Vista em pleno sol. Um dos pontos de contemplação privilegiados da paisagem de Centro.</t>
  </si>
  <si>
    <t>Pia do Urso</t>
  </si>
  <si>
    <t>Batalha</t>
  </si>
  <si>
    <t>Centro BTT Batalha</t>
  </si>
  <si>
    <t>Miradouro com vistas panorâmicas sobre Batalha. Acesso a pé em 10 min.  Um dos pontos de contemplação privilegiados da paisagem de Centro.</t>
  </si>
  <si>
    <t>Boca do Inferno (Cascais)</t>
  </si>
  <si>
    <t>Ciclovia Cascais-Guincho</t>
  </si>
  <si>
    <t>Miradouro com vistas panorâmicas sobre Cascais. Acesso a pé em 1 min. Vista em pleno sol. Um dos pontos de contemplação privilegiados da paisagem de Centro.</t>
  </si>
  <si>
    <t xml:space="preserve">  🟩  LISBOA  ·  40 entradas</t>
  </si>
  <si>
    <t>Senhora do Monte (Graça)</t>
  </si>
  <si>
    <t>Subida muito íngreme</t>
  </si>
  <si>
    <t>Miradouro com vistas panorâmicas sobre Lisboa. Acesso a pé em 1 min. Vista em pleno sol. Um dos pontos de contemplação privilegiados da paisagem de Lisboa.</t>
  </si>
  <si>
    <t>Miradouro da Graça</t>
  </si>
  <si>
    <t>Acesso pelo elétrico 28</t>
  </si>
  <si>
    <t>Miradouro com vistas panorâmicas sobre Lisboa. Acesso a pé em 1 min.  Um dos pontos de contemplação privilegiados da paisagem de Lisboa.</t>
  </si>
  <si>
    <t>Portas do Sol</t>
  </si>
  <si>
    <t>Percurso plano Alfama</t>
  </si>
  <si>
    <t>Vizinho Portas do Sol</t>
  </si>
  <si>
    <t>Miradouro com vistas panorâmicas sobre Lisboa. Acesso a pé em 1 min. Vista com sombra parcial. Um dos pontos de contemplação privilegiados da paisagem de Lisboa.</t>
  </si>
  <si>
    <t>Castelo de S. Jorge</t>
  </si>
  <si>
    <t>Sol/Sombra</t>
  </si>
  <si>
    <t>Acesso até à porta</t>
  </si>
  <si>
    <t>Miradouro com vistas panorâmicas sobre Lisboa. Acesso a pé em 10 min.  Um dos pontos de contemplação privilegiados da paisagem de Lisboa.</t>
  </si>
  <si>
    <t>São Pedro de Alcântara</t>
  </si>
  <si>
    <t>Plano via Príncipe Real</t>
  </si>
  <si>
    <t>Santa Catarina (Adamastor)</t>
  </si>
  <si>
    <t>Calçada do Combro</t>
  </si>
  <si>
    <t>Parque Eduardo VII (Topo)</t>
  </si>
  <si>
    <t>Ciclovia Avenidas Novas</t>
  </si>
  <si>
    <t>Miradouro com vistas panorâmicas sobre Lisboa. Acesso a pé em 2 min. Vista em pleno sol. Um dos pontos de contemplação privilegiados da paisagem de Lisboa.</t>
  </si>
  <si>
    <t>Arco da Rua Augusta</t>
  </si>
  <si>
    <t>Estacionamento Praça Comércio</t>
  </si>
  <si>
    <t>Miradouro com vistas panorâmicas sobre Lisboa. Acesso a pé em 5 min. Vista em pleno sol. Um dos pontos de contemplação privilegiados da paisagem de Lisboa.</t>
  </si>
  <si>
    <t>Panorâmico de Monsanto</t>
  </si>
  <si>
    <t>Estrada Monsanto</t>
  </si>
  <si>
    <t>Miradouro com vistas panorâmicas sobre Lisboa. Acesso a pé em 2 min.  Um dos pontos de contemplação privilegiados da paisagem de Lisboa.</t>
  </si>
  <si>
    <t>Keil do Amaral</t>
  </si>
  <si>
    <t>BTT em Lisboa</t>
  </si>
  <si>
    <t>Jardim do Torel</t>
  </si>
  <si>
    <t>Elevador do Lavra</t>
  </si>
  <si>
    <t>Santo Amaro</t>
  </si>
  <si>
    <t>Ciclovia ribeirinha</t>
  </si>
  <si>
    <t>Basílica da Estrela</t>
  </si>
  <si>
    <t>Miradouro com vistas panorâmicas sobre Lisboa. Acesso a pé em 15 min. Vista em pleno sol. Um dos pontos de contemplação privilegiados da paisagem de Lisboa.</t>
  </si>
  <si>
    <t>Subida mítica Gravel</t>
  </si>
  <si>
    <t>Miradouro com vistas panorâmicas sobre Sintra. Acesso a pé em 5 min. Vista em pleno sol. Um dos pontos de contemplação privilegiados da paisagem de Lisboa.</t>
  </si>
  <si>
    <t>Castelo dos Mouros</t>
  </si>
  <si>
    <t>Até à entrada</t>
  </si>
  <si>
    <t>Miradouro com vistas panorâmicas sobre Sintra. Acesso a pé em 20 min.  Um dos pontos de contemplação privilegiados da paisagem de Lisboa.</t>
  </si>
  <si>
    <t>Cruz Alta (Parque da Pena)</t>
  </si>
  <si>
    <t>30 min</t>
  </si>
  <si>
    <t>BTT no perímetro</t>
  </si>
  <si>
    <t>Miradouro com vistas panorâmicas sobre Sintra. Acesso a pé em 30 min.  Um dos pontos de contemplação privilegiados da paisagem de Lisboa.</t>
  </si>
  <si>
    <t>Rota N247</t>
  </si>
  <si>
    <t>Miradouro com vistas panorâmicas sobre Sintra. Acesso a pé em 2 min. Vista em pleno sol. Um dos pontos de contemplação privilegiados da paisagem de Lisboa.</t>
  </si>
  <si>
    <t>Miradouro das Azenhas do Mar</t>
  </si>
  <si>
    <t>Estrada costeira</t>
  </si>
  <si>
    <t>Miradouro com vistas panorâmicas sobre Sintra. Acesso a pé em 1 min. Vista em pleno sol. Um dos pontos de contemplação privilegiados da paisagem de Lisboa.</t>
  </si>
  <si>
    <t>Cabo Raso</t>
  </si>
  <si>
    <t>Ciclovia plana</t>
  </si>
  <si>
    <t>Miradouro com vistas panorâmicas sobre Cascais. Acesso a pé em 0 min. Vista em pleno sol. Um dos pontos de contemplação privilegiados da paisagem de Lisboa.</t>
  </si>
  <si>
    <t>Cristo Rei</t>
  </si>
  <si>
    <t>Acesso via Cacilhas</t>
  </si>
  <si>
    <t>Miradouro com vistas panorâmicas sobre Almada. Acesso a pé em 2 min. Vista em pleno sol. Um dos pontos de contemplação privilegiados da paisagem de Lisboa.</t>
  </si>
  <si>
    <t>Cais do Ginjal</t>
  </si>
  <si>
    <t>Piso irregular</t>
  </si>
  <si>
    <t>Miradouro com vistas panorâmicas sobre Almada. Acesso a pé em 10 min.  Um dos pontos de contemplação privilegiados da paisagem de Lisboa.</t>
  </si>
  <si>
    <t>Miradouro do Norte (Arrábida)</t>
  </si>
  <si>
    <t>Estrada N379-1 — Top mundial</t>
  </si>
  <si>
    <t>Miradouro com vistas panorâmicas sobre Setúbal. Acesso a pé em 1 min. Vista em pleno sol. Um dos pontos de contemplação privilegiados da paisagem de Lisboa.</t>
  </si>
  <si>
    <t>Alto do Formosinho</t>
  </si>
  <si>
    <t>45 min</t>
  </si>
  <si>
    <t>Inacessível bike</t>
  </si>
  <si>
    <t>Miradouro com vistas panorâmicas sobre Setúbal. Acesso a pé em 45 min. Vista em pleno sol. Um dos pontos de contemplação privilegiados da paisagem de Lisboa.</t>
  </si>
  <si>
    <t>Descida íngreme</t>
  </si>
  <si>
    <t>Estrada plana exposta</t>
  </si>
  <si>
    <t>Miradouro com vistas panorâmicas sobre Sesimbra. Acesso a pé em 5 min. Vista em pleno sol. Um dos pontos de contemplação privilegiados da paisagem de Lisboa.</t>
  </si>
  <si>
    <t>Subida muito forte</t>
  </si>
  <si>
    <t>Miradouro de Palmela</t>
  </si>
  <si>
    <t>Subida clássica</t>
  </si>
  <si>
    <t>Miradouro com vistas panorâmicas sobre Palmela. Acesso a pé em 5 min. Vista em pleno sol. Um dos pontos de contemplação privilegiados da paisagem de Lisboa.</t>
  </si>
  <si>
    <t>Portas do Sol (Santarém)</t>
  </si>
  <si>
    <t>Plano dentro cidade</t>
  </si>
  <si>
    <t>Miradouro com vistas panorâmicas sobre Santarém. Acesso a pé em 1 min.  Um dos pontos de contemplação privilegiados da paisagem de Lisboa.</t>
  </si>
  <si>
    <t>Miradouro de Alpiarça</t>
  </si>
  <si>
    <t>Alpiarça</t>
  </si>
  <si>
    <t>Cicloturismo lezíria</t>
  </si>
  <si>
    <t>Miradouro com vistas panorâmicas sobre Alpiarça. Acesso a pé em 5 min. Vista em pleno sol. Um dos pontos de contemplação privilegiados da paisagem de Lisboa.</t>
  </si>
  <si>
    <t>Subida centro histórico</t>
  </si>
  <si>
    <t>Miradouro com vistas panorâmicas sobre Abrantes. Acesso a pé em 5 min. Vista em pleno sol. Um dos pontos de contemplação privilegiados da paisagem de Lisboa.</t>
  </si>
  <si>
    <t>Miradouro do Salto do Cavalo</t>
  </si>
  <si>
    <t>Estrada municipal</t>
  </si>
  <si>
    <t>Miradouro com vistas panorâmicas sobre Chamusca. Acesso a pé em 5 min. Vista em pleno sol. Um dos pontos de contemplação privilegiados da paisagem de Lisboa.</t>
  </si>
  <si>
    <t>Alenquer</t>
  </si>
  <si>
    <t>Maior subida região Oeste</t>
  </si>
  <si>
    <t>Miradouro com vistas panorâmicas sobre Alenquer. Acesso a pé em 5 min. Vista em pleno sol. Um dos pontos de contemplação privilegiados da paisagem de Lisboa.</t>
  </si>
  <si>
    <t>Ericeira — Ribeira d'Ilhas</t>
  </si>
  <si>
    <t>Miradouro com vistas panorâmicas sobre Ericeira. Acesso a pé em 2 min. Vista em pleno sol. Um dos pontos de contemplação privilegiados da paisagem de Lisboa.</t>
  </si>
  <si>
    <t>Forte de S. Vicente</t>
  </si>
  <si>
    <t>BTT histórico</t>
  </si>
  <si>
    <t>Miradouro com vistas panorâmicas sobre Torres Vedras. Acesso a pé em 5 min. Vista em pleno sol. Um dos pontos de contemplação privilegiados da paisagem de Lisboa.</t>
  </si>
  <si>
    <t>Ponta dos Corvos</t>
  </si>
  <si>
    <t>Trilho de terra</t>
  </si>
  <si>
    <t>Miradouro com vistas panorâmicas sobre Seixal. Acesso a pé em 10 min. Vista em pleno sol. Um dos pontos de contemplação privilegiados da paisagem de Lisboa.</t>
  </si>
  <si>
    <t>Ciclovia marginal Belém</t>
  </si>
  <si>
    <t>Ponte Marechal Carmona</t>
  </si>
  <si>
    <t>Ciclovia Tejo</t>
  </si>
  <si>
    <t>Miradouro com vistas panorâmicas sobre Vila Franca de Xira. Acesso a pé em 1 min. Vista em pleno sol. Um dos pontos de contemplação privilegiados da paisagem de Lisboa.</t>
  </si>
  <si>
    <t>Grândola — Serra</t>
  </si>
  <si>
    <t>Subida estrada Serra</t>
  </si>
  <si>
    <t>Miradouro com vistas panorâmicas sobre Grândola. Acesso a pé em 5 min. Vista com sombra parcial. Um dos pontos de contemplação privilegiados da paisagem de Lisboa.</t>
  </si>
  <si>
    <t>Troia — Ponta do Adoxe</t>
  </si>
  <si>
    <t>Ciclovia de Troia</t>
  </si>
  <si>
    <t>Miradouro com vistas panorâmicas sobre Grândola. Acesso a pé em 10 min. Vista em pleno sol. Um dos pontos de contemplação privilegiados da paisagem de Lisboa.</t>
  </si>
  <si>
    <t xml:space="preserve">  🟧  ALENTEJO  ·  40 entradas</t>
  </si>
  <si>
    <t>Marvão (Castelo)</t>
  </si>
  <si>
    <t>Subida mítica muralhas</t>
  </si>
  <si>
    <t>Miradouro com vistas panorâmicas sobre Marvão. Acesso a pé em 5 min. Vista em pleno sol. Um dos pontos de contemplação privilegiados da paisagem de Alentejo.</t>
  </si>
  <si>
    <t>Castelo de Vide — Senhora da Penha</t>
  </si>
  <si>
    <t>Miradouro com vistas panorâmicas sobre Castelo de Vide. Acesso a pé em 1 min. Vista em pleno sol. Um dos pontos de contemplação privilegiados da paisagem de Alentejo.</t>
  </si>
  <si>
    <t>Pico de São Mamede</t>
  </si>
  <si>
    <t>Subida 7km exigente</t>
  </si>
  <si>
    <t>Miradouro com vistas panorâmicas sobre Portalegre. Acesso a pé em 2 min. Vista em pleno sol. Um dos pontos de contemplação privilegiados da paisagem de Alentejo.</t>
  </si>
  <si>
    <t>Plano cicloturismo</t>
  </si>
  <si>
    <t>Miradouro com vistas panorâmicas sobre Alter do Chão. Acesso a pé em 5 min. Vista com sombra parcial. Um dos pontos de contemplação privilegiados da paisagem de Alentejo.</t>
  </si>
  <si>
    <t>Crato — Varanda do Castelo</t>
  </si>
  <si>
    <t>Acesso fácil</t>
  </si>
  <si>
    <t>Miradouro com vistas panorâmicas sobre Crato. Acesso a pé em 2 min. Vista em pleno sol. Um dos pontos de contemplação privilegiados da paisagem de Alentejo.</t>
  </si>
  <si>
    <t>Belver — Castelo</t>
  </si>
  <si>
    <t>Belver</t>
  </si>
  <si>
    <t>Descida Passadiços</t>
  </si>
  <si>
    <t>Miradouro com vistas panorâmicas sobre Belver. Acesso a pé em 5 min. Vista em pleno sol. Um dos pontos de contemplação privilegiados da paisagem de Alentejo.</t>
  </si>
  <si>
    <t>Campo Maior — Ouguela</t>
  </si>
  <si>
    <t>Caminhos rurais planos</t>
  </si>
  <si>
    <t>Miradouro com vistas panorâmicas sobre Campo Maior. Acesso a pé em 2 min. Vista em pleno sol. Um dos pontos de contemplação privilegiados da paisagem de Alentejo.</t>
  </si>
  <si>
    <t>Elvas — Forte da Graça</t>
  </si>
  <si>
    <t>Subida monte Graça</t>
  </si>
  <si>
    <t>Miradouro com vistas panorâmicas sobre Elvas. Acesso a pé em 10 min. Vista em pleno sol. Um dos pontos de contemplação privilegiados da paisagem de Alentejo.</t>
  </si>
  <si>
    <t>Évora — Sé de Évora (Terraço)</t>
  </si>
  <si>
    <t>Centro histórico</t>
  </si>
  <si>
    <t>Miradouro com vistas panorâmicas sobre Évora. Acesso a pé em 5 min. Vista em pleno sol. Um dos pontos de contemplação privilegiados da paisagem de Alentejo.</t>
  </si>
  <si>
    <t>Alto de São Bento</t>
  </si>
  <si>
    <t>BTT local</t>
  </si>
  <si>
    <t>Miradouro com vistas panorâmicas sobre Évora. Acesso a pé em 2 min. Vista com sombra parcial. Um dos pontos de contemplação privilegiados da paisagem de Alentejo.</t>
  </si>
  <si>
    <t>Monsaraz (Muralhas)</t>
  </si>
  <si>
    <t>Subida forte no final</t>
  </si>
  <si>
    <t>Miradouro com vistas panorâmicas sobre Monsaraz. Acesso a pé em 5 min. Vista em pleno sol. Um dos pontos de contemplação privilegiados da paisagem de Alentejo.</t>
  </si>
  <si>
    <t>Mourão (Castelo)</t>
  </si>
  <si>
    <t>Aldeias Ribeirinhas</t>
  </si>
  <si>
    <t>Miradouro com vistas panorâmicas sobre Mourão. Acesso a pé em 2 min. Vista em pleno sol. Um dos pontos de contemplação privilegiados da paisagem de Alentejo.</t>
  </si>
  <si>
    <t>Vila Viçosa — Paço Ducal</t>
  </si>
  <si>
    <t>Percursos planos mármore</t>
  </si>
  <si>
    <t>Miradouro com vistas panorâmicas sobre Vila Viçosa. Acesso a pé em 1 min. Vista em pleno sol. Um dos pontos de contemplação privilegiados da paisagem de Alentejo.</t>
  </si>
  <si>
    <t>Castelo de Evoramonte</t>
  </si>
  <si>
    <t>Evoramonte</t>
  </si>
  <si>
    <t>Subida na N18</t>
  </si>
  <si>
    <t>Miradouro com vistas panorâmicas sobre Evoramonte. Acesso a pé em 5 min. Vista em pleno sol. Um dos pontos de contemplação privilegiados da paisagem de Alentejo.</t>
  </si>
  <si>
    <t>Serra d'Ossa</t>
  </si>
  <si>
    <t>BTT técnicos</t>
  </si>
  <si>
    <t>Miradouro com vistas panorâmicas sobre Redondo. Acesso a pé em 10 min.  Um dos pontos de contemplação privilegiados da paisagem de Alentejo.</t>
  </si>
  <si>
    <t>Arraiolos (Castelo Circular)</t>
  </si>
  <si>
    <t>Subida em calçada</t>
  </si>
  <si>
    <t>Miradouro com vistas panorâmicas sobre Arraiolos. Acesso a pé em 2 min. Vista em pleno sol. Um dos pontos de contemplação privilegiados da paisagem de Alentejo.</t>
  </si>
  <si>
    <t>Montemor-o-Novo (Castelo)</t>
  </si>
  <si>
    <t>Ecopista</t>
  </si>
  <si>
    <t>Miradouro com vistas panorâmicas sobre Montemor-o-Novo. Acesso a pé em 10 min. Vista em pleno sol. Um dos pontos de contemplação privilegiados da paisagem de Alentejo.</t>
  </si>
  <si>
    <t>Viana do Alentejo (Castelo)</t>
  </si>
  <si>
    <t>Estradas secundárias</t>
  </si>
  <si>
    <t>Miradouro com vistas panorâmicas sobre Viana do Alentejo. Acesso a pé em 2 min. Vista em pleno sol. Um dos pontos de contemplação privilegiados da paisagem de Alentejo.</t>
  </si>
  <si>
    <t>Alqueva — Muro da Barragem</t>
  </si>
  <si>
    <t>Estrada da Barragem</t>
  </si>
  <si>
    <t>Mértola — Torre de Menagem</t>
  </si>
  <si>
    <t>Subida vila museu</t>
  </si>
  <si>
    <t>Miradouro com vistas panorâmicas sobre Mértola. Acesso a pé em 5 min. Vista em pleno sol. Um dos pontos de contemplação privilegiados da paisagem de Alentejo.</t>
  </si>
  <si>
    <t>Gravel piso terra</t>
  </si>
  <si>
    <t>Miradouro com vistas panorâmicas sobre Mértola. Acesso a pé em 15 min. Vista em pleno sol. Um dos pontos de contemplação privilegiados da paisagem de Alentejo.</t>
  </si>
  <si>
    <t>Beja — Torre de Menagem</t>
  </si>
  <si>
    <t>Ciclovias urbanas</t>
  </si>
  <si>
    <t>Miradouro com vistas panorâmicas sobre Beja. Acesso a pé em 5 min.  Um dos pontos de contemplação privilegiados da paisagem de Alentejo.</t>
  </si>
  <si>
    <t>Castro Verde — Basílica Real</t>
  </si>
  <si>
    <t>Rota das Aves plana</t>
  </si>
  <si>
    <t>Miradouro com vistas panorâmicas sobre Castro Verde. Acesso a pé em 2 min. Vista em pleno sol. Um dos pontos de contemplação privilegiados da paisagem de Alentejo.</t>
  </si>
  <si>
    <t>Serpa (Muralhas)</t>
  </si>
  <si>
    <t>Estrada do queijo</t>
  </si>
  <si>
    <t>Miradouro com vistas panorâmicas sobre Serpa. Acesso a pé em 5 min. Vista em pleno sol. Um dos pontos de contemplação privilegiados da paisagem de Alentejo.</t>
  </si>
  <si>
    <t>Aljustrel — Ermida N. Sra. do Castelo</t>
  </si>
  <si>
    <t>Subida em caracol</t>
  </si>
  <si>
    <t>Miradouro com vistas panorâmicas sobre Aljustrel. Acesso a pé em 5 min. Vista em pleno sol. Um dos pontos de contemplação privilegiados da paisagem de Alentejo.</t>
  </si>
  <si>
    <t>Barrancos — Castelo de Noudar</t>
  </si>
  <si>
    <t>Estrada privada autorizada</t>
  </si>
  <si>
    <t>Miradouro com vistas panorâmicas sobre Barrancos. Acesso a pé em 10 min. Vista em pleno sol. Um dos pontos de contemplação privilegiados da paisagem de Alentejo.</t>
  </si>
  <si>
    <t>Cabo Sardão</t>
  </si>
  <si>
    <t>Miradouro com vistas panorâmicas sobre Odemira. Acesso a pé em 1 min. Vista em pleno sol. Um dos pontos de contemplação privilegiados da paisagem de Alentejo.</t>
  </si>
  <si>
    <t>Vila Nova de Milfontes — Forte S. Clemente</t>
  </si>
  <si>
    <t>Ciclovia urbana</t>
  </si>
  <si>
    <t>Rota da Costa</t>
  </si>
  <si>
    <t>Porto Covo — Ilha do Pessegueiro</t>
  </si>
  <si>
    <t>Ciclovia areia/terra</t>
  </si>
  <si>
    <t>Miradouro com vistas panorâmicas sobre Sines. Acesso a pé em 2 min. Vista em pleno sol. Um dos pontos de contemplação privilegiados da paisagem de Alentejo.</t>
  </si>
  <si>
    <t>Sines — Muralhas do Castelo</t>
  </si>
  <si>
    <t>Marginal de Sines</t>
  </si>
  <si>
    <t>Santiago do Cacém (Castelo)</t>
  </si>
  <si>
    <t>Subida íngreme</t>
  </si>
  <si>
    <t>Miradouro com vistas panorâmicas sobre Santiago do Cacém. Acesso a pé em 5 min. Vista com sombra parcial. Um dos pontos de contemplação privilegiados da paisagem de Alentejo.</t>
  </si>
  <si>
    <t>Comporta — Cais Palafítico da Carrasqueira</t>
  </si>
  <si>
    <t>Caminhos arrozal planos</t>
  </si>
  <si>
    <t>Miradouro com vistas panorâmicas sobre Alcácer do Sal. Acesso a pé em 5 min. Vista em pleno sol. Um dos pontos de contemplação privilegiados da paisagem de Alentejo.</t>
  </si>
  <si>
    <t>Miradouro com vistas panorâmicas sobre Grândola. Acesso a pé em 10 min. Vista em pleno sol. Um dos pontos de contemplação privilegiados da paisagem de Alentejo.</t>
  </si>
  <si>
    <t>Nossa Senhora d'Aires</t>
  </si>
  <si>
    <t>Viana</t>
  </si>
  <si>
    <t>Estrada Peregrinação</t>
  </si>
  <si>
    <t>Miradouro com vistas panorâmicas sobre Viana. Acesso a pé em 1 min. Vista em pleno sol. Um dos pontos de contemplação privilegiados da paisagem de Alentejo.</t>
  </si>
  <si>
    <t>Alvito (Castelo/Pousada)</t>
  </si>
  <si>
    <t>Plano</t>
  </si>
  <si>
    <t>Miradouro com vistas panorâmicas sobre Alvito. Acesso a pé em 2 min.  Um dos pontos de contemplação privilegiados da paisagem de Alentejo.</t>
  </si>
  <si>
    <t>Miradouro com vistas panorâmicas sobre Grândola. Acesso a pé em 5 min. Vista com sombra parcial. Um dos pontos de contemplação privilegiados da paisagem de Alentejo.</t>
  </si>
  <si>
    <t>Ferreira do Alentejo — Calvário</t>
  </si>
  <si>
    <t>Urbana</t>
  </si>
  <si>
    <t>Miradouro com vistas panorâmicas sobre Ferreira do Alentejo. Acesso a pé em 2 min. Vista em pleno sol. Um dos pontos de contemplação privilegiados da paisagem de Alentejo.</t>
  </si>
  <si>
    <t>BTT industrial</t>
  </si>
  <si>
    <t>Miradouro com vistas panorâmicas sobre Mértola. Acesso a pé em 10 min. Vista em pleno sol. Um dos pontos de contemplação privilegiados da paisagem de Alentejo.</t>
  </si>
  <si>
    <t>Odivelas — Alqueva</t>
  </si>
  <si>
    <t>Ferreira</t>
  </si>
  <si>
    <t>Rota das Barragens</t>
  </si>
  <si>
    <t>Miradouro com vistas panorâmicas sobre Ferreira. Acesso a pé em 5 min. Vista em pleno sol. Um dos pontos de contemplação privilegiados da paisagem de Alentejo.</t>
  </si>
  <si>
    <t xml:space="preserve">  🟥  ALGARVE  ·  40 entradas</t>
  </si>
  <si>
    <t>Ponta da Piedade</t>
  </si>
  <si>
    <t>Ciclovia desde Lagos</t>
  </si>
  <si>
    <t>Miradouro com vistas panorâmicas sobre Lagos. Acesso a pé em 2 min. Vista em pleno sol. Um dos pontos de contemplação privilegiados da paisagem de Algarve.</t>
  </si>
  <si>
    <t>Estrada plana vento forte</t>
  </si>
  <si>
    <t>Miradouro com vistas panorâmicas sobre Sagres. Acesso a pé em 1 min. Vista em pleno sol. Um dos pontos de contemplação privilegiados da paisagem de Algarve.</t>
  </si>
  <si>
    <t>Estacionamento à entrada</t>
  </si>
  <si>
    <t>Miradouro com vistas panorâmicas sobre Sagres. Acesso a pé em 20 min. Vista em pleno sol. Um dos pontos de contemplação privilegiados da paisagem de Algarve.</t>
  </si>
  <si>
    <t>Algar de Benagil (Topo)</t>
  </si>
  <si>
    <t>Acesso íngreme pela aldeia</t>
  </si>
  <si>
    <t>Miradouro com vistas panorâmicas sobre Lagoa. Acesso a pé em 10 min. Vista em pleno sol. Um dos pontos de contemplação privilegiados da paisagem de Algarve.</t>
  </si>
  <si>
    <t>Praia da Marinha — Miradouro dos Arcos</t>
  </si>
  <si>
    <t>Miradouro com vistas panorâmicas sobre Lagoa. Acesso a pé em 2 min. Vista em pleno sol. Um dos pontos de contemplação privilegiados da paisagem de Algarve.</t>
  </si>
  <si>
    <t>Senhora da Rocha</t>
  </si>
  <si>
    <t>Porches</t>
  </si>
  <si>
    <t>Estrada costeira secundária</t>
  </si>
  <si>
    <t>Miradouro com vistas panorâmicas sobre Porches. Acesso a pé em 1 min. Vista em pleno sol. Um dos pontos de contemplação privilegiados da paisagem de Algarve.</t>
  </si>
  <si>
    <t>Caniço — Prainha</t>
  </si>
  <si>
    <t>Alvor</t>
  </si>
  <si>
    <t>Miradouro com vistas panorâmicas sobre Alvor. Acesso a pé em 5 min. Vista com sombra parcial. Um dos pontos de contemplação privilegiados da paisagem de Algarve.</t>
  </si>
  <si>
    <t>Pontal — Algar Seco</t>
  </si>
  <si>
    <t>Carvoeiro</t>
  </si>
  <si>
    <t>Passadiços pedonal</t>
  </si>
  <si>
    <t>Miradouro com vistas panorâmicas sobre Carvoeiro. Acesso a pé em 5 min. Vista em pleno sol. Um dos pontos de contemplação privilegiados da paisagem de Algarve.</t>
  </si>
  <si>
    <t>Torre de Aspa</t>
  </si>
  <si>
    <t>Gravel / BTT terra batida</t>
  </si>
  <si>
    <t>Miradouro com vistas panorâmicas sobre Vila do Bispo. Acesso a pé em 10 min. Vista em pleno sol. Um dos pontos de contemplação privilegiados da paisagem de Algarve.</t>
  </si>
  <si>
    <t>Miradouro do Castelejo</t>
  </si>
  <si>
    <t>Miradouro com vistas panorâmicas sobre Vila do Bispo. Acesso a pé em 1 min. Vista em pleno sol. Um dos pontos de contemplação privilegiados da paisagem de Algarve.</t>
  </si>
  <si>
    <t>Subida rainha do Algarve</t>
  </si>
  <si>
    <t>Miradouro com vistas panorâmicas sobre Monchique. Acesso a pé em 0 min. Vista em pleno sol. Um dos pontos de contemplação privilegiados da paisagem de Algarve.</t>
  </si>
  <si>
    <t>Picota</t>
  </si>
  <si>
    <t>Miradouro com vistas panorâmicas sobre Monchique. Acesso a pé em 20 min. Vista com sombra parcial. Um dos pontos de contemplação privilegiados da paisagem de Algarve.</t>
  </si>
  <si>
    <t>Miradouro da Fonte Santa</t>
  </si>
  <si>
    <t>Estrada das Termas</t>
  </si>
  <si>
    <t>Miradouro com vistas panorâmicas sobre Monchique. Acesso a pé em 5 min.  Um dos pontos de contemplação privilegiados da paisagem de Algarve.</t>
  </si>
  <si>
    <t>Cumeada — Barranco do Velho</t>
  </si>
  <si>
    <t>N2 Estrada Nacional 2</t>
  </si>
  <si>
    <t>Miradouro com vistas panorâmicas sobre Loulé. Acesso a pé em 2 min. Vista em pleno sol. Um dos pontos de contemplação privilegiados da paisagem de Algarve.</t>
  </si>
  <si>
    <t>Miradouro do Moinho — Alte</t>
  </si>
  <si>
    <t>Subida às Fontes de Alte</t>
  </si>
  <si>
    <t>Miradouro com vistas panorâmicas sobre Loulé. Acesso a pé em 5 min. Vista em pleno sol. Um dos pontos de contemplação privilegiados da paisagem de Algarve.</t>
  </si>
  <si>
    <t>Malhão</t>
  </si>
  <si>
    <t>Muro do Malhão &gt;15%</t>
  </si>
  <si>
    <t>Miradouro com vistas panorâmicas sobre Loulé. Acesso a pé em 1 min. Vista em pleno sol. Um dos pontos de contemplação privilegiados da paisagem de Algarve.</t>
  </si>
  <si>
    <t>Cerro de S. Miguel</t>
  </si>
  <si>
    <t>Olhão/Faro</t>
  </si>
  <si>
    <t>Subida asfalto/terra</t>
  </si>
  <si>
    <t>Miradouro com vistas panorâmicas sobre Olhão/Faro. Acesso a pé em 1 min. Vista em pleno sol. Um dos pontos de contemplação privilegiados da paisagem de Algarve.</t>
  </si>
  <si>
    <t>Ludo — Faro</t>
  </si>
  <si>
    <t>Gravel imperdível plano</t>
  </si>
  <si>
    <t>Miradouro com vistas panorâmicas sobre Faro. Acesso a pé em 15 min. Vista em pleno sol. Um dos pontos de contemplação privilegiados da paisagem de Algarve.</t>
  </si>
  <si>
    <t>Quinta do Lago — Passadiços</t>
  </si>
  <si>
    <t>Ciclovia de madeira</t>
  </si>
  <si>
    <t>Miradouro com vistas panorâmicas sobre Loulé. Acesso a pé em 20 min. Vista em pleno sol. Um dos pontos de contemplação privilegiados da paisagem de Algarve.</t>
  </si>
  <si>
    <t>Forte de Rato — Tavira</t>
  </si>
  <si>
    <t>Ecovia do Litoral</t>
  </si>
  <si>
    <t>Miradouro com vistas panorâmicas sobre Tavira. Acesso a pé em 5 min. Vista em pleno sol. Um dos pontos de contemplação privilegiados da paisagem de Algarve.</t>
  </si>
  <si>
    <t>Miradouro com vistas panorâmicas sobre Loulé. Acesso a pé em 5 min. Vista com sombra parcial. Um dos pontos de contemplação privilegiados da paisagem de Algarve.</t>
  </si>
  <si>
    <t>Igreja de S. Lourenço — Almancil</t>
  </si>
  <si>
    <t>Estrada local plana</t>
  </si>
  <si>
    <t>Miradouro com vistas panorâmicas sobre Almancil. Acesso a pé em 2 min. Vista em pleno sol. Um dos pontos de contemplação privilegiados da paisagem de Algarve.</t>
  </si>
  <si>
    <t>Miradouro de Vilamoura — Falésia</t>
  </si>
  <si>
    <t>Ciclovia topo falésia</t>
  </si>
  <si>
    <t>Miradouro com vistas panorâmicas sobre Vilamoura. Acesso a pé em 5 min. Vista em pleno sol. Um dos pontos de contemplação privilegiados da paisagem de Algarve.</t>
  </si>
  <si>
    <t>Miradouro com vistas panorâmicas sobre VRSA. Acesso a pé em 1 min. Vista em pleno sol. Um dos pontos de contemplação privilegiados da paisagem de Algarve.</t>
  </si>
  <si>
    <t>Revelim de St. António</t>
  </si>
  <si>
    <t>Miradouro com vistas panorâmicas sobre Castro Marim. Acesso a pé em 10 min. Vista em pleno sol. Um dos pontos de contemplação privilegiados da paisagem de Algarve.</t>
  </si>
  <si>
    <t>Revelim de Santo António</t>
  </si>
  <si>
    <t>Ciclovia Castro Marim</t>
  </si>
  <si>
    <t>Miradouro com vistas panorâmicas sobre Castro Marim. Acesso a pé em 2 min. Vista em pleno sol. Um dos pontos de contemplação privilegiados da paisagem de Algarve.</t>
  </si>
  <si>
    <t>Vila Real de S. António — Farol</t>
  </si>
  <si>
    <t>Marginal do Rio</t>
  </si>
  <si>
    <t>Miradouro com vistas panorâmicas sobre VRSA. Acesso a pé em 2 min. Vista em pleno sol. Um dos pontos de contemplação privilegiados da paisagem de Algarve.</t>
  </si>
  <si>
    <t>Pau da Bandeira — Albufeira</t>
  </si>
  <si>
    <t>Escadas rolantes/estrada</t>
  </si>
  <si>
    <t>Miradouro com vistas panorâmicas sobre Albufeira. Acesso a pé em 1 min. Vista em pleno sol. Um dos pontos de contemplação privilegiados da paisagem de Algarve.</t>
  </si>
  <si>
    <t>Falésia Alfamar</t>
  </si>
  <si>
    <t>BTT topo falésia</t>
  </si>
  <si>
    <t>Miradouro com vistas panorâmicas sobre Albufeira. Acesso a pé em 5 min. Vista em pleno sol. Um dos pontos de contemplação privilegiados da paisagem de Algarve.</t>
  </si>
  <si>
    <t>Miradouro dos Três Castelos</t>
  </si>
  <si>
    <t>Ciclovia Avenida Marginal</t>
  </si>
  <si>
    <t>Miradouro com vistas panorâmicas sobre Portimão. Acesso a pé em 1 min. Vista em pleno sol. Um dos pontos de contemplação privilegiados da paisagem de Algarve.</t>
  </si>
  <si>
    <t>Ferragudo — Igreja</t>
  </si>
  <si>
    <t>Subida íngreme ruelas</t>
  </si>
  <si>
    <t>Miradouro com vistas panorâmicas sobre Lagoa. Acesso a pé em 5 min. Vista em pleno sol. Um dos pontos de contemplação privilegiados da paisagem de Algarve.</t>
  </si>
  <si>
    <t>Alcoutim (Castelo)</t>
  </si>
  <si>
    <t>Fim da Via Algarviana</t>
  </si>
  <si>
    <t>Miradouro com vistas panorâmicas sobre Alcoutim. Acesso a pé em 5 min. Vista em pleno sol. Um dos pontos de contemplação privilegiados da paisagem de Algarve.</t>
  </si>
  <si>
    <t>Miradouro da Ponta da Alcaria</t>
  </si>
  <si>
    <t>Estrada IC27</t>
  </si>
  <si>
    <t>Miradouro com vistas panorâmicas sobre Alcoutim. Acesso a pé em 2 min. Vista em pleno sol. Um dos pontos de contemplação privilegiados da paisagem de Algarve.</t>
  </si>
  <si>
    <t>Paderne (Castelo)</t>
  </si>
  <si>
    <t>BTT icónico</t>
  </si>
  <si>
    <t>Miradouro com vistas panorâmicas sobre Albufeira. Acesso a pé em 15 min. Vista em pleno sol. Um dos pontos de contemplação privilegiados da paisagem de Algarve.</t>
  </si>
  <si>
    <t>Silves (Muralhas do Castelo)</t>
  </si>
  <si>
    <t>Miradouro com vistas panorâmicas sobre Silves. Acesso a pé em 5 min. Vista em pleno sol. Um dos pontos de contemplação privilegiados da paisagem de Algarve.</t>
  </si>
  <si>
    <t>Cabo de Santa Maria — Ilha Deserta</t>
  </si>
  <si>
    <t>Apenas barco + pedestre</t>
  </si>
  <si>
    <t>Miradouro com vistas panorâmicas sobre Faro. Acesso a pé em 45 min. Vista em pleno sol. Um dos pontos de contemplação privilegiados da paisagem de Algarve.</t>
  </si>
  <si>
    <t>Azilheira (Serra)</t>
  </si>
  <si>
    <t>Estradas de xisto isoladas</t>
  </si>
  <si>
    <t>Miradouro com vistas panorâmicas sobre Monchique. Acesso a pé em 5 min. Vista em pleno sol. Um dos pontos de contemplação privilegiados da paisagem de Algarve.</t>
  </si>
  <si>
    <t>Miradouro da Serrinha — Tomar</t>
  </si>
  <si>
    <t>Estrada de curvas</t>
  </si>
  <si>
    <t>Ermida de N. Sra. da Orada</t>
  </si>
  <si>
    <t>Ciclovia da Marina</t>
  </si>
  <si>
    <t>Miradouro com vistas panorâmicas sobre Albufeira. Acesso a pé em 2 min. Vista com sombra parcial. Um dos pontos de contemplação privilegiados da paisagem de Algarve.</t>
  </si>
  <si>
    <t>Fortaleza de Santa Catarina</t>
  </si>
  <si>
    <t>Acesso Porto de Abrigo</t>
  </si>
  <si>
    <t>Miradouro com vistas panorâmicas sobre Portimão. Acesso a pé em 2 min. Vista em pleno sol. Um dos pontos de contemplação privilegiados da paisagem de Algarve.</t>
  </si>
  <si>
    <t xml:space="preserve">  🟫  MADEIRA  ·  40 entradas</t>
  </si>
  <si>
    <t>Cabo Girão</t>
  </si>
  <si>
    <t>Subida épica de estrada</t>
  </si>
  <si>
    <t>Miradouro com vistas panorâmicas sobre Funchal. Acesso a pé em 1 min. Vista em pleno sol. Um dos pontos de contemplação privilegiados da paisagem de Madeira.</t>
  </si>
  <si>
    <t>Pico dos Barcelos</t>
  </si>
  <si>
    <t>Miradouro com vistas panorâmicas sobre Funchal. Acesso a pé em 2 min. Vista com sombra parcial. Um dos pontos de contemplação privilegiados da paisagem de Madeira.</t>
  </si>
  <si>
    <t>Miradouro das Neves</t>
  </si>
  <si>
    <t>Estrada antiga aeroporto</t>
  </si>
  <si>
    <t>Cristo Rei do Garajau</t>
  </si>
  <si>
    <t>Caniço</t>
  </si>
  <si>
    <t>Ciclável até ao topo</t>
  </si>
  <si>
    <t>Miradouro com vistas panorâmicas sobre Caniço. Acesso a pé em 5 min. Vista em pleno sol. Um dos pontos de contemplação privilegiados da paisagem de Madeira.</t>
  </si>
  <si>
    <t>Monte — Largo da Igreja</t>
  </si>
  <si>
    <t>Miradouro com vistas panorâmicas sobre Funchal. Acesso a pé em 5 min.  Um dos pontos de contemplação privilegiados da paisagem de Madeira.</t>
  </si>
  <si>
    <t>Miradouro com vistas panorâmicas sobre Curral das Freiras. Acesso a pé em 5 min. Vista em pleno sol. Um dos pontos de contemplação privilegiados da paisagem de Madeira.</t>
  </si>
  <si>
    <t>Subida mais dura do mundo (HC)</t>
  </si>
  <si>
    <t>Miradouro com vistas panorâmicas sobre Funchal. Acesso a pé em 0 min. Vista em pleno sol. Um dos pontos de contemplação privilegiados da paisagem de Madeira.</t>
  </si>
  <si>
    <t>60-90 min</t>
  </si>
  <si>
    <t>Inacessível (trilho)</t>
  </si>
  <si>
    <t>Miradouro com vistas panorâmicas sobre Funchal. Acesso a pé em 60-90 min. Vista em pleno sol. Um dos pontos de contemplação privilegiados da paisagem de Madeira.</t>
  </si>
  <si>
    <t>Bica da Cana</t>
  </si>
  <si>
    <t>Gravel no planalto</t>
  </si>
  <si>
    <t>Miradouro com vistas panorâmicas sobre Funchal. Acesso a pé em 5 min. Vista em pleno sol. Um dos pontos de contemplação privilegiados da paisagem de Madeira.</t>
  </si>
  <si>
    <t>Lombo do Mouro</t>
  </si>
  <si>
    <t>Melhor estrada asfalto para fotos</t>
  </si>
  <si>
    <t>Miradouro do Paredão</t>
  </si>
  <si>
    <t>Miradouro com vistas panorâmicas sobre Funchal. Acesso a pé em 2 min.  Um dos pontos de contemplação privilegiados da paisagem de Madeira.</t>
  </si>
  <si>
    <t>Ninho da Manta</t>
  </si>
  <si>
    <t>Apenas pedestre</t>
  </si>
  <si>
    <t>Miradouro com vistas panorâmicas sobre Funchal. Acesso a pé em 15 min. Vista em pleno sol. Um dos pontos de contemplação privilegiados da paisagem de Madeira.</t>
  </si>
  <si>
    <t>Véu da Noiva (Seixal)</t>
  </si>
  <si>
    <t>Estrada Regional</t>
  </si>
  <si>
    <t>Miradouro com vistas panorâmicas sobre São Vicente. Acesso a pé em 1 min. Vista em pleno sol. Um dos pontos de contemplação privilegiados da paisagem de Madeira.</t>
  </si>
  <si>
    <t>Acesso fácil pelo vale</t>
  </si>
  <si>
    <t>Miradouro com vistas panorâmicas sobre Porto Moniz. Acesso a pé em 2 min. Vista em pleno sol. Um dos pontos de contemplação privilegiados da paisagem de Madeira.</t>
  </si>
  <si>
    <t>Rocha do Navio (Santana)</t>
  </si>
  <si>
    <t>Descida BTT técnica</t>
  </si>
  <si>
    <t>Miradouro com vistas panorâmicas sobre Santana. Acesso a pé em 5 min. Vista em pleno sol. Um dos pontos de contemplação privilegiados da paisagem de Madeira.</t>
  </si>
  <si>
    <t>Cabanas (São Jorge)</t>
  </si>
  <si>
    <t>Miradouro com vistas panorâmicas sobre São Jorge. Acesso a pé em 1 min. Vista em pleno sol. Um dos pontos de contemplação privilegiados da paisagem de Madeira.</t>
  </si>
  <si>
    <t>Guindaste (Faial)</t>
  </si>
  <si>
    <t>Miradouro com vistas panorâmicas sobre Faial. Acesso a pé em 2 min. Vista em pleno sol. Um dos pontos de contemplação privilegiados da paisagem de Madeira.</t>
  </si>
  <si>
    <t>Ponta do Rosto</t>
  </si>
  <si>
    <t>Baía d'Abra</t>
  </si>
  <si>
    <t>Fim da estrada regional</t>
  </si>
  <si>
    <t>Pico do Facho (Machico)</t>
  </si>
  <si>
    <t>Subida curta e íngreme</t>
  </si>
  <si>
    <t>Miradouro com vistas panorâmicas sobre Machico. Acesso a pé em 1 min. Vista em pleno sol. Um dos pontos de contemplação privilegiados da paisagem de Madeira.</t>
  </si>
  <si>
    <t>Miradouro da Portela</t>
  </si>
  <si>
    <t>Descida mítica Porto da Cruz</t>
  </si>
  <si>
    <t>Farol da Ponta do Pargo</t>
  </si>
  <si>
    <t>Estrada Regional plana</t>
  </si>
  <si>
    <t>Miradouro com vistas panorâmicas sobre Calheta. Acesso a pé em 2 min. Vista em pleno sol. Um dos pontos de contemplação privilegiados da paisagem de Madeira.</t>
  </si>
  <si>
    <t>Fio (Ponta do Pargo)</t>
  </si>
  <si>
    <t>Terra batida leve</t>
  </si>
  <si>
    <t>Massapez (Jardim do Mar)</t>
  </si>
  <si>
    <t>Descida por túneis</t>
  </si>
  <si>
    <t>Lugar de Baixo</t>
  </si>
  <si>
    <t>Miradouro com vistas panorâmicas sobre Ponta do Sol. Acesso a pé em 1 min. Vista em pleno sol. Um dos pontos de contemplação privilegiados da paisagem de Madeira.</t>
  </si>
  <si>
    <t>Rabaçal — Cascata do Risco</t>
  </si>
  <si>
    <t>Proibido no trilho</t>
  </si>
  <si>
    <t>Miradouro com vistas panorâmicas sobre Funchal. Acesso a pé em 20 min.  Um dos pontos de contemplação privilegiados da paisagem de Madeira.</t>
  </si>
  <si>
    <t>Fanal</t>
  </si>
  <si>
    <t>Sol/Névoa</t>
  </si>
  <si>
    <t>Gravel / BTT por trilhos</t>
  </si>
  <si>
    <t>Fonte do Bispo</t>
  </si>
  <si>
    <t>Estrada ER110</t>
  </si>
  <si>
    <t>Pico do Castelo (Porto Santo)</t>
  </si>
  <si>
    <t>Subida asfalto</t>
  </si>
  <si>
    <t>Miradouro com vistas panorâmicas sobre Porto Santo. Acesso a pé em 5 min.  Um dos pontos de contemplação privilegiados da paisagem de Madeira.</t>
  </si>
  <si>
    <t>Pico das Flores (Porto Santo)</t>
  </si>
  <si>
    <t>Miradouro com vistas panorâmicas sobre Porto Santo. Acesso a pé em 1 min. Vista em pleno sol. Um dos pontos de contemplação privilegiados da paisagem de Madeira.</t>
  </si>
  <si>
    <t>Miradouro da Portela (Porto Santo)</t>
  </si>
  <si>
    <t>Fonte da Areia (Porto Santo)</t>
  </si>
  <si>
    <t>Ciclável estrada secundária</t>
  </si>
  <si>
    <t>Miradouro com vistas panorâmicas sobre Porto Santo. Acesso a pé em 2 min. Vista em pleno sol. Um dos pontos de contemplação privilegiados da paisagem de Madeira.</t>
  </si>
  <si>
    <t>Zimbralinho (Porto Santo)</t>
  </si>
  <si>
    <t>Miradouro com vistas panorâmicas sobre Porto Santo. Acesso a pé em 10 min. Vista em pleno sol. Um dos pontos de contemplação privilegiados da paisagem de Madeira.</t>
  </si>
  <si>
    <t>Ponta da Calheta (Porto Santo)</t>
  </si>
  <si>
    <t>Assobiadores (Paúl da Serra)</t>
  </si>
  <si>
    <t>Névoa/Sol</t>
  </si>
  <si>
    <t>BTT puro</t>
  </si>
  <si>
    <t>Miradouro com vistas panorâmicas sobre Funchal. Acesso a pé em 10 min. Vista em pleno sol. Um dos pontos de contemplação privilegiados da paisagem de Madeira.</t>
  </si>
  <si>
    <t>Chão da Ribeira (Seixal)</t>
  </si>
  <si>
    <t>Miradouro com vistas panorâmicas sobre São Vicente. Acesso a pé em 5 min.  Um dos pontos de contemplação privilegiados da paisagem de Madeira.</t>
  </si>
  <si>
    <t>São Cristóvão (Arco de S. Jorge)</t>
  </si>
  <si>
    <t>Estrada estreita</t>
  </si>
  <si>
    <t>Miradouro com vistas panorâmicas sobre São Jorge. Acesso a pé em 2 min. Vista em pleno sol. Um dos pontos de contemplação privilegiados da paisagem de Madeira.</t>
  </si>
  <si>
    <t>Morgadiho (Porto Santo)</t>
  </si>
  <si>
    <t>BTT</t>
  </si>
  <si>
    <t>Miradouro com vistas panorâmicas sobre Porto Santo. Acesso a pé em 5 min. Vista em pleno sol. Um dos pontos de contemplação privilegiados da paisagem de Madeira.</t>
  </si>
  <si>
    <t>Penha d'Águia (Topo)</t>
  </si>
  <si>
    <t>45-60 min</t>
  </si>
  <si>
    <t>Inacessível</t>
  </si>
  <si>
    <t>Miradouro com vistas panorâmicas sobre Faial. Acesso a pé em 45-60 min. Vista em pleno sol. Um dos pontos de contemplação privilegiados da paisagem de Madeira.</t>
  </si>
  <si>
    <t>Assobiadores II</t>
  </si>
  <si>
    <t xml:space="preserve">  🟪  AÇORES  ·  40 entradas</t>
  </si>
  <si>
    <t>Miradouro da Vista do Rei (Sete Cidades)</t>
  </si>
  <si>
    <t>Rota clássica via estrada</t>
  </si>
  <si>
    <t>Miradouro com vistas panorâmicas sobre São Miguel. Acesso a pé em 1 min. Vista em pleno sol. Um dos pontos de contemplação privilegiados da paisagem de Açores.</t>
  </si>
  <si>
    <t>Miradouro da Grota do Inferno</t>
  </si>
  <si>
    <t>15-20 min</t>
  </si>
  <si>
    <t>BTT permitido</t>
  </si>
  <si>
    <t>Miradouro com vistas panorâmicas sobre São Miguel. Acesso a pé em 15-20 min. Vista com sombra parcial. Um dos pontos de contemplação privilegiados da paisagem de Açores.</t>
  </si>
  <si>
    <t>Miradouro do Pico do Ferro (Furnas)</t>
  </si>
  <si>
    <t>Miradouro de Santa Iria</t>
  </si>
  <si>
    <t>Paragem Estrada Regional</t>
  </si>
  <si>
    <t>Miradouro da Ponta do Sossego</t>
  </si>
  <si>
    <t>Rota cicloturista Nordeste</t>
  </si>
  <si>
    <t>Miradouro com vistas panorâmicas sobre São Miguel. Acesso a pé em 2 min. Vista em pleno sol. Um dos pontos de contemplação privilegiados da paisagem de Açores.</t>
  </si>
  <si>
    <t>Miradouro do Pico do Carvão</t>
  </si>
  <si>
    <t>Ponto alto estrada cénica</t>
  </si>
  <si>
    <t>Miradouro da Lagoa do Fogo</t>
  </si>
  <si>
    <t>Estrada secundária tranquila</t>
  </si>
  <si>
    <t>Miradouro da Vigia das Baleias (Capelas)</t>
  </si>
  <si>
    <t>Percurso costeiro</t>
  </si>
  <si>
    <t>Miradouro com vistas panorâmicas sobre São Miguel. Acesso a pé em 5 min. Vista em pleno sol. Um dos pontos de contemplação privilegiados da paisagem de Açores.</t>
  </si>
  <si>
    <t>Miradouro das Cumeeiras</t>
  </si>
  <si>
    <t>Miradouro com vistas panorâmicas sobre São Miguel. Acesso a pé em 10 min. Vista em pleno sol. Um dos pontos de contemplação privilegiados da paisagem de Açores.</t>
  </si>
  <si>
    <t>Serra do Cume (Terceira)</t>
  </si>
  <si>
    <t>Rota das pastagens</t>
  </si>
  <si>
    <t>Miradouro com vistas panorâmicas sobre Terceira. Acesso a pé em 1 min. Vista em pleno sol. Um dos pontos de contemplação privilegiados da paisagem de Açores.</t>
  </si>
  <si>
    <t>Miradouro do Monte Brasil (Terceira)</t>
  </si>
  <si>
    <t>5-10 min</t>
  </si>
  <si>
    <t>Estradas interior forte</t>
  </si>
  <si>
    <t>Miradouro com vistas panorâmicas sobre Terceira. Acesso a pé em 5-10 min.  Um dos pontos de contemplação privilegiados da paisagem de Açores.</t>
  </si>
  <si>
    <t>Miradouro da Ribeira do Ferreiro (Flores)</t>
  </si>
  <si>
    <t>Miradouro com vistas panorâmicas sobre Flores. Acesso a pé em 15 min.  Um dos pontos de contemplação privilegiados da paisagem de Açores.</t>
  </si>
  <si>
    <t>Subida constante</t>
  </si>
  <si>
    <t>Miradouro com vistas panorâmicas sobre Faial. Acesso a pé em 2 min. Vista em pleno sol. Um dos pontos de contemplação privilegiados da paisagem de Açores.</t>
  </si>
  <si>
    <t>Miradouro do Vulcão dos Capelinhos (Faial)</t>
  </si>
  <si>
    <t>Ciclovia terra batida</t>
  </si>
  <si>
    <t>Miradouro com vistas panorâmicas sobre Faial. Acesso a pé em 5 min. Vista em pleno sol. Um dos pontos de contemplação privilegiados da paisagem de Açores.</t>
  </si>
  <si>
    <t>Ponta da Ilha (Pico)</t>
  </si>
  <si>
    <t>Rota das Lavas</t>
  </si>
  <si>
    <t>Miradouro com vistas panorâmicas sobre Pico. Acesso a pé em 1 min. Vista em pleno sol. Um dos pontos de contemplação privilegiados da paisagem de Açores.</t>
  </si>
  <si>
    <t>Miradouro da Lagoa do Capitão (Pico)</t>
  </si>
  <si>
    <t>Estrada trans-insular</t>
  </si>
  <si>
    <t>Miradouro com vistas panorâmicas sobre Pico. Acesso a pé em 5 min. Vista em pleno sol. Um dos pontos de contemplação privilegiados da paisagem de Açores.</t>
  </si>
  <si>
    <t>Miradouro da Fajã dos Cubres (S. Jorge)</t>
  </si>
  <si>
    <t>Descida muito técnica</t>
  </si>
  <si>
    <t>Miradouro com vistas panorâmicas sobre São Jorge. Acesso a pé em 1 min. Vista em pleno sol. Um dos pontos de contemplação privilegiados da paisagem de Açores.</t>
  </si>
  <si>
    <t>Pico da Esperança (S. Jorge)</t>
  </si>
  <si>
    <t>BTT de crista</t>
  </si>
  <si>
    <t>Miradouro com vistas panorâmicas sobre São Jorge. Acesso a pé em 20 min. Vista em pleno sol. Um dos pontos de contemplação privilegiados da paisagem de Açores.</t>
  </si>
  <si>
    <t>Caldeira da Graciosa</t>
  </si>
  <si>
    <t>Interior da caldeira</t>
  </si>
  <si>
    <t>Miradouro com vistas panorâmicas sobre Graciosa. Acesso a pé em 2 min. Vista em pleno sol. Um dos pontos de contemplação privilegiados da paisagem de Açores.</t>
  </si>
  <si>
    <t>Miradouro das Sete Fontes (S. Jorge)</t>
  </si>
  <si>
    <t>Estradas florestais</t>
  </si>
  <si>
    <t>Miradouro com vistas panorâmicas sobre São Jorge. Acesso a pé em 2 min. Vista com sombra parcial. Um dos pontos de contemplação privilegiados da paisagem de Açores.</t>
  </si>
  <si>
    <t>Miradouro do Pico Longo (Flores)</t>
  </si>
  <si>
    <t>Descida técnica asfalto</t>
  </si>
  <si>
    <t>Miradouro com vistas panorâmicas sobre Flores. Acesso a pé em 1 min. Vista em pleno sol. Um dos pontos de contemplação privilegiados da paisagem de Açores.</t>
  </si>
  <si>
    <t>Miradouro da Rocha dos Bordões (Flores)</t>
  </si>
  <si>
    <t>Estrada regional panorâmica</t>
  </si>
  <si>
    <t>Miradouro do Caldeirão (Corvo)</t>
  </si>
  <si>
    <t>Miradouro com vistas panorâmicas sobre Corvo. Acesso a pé em 2 min. Vista em pleno sol. Um dos pontos de contemplação privilegiados da paisagem de Açores.</t>
  </si>
  <si>
    <t>Miradouro de São Lourenço (S. Maria)</t>
  </si>
  <si>
    <t>Estrada curvas acentuadas</t>
  </si>
  <si>
    <t>Miradouro com vistas panorâmicas sobre Santa Maria. Acesso a pé em 1 min. Vista em pleno sol. Um dos pontos de contemplação privilegiados da paisagem de Açores.</t>
  </si>
  <si>
    <t>Miradouro do Pico do Facho (S. Maria)</t>
  </si>
  <si>
    <t>Miradouro com vistas panorâmicas sobre Santa Maria. Acesso a pé em 2 min. Vista em pleno sol. Um dos pontos de contemplação privilegiados da paisagem de Açores.</t>
  </si>
  <si>
    <t>Miradouro do Salto do Farinha (S. Miguel)</t>
  </si>
  <si>
    <t>Descida zona lazer</t>
  </si>
  <si>
    <t>Miradouro com vistas panorâmicas sobre São Miguel. Acesso a pé em 5 min.  Um dos pontos de contemplação privilegiados da paisagem de Açores.</t>
  </si>
  <si>
    <t>Miradouro da Ponta da Madrugada (S. Miguel)</t>
  </si>
  <si>
    <t>Rota do Nordeste</t>
  </si>
  <si>
    <t>Miradouro com vistas panorâmicas sobre São Miguel. Acesso a pé em 2 min. Vista com sombra parcial. Um dos pontos de contemplação privilegiados da paisagem de Açores.</t>
  </si>
  <si>
    <t>Miradouro do Despe-te-que-suas (S. Miguel)</t>
  </si>
  <si>
    <t>Estrada regional secundária</t>
  </si>
  <si>
    <t>Miradouro da Serretinha (Terceira)</t>
  </si>
  <si>
    <t>Estrada marginal Angra</t>
  </si>
  <si>
    <t>Miradouro da Alagoa (Flores)</t>
  </si>
  <si>
    <t>Miradouro com vistas panorâmicas sobre Flores. Acesso a pé em 2 min. Vista em pleno sol. Um dos pontos de contemplação privilegiados da paisagem de Açores.</t>
  </si>
  <si>
    <t>Miradouro da Fajã de Lopo Vaz (Flores)</t>
  </si>
  <si>
    <t>Fim estrada asfalto</t>
  </si>
  <si>
    <t>Miradouro da Serra do Topo (S. Jorge)</t>
  </si>
  <si>
    <t>Ponto alto estrada trans-insular</t>
  </si>
  <si>
    <t>Miradouro da Terra Alta (Pico)</t>
  </si>
  <si>
    <t>Estrada regional norte</t>
  </si>
  <si>
    <t>Miradouro de N. Sra. da Conceição (Faial)</t>
  </si>
  <si>
    <t>Subida urbana suave</t>
  </si>
  <si>
    <t>Miradouro com vistas panorâmicas sobre Faial. Acesso a pé em 1 min. Vista em pleno sol. Um dos pontos de contemplação privilegiados da paisagem de Açores.</t>
  </si>
  <si>
    <t>Miradouro das Manadas (S. Jorge)</t>
  </si>
  <si>
    <t>Rota das Fajãs do Sul</t>
  </si>
  <si>
    <t>Miradouro com vistas panorâmicas sobre São Jorge. Acesso a pé em 2 min. Vista em pleno sol. Um dos pontos de contemplação privilegiados da paisagem de Açores.</t>
  </si>
  <si>
    <t>Miradouro da Pedreira (S. Maria)</t>
  </si>
  <si>
    <t>Miradouro com vistas panorâmicas sobre Santa Maria. Acesso a pé em 5 min. Vista em pleno sol. Um dos pontos de contemplação privilegiados da paisagem de Açores.</t>
  </si>
  <si>
    <t>Miradouro da Grota do Enxofre (Graciosa)</t>
  </si>
  <si>
    <t>Estrada circular da ilha</t>
  </si>
  <si>
    <t>Miradouro com vistas panorâmicas sobre Graciosa. Acesso a pé em 5 min. Vista em pleno sol. Um dos pontos de contemplação privilegiados da paisagem de Açores.</t>
  </si>
  <si>
    <t>Miradouro do Morro de Castelo Branco (Faial)</t>
  </si>
  <si>
    <t>Acesso terra batida</t>
  </si>
  <si>
    <t>Miradouro com vistas panorâmicas sobre Faial. Acesso a pé em 10 min. Vista em pleno sol. Um dos pontos de contemplação privilegiados da paisagem de Açores.</t>
  </si>
  <si>
    <t>Miradouro da Vigia da Baleia (Pico)</t>
  </si>
  <si>
    <t>Estrada costeira plana</t>
  </si>
  <si>
    <t>Miradouro com vistas panorâmicas sobre Pico. Acesso a pé em 2 min. Vista em pleno sol. Um dos pontos de contemplação privilegiados da paisagem de Açores.</t>
  </si>
  <si>
    <t>Miradouro da Atalaia</t>
  </si>
  <si>
    <t>Miradouro com vistas panorâmicas sobre Tavira. Acesso a pé em 45 min. Vista em pleno sol. Um dos pontos de contemplação privilegiados da paisagem de Algarve.</t>
  </si>
  <si>
    <t>👁️  281 entradas  ·  Portugal Vivo</t>
  </si>
  <si>
    <t>🚂  PATRIMÓNIO FERROVIÁRIO  —  203 entradas</t>
  </si>
  <si>
    <t>Norte · Centro · Lisboa · Alentejo · Algarve · Açores · Madeira  ·  Linhas Históricas, Estações e Material Circulante</t>
  </si>
  <si>
    <t>Nome / Linha</t>
  </si>
  <si>
    <t>Museu Ferroviário de Lousado</t>
  </si>
  <si>
    <t>Rua da Estação, Lousado</t>
  </si>
  <si>
    <t>Cocheiras em alvenaria; rotunda de locomotivas funcional; oficina de restauro</t>
  </si>
  <si>
    <t>Ter-Sex 10:00-17:30; Sáb-Dom 14:30-17:30</t>
  </si>
  <si>
    <t>~3€</t>
  </si>
  <si>
    <t>Museu ferroviário em Rua da Estação com locomotivas a vapor, vagões e equipamento histórico. Acervo único da história do caminho-de-ferro em Portugal.</t>
  </si>
  <si>
    <t>+351 252 301 080</t>
  </si>
  <si>
    <t>Estação de São Bento</t>
  </si>
  <si>
    <t>Praça de Almeida Garrett, Porto</t>
  </si>
  <si>
    <t>Estilo Beaux-Arts; interface central de passageiros; cobertura metálica monumental</t>
  </si>
  <si>
    <t>05:00-01:00</t>
  </si>
  <si>
    <t>Património ferroviário de Praça de Almeida Garrett: Estilo Beaux-Arts; interface central de passageiros; cobertura metálica monumental. Testemunho da história industrial e dos transportes portugueses, Gratuito, de valor histórico e arquitectónico excepcional.</t>
  </si>
  <si>
    <t>+351 808 109 110</t>
  </si>
  <si>
    <t>Estação do Pinhão</t>
  </si>
  <si>
    <t>Largo da Estação, Pinhão</t>
  </si>
  <si>
    <t>Painéis azulejos sobre vindima; cais histórico; acesso a cruzeiros</t>
  </si>
  <si>
    <t>24h (Exterior)</t>
  </si>
  <si>
    <t>Património ferroviário de Largo da Estação: Painéis azulejos sobre vindima; cais histórico; acesso a cruzeiros. Testemunho da história industrial e dos transportes portugueses, Gratuito, de valor histórico e arquitectónico excepcional.</t>
  </si>
  <si>
    <t>Núcleo Museológico de Valença</t>
  </si>
  <si>
    <t>Estação de Valença</t>
  </si>
  <si>
    <t>Exposição equipamentos via e sinalização; antigo edifício alfandegário</t>
  </si>
  <si>
    <t>Gratuito/Donativo</t>
  </si>
  <si>
    <t>Património ferroviário de Estação de Valença: Exposição equipamentos via e sinalização; antigo edifício alfandegário. Testemunho da história industrial e dos transportes portugueses, Gratuito/Donativo, de valor histórico e arquitectónico excepcional.</t>
  </si>
  <si>
    <t>+351 251 809 500</t>
  </si>
  <si>
    <t>Estação da Régua</t>
  </si>
  <si>
    <t>Largo da Estação, Peso da Régua</t>
  </si>
  <si>
    <t>Complexo com dormitórios e placa inversão; hub Douro/Corgo</t>
  </si>
  <si>
    <t>06:00-22:00</t>
  </si>
  <si>
    <t>Património ferroviário de Largo da Estação: Complexo com dormitórios e placa inversão; hub Douro/Corgo. Testemunho da história industrial e dos transportes portugueses, Gratuito, de valor histórico e arquitectónico excepcional.</t>
  </si>
  <si>
    <t>+351 254 320 100</t>
  </si>
  <si>
    <t>Alameda de Basílio Teles 51, Porto</t>
  </si>
  <si>
    <t>Carris originais; coleção zorras funcionais; central termoelétrica Massarelos</t>
  </si>
  <si>
    <t>Ter-Dom 10:00-18:00</t>
  </si>
  <si>
    <t>8€</t>
  </si>
  <si>
    <t>Património ferroviário de Alameda de Basílio Teles 51: Carris originais; coleção zorras funcionais; central termoelétrica Massarelos. Testemunho da história industrial e dos transportes portugueses, 8€, de valor histórico e arquitectónico excepcional.</t>
  </si>
  <si>
    <t>+351 226 158 185</t>
  </si>
  <si>
    <t>Estação de Campanhã</t>
  </si>
  <si>
    <t>Largo da Estação, Porto</t>
  </si>
  <si>
    <t>Neoclássico 1877; 16 linhas; multimodal; terminal AV planeado</t>
  </si>
  <si>
    <t>Linha ferroviária Estação de Campanhã em Largo da Estação. Percurso histórico com estações preservadas que guardam a memória da Era do Vapor e da expansão da rede ferroviária em Portugal.</t>
  </si>
  <si>
    <t>Ponte Maria Pia</t>
  </si>
  <si>
    <t>Arco ferro forjado Eiffel 1877; monumento nacional; tecnologia vanguarda</t>
  </si>
  <si>
    <t>Visível exterior</t>
  </si>
  <si>
    <t>Património ferroviário de Porto/Gaia: Arco ferro forjado Eiffel 1877; monumento nacional; tecnologia vanguarda. Testemunho da história industrial e dos transportes portugueses, Gratuito, de valor histórico e arquitectónico excepcional.</t>
  </si>
  <si>
    <t>Estação de Viana do Castelo</t>
  </si>
  <si>
    <t>Av. Combatentes, Viana do Castelo</t>
  </si>
  <si>
    <t>Fachada revivalista; azulejaria regionalista; terminal eletrificado</t>
  </si>
  <si>
    <t>06:00-23:00</t>
  </si>
  <si>
    <t>Património ferroviário de Av. Combatentes: Fachada revivalista; azulejaria regionalista; terminal eletrificado. Testemunho da história industrial e dos transportes portugueses, Gratuito, de valor histórico e arquitectónico excepcional.</t>
  </si>
  <si>
    <t>+351 258 821 315</t>
  </si>
  <si>
    <t>Núcleo Museológico de Bragança</t>
  </si>
  <si>
    <t>Locomotivas Henschel; centro interpretação mobilidade transmontana</t>
  </si>
  <si>
    <t>Ter-Sáb 09:00-17:30</t>
  </si>
  <si>
    <t>1-2€</t>
  </si>
  <si>
    <t>Património ferroviário de Av. João da Cruz: Locomotivas Henschel; centro interpretação mobilidade transmontana. Testemunho da história industrial e dos transportes portugueses, 1-2€, de valor histórico e arquitectónico excepcional.</t>
  </si>
  <si>
    <t>+351 273 381 276</t>
  </si>
  <si>
    <t>Estação do Tua</t>
  </si>
  <si>
    <t>Foz-Tua, Carrazeda de Ansiães</t>
  </si>
  <si>
    <t>Cais mercadorias; silos adjacentes; miradouro sobre foz rio Tua</t>
  </si>
  <si>
    <t>Operacional</t>
  </si>
  <si>
    <t>Património ferroviário de Foz-Tua: Cais mercadorias; silos adjacentes; miradouro sobre foz rio Tua. Testemunho da história industrial e dos transportes portugueses, Gratuito, de valor histórico e arquitectónico excepcional.</t>
  </si>
  <si>
    <t>Ponte Dom Luís I (Tabuleiro Superior)</t>
  </si>
  <si>
    <t>Duplo tabuleiro; arco 172m; adaptada de comboio para metro ligeiro</t>
  </si>
  <si>
    <t>Gratuito/Bilhete Metro</t>
  </si>
  <si>
    <t>Património ferroviário de Porto/Gaia: Duplo tabuleiro; arco 172m; adaptada de comboio para metro ligeiro. Testemunho da história industrial e dos transportes portugueses, Gratuito/Bilhete Metro, de valor histórico e arquitectónico excepcional.</t>
  </si>
  <si>
    <t>+351 226 158 100</t>
  </si>
  <si>
    <t>Estação de Barcelos</t>
  </si>
  <si>
    <t>Av. Combatentes, Barcelos</t>
  </si>
  <si>
    <t>Granito; azulejaria artesanato local; cruzamento técnico regional</t>
  </si>
  <si>
    <t>Património ferroviário de Av. Combatentes: Granito; azulejaria artesanato local; cruzamento técnico regional. Testemunho da história industrial e dos transportes portugueses, Gratuito, de valor histórico e arquitectónico excepcional.</t>
  </si>
  <si>
    <t>Estação de Caminha</t>
  </si>
  <si>
    <t>Largo da Estação, Caminha</t>
  </si>
  <si>
    <t>Relógio de torre icónico; jardim ferroviário; comboio Celta</t>
  </si>
  <si>
    <t>Património ferroviário de Largo da Estação: Relógio de torre icónico; jardim ferroviário; comboio Celta. Testemunho da história industrial e dos transportes portugueses, Gratuito, de valor histórico e arquitectónico excepcional.</t>
  </si>
  <si>
    <t>Estação de Guimarães</t>
  </si>
  <si>
    <t>Av. D. João IV, Guimarães</t>
  </si>
  <si>
    <t>Séc. XIX renovada; terminal eletrificado; interface UNESCO</t>
  </si>
  <si>
    <t>06:00-00:00</t>
  </si>
  <si>
    <t>Património ferroviário de Av. D. João IV: Séc. XIX renovada; terminal eletrificado; interface UNESCO. Testemunho da história industrial e dos transportes portugueses, Gratuito, de valor histórico e arquitectónico excepcional.</t>
  </si>
  <si>
    <t>+351 253 423 200</t>
  </si>
  <si>
    <t>Estação de Braga</t>
  </si>
  <si>
    <t>Largo da Estação, Braga</t>
  </si>
  <si>
    <t>Edifício simétrico; gare moderna; hub Alfa Pendular</t>
  </si>
  <si>
    <t>05:30-00:00</t>
  </si>
  <si>
    <t>Património ferroviário de Largo da Estação: Edifício simétrico; gare moderna; hub Alfa Pendular. Testemunho da história industrial e dos transportes portugueses, Gratuito, de valor histórico e arquitectónico excepcional.</t>
  </si>
  <si>
    <t>+351 253 203 000</t>
  </si>
  <si>
    <t>Estação do Pocinho</t>
  </si>
  <si>
    <t>Pocinho, V.N. Foz Côa</t>
  </si>
  <si>
    <t>Armazéns alvenaria; placa giratória; interface ecopista Douro</t>
  </si>
  <si>
    <t>Património ferroviário de Pocinho: Armazéns alvenaria; placa giratória; interface ecopista Douro. Testemunho da história industrial e dos transportes portugueses, Gratuito, de valor histórico e arquitectónico excepcional.</t>
  </si>
  <si>
    <t>Ponte Internacional de Valença</t>
  </si>
  <si>
    <t>Valença/Tui</t>
  </si>
  <si>
    <t>Treliça metálica; uso rodoferroviário; símbolo cooperação ibérica</t>
  </si>
  <si>
    <t>Património ferroviário de Valença/Tui: Treliça metálica; uso rodoferroviário; símbolo cooperação ibérica. Testemunho da história industrial e dos transportes portugueses, Gratuito, de valor histórico e arquitectónico excepcional.</t>
  </si>
  <si>
    <t>Núcleo Museológico de Arco de Baúlhe</t>
  </si>
  <si>
    <t>Estação de Arco de Baúlhe</t>
  </si>
  <si>
    <t>Cocheira circular madeira; carruagens salão; fim Ecopista Tâmega</t>
  </si>
  <si>
    <t>~2€</t>
  </si>
  <si>
    <t>Património ferroviário de Estação de Arco de Baúlhe: Cocheira circular madeira; carruagens salão; fim Ecopista Tâmega. Testemunho da história industrial e dos transportes portugueses, ~2€, de valor histórico e arquitectónico excepcional.</t>
  </si>
  <si>
    <t>+351 253 669 100</t>
  </si>
  <si>
    <t>Túnel de Caíde</t>
  </si>
  <si>
    <t>Caíde de Rei, Lousada</t>
  </si>
  <si>
    <t>Grande extensão em curva; alvenaria granito; ponto crítico eletrificação</t>
  </si>
  <si>
    <t>Uso ferroviário</t>
  </si>
  <si>
    <t>Património ferroviário de Caíde de Rei: Grande extensão em curva; alvenaria granito; ponto crítico eletrificação. Testemunho da história industrial e dos transportes portugueses, N/A, de valor histórico e arquitectónico excepcional.</t>
  </si>
  <si>
    <t>Estação de Ermesinde</t>
  </si>
  <si>
    <t>Largo da Estação, Ermesinde</t>
  </si>
  <si>
    <t>Torre sinalização clássica; sistema agulhas complexo; múltiplas plataformas</t>
  </si>
  <si>
    <t>Património ferroviário de Largo da Estação: Torre sinalização clássica; sistema agulhas complexo; múltiplas plataformas. Testemunho da história industrial e dos transportes portugueses, Gratuito, de valor histórico e arquitectónico excepcional.</t>
  </si>
  <si>
    <t>Estação de Vila Meã</t>
  </si>
  <si>
    <t>Vila Meã, Amarante</t>
  </si>
  <si>
    <t>Escala humana; jardins românticos; apeadeiro estratégico Amarante</t>
  </si>
  <si>
    <t>Estação ferroviária histórica de Vila Meã, Gratuito. Escala humana; jardins românticos; apeadeiro estratégico Amarante com azulejos e elementos que documentam a era dourada do caminho-de-ferro português.</t>
  </si>
  <si>
    <t>Apeadeiro de Caldas do Moledo</t>
  </si>
  <si>
    <t>Caldas do Moledo, Régua</t>
  </si>
  <si>
    <t>Chalés ferroviários; arquitetura termal integrada; acesso termas</t>
  </si>
  <si>
    <t>Património ferroviário de Caldas do Moledo: Chalés ferroviários; arquitetura termal integrada; acesso termas. Testemunho da história industrial e dos transportes portugueses, Gratuito, de valor histórico e arquitectónico excepcional.</t>
  </si>
  <si>
    <t>Estação de Ferradosa</t>
  </si>
  <si>
    <t>Vale da Ferradosa, S. João Pesqueira</t>
  </si>
  <si>
    <t>Isolação geográfica extrema; apeadeiro vindima; ponte arco metálico</t>
  </si>
  <si>
    <t>Estação ferroviária histórica de Vale da Ferradosa, Gratuito. Isolação geográfica extrema; apeadeiro vindima; ponte arco metálico com azulejos e elementos que documentam a era dourada do caminho-de-ferro português.</t>
  </si>
  <si>
    <t>Estação de Vila Real (Desativada)</t>
  </si>
  <si>
    <t>Av. da Estação, Vila Real</t>
  </si>
  <si>
    <t>Fachada monumental granito; convertida centro cultural; memória via estreita</t>
  </si>
  <si>
    <t>Centro Cultural 09:00-18:00</t>
  </si>
  <si>
    <t>Património ferroviário de Av. da Estação: Fachada monumental granito; convertida centro cultural; memória via estreita. Testemunho da história industrial e dos transportes portugueses, Gratuito, de valor histórico e arquitectónico excepcional.</t>
  </si>
  <si>
    <t>+351 259 308 100</t>
  </si>
  <si>
    <t>Estação de Chaves (Desativada)</t>
  </si>
  <si>
    <t>Av. Estação, Chaves</t>
  </si>
  <si>
    <t>Cocheiras pedra; torre de água; integrada zona de lazer</t>
  </si>
  <si>
    <t>Espaço Público</t>
  </si>
  <si>
    <t>Património ferroviário de Av. Estação: Cocheiras pedra; torre de água; integrada zona de lazer. Testemunho da história industrial e dos transportes portugueses, Gratuito, de valor histórico e arquitectónico excepcional.</t>
  </si>
  <si>
    <t>Ponte de S. João</t>
  </si>
  <si>
    <t>Porto/Vila Nova de Gaia</t>
  </si>
  <si>
    <t>Betão pré-esforçado Edgar Cardoso; vãos amplos; alta velocidade</t>
  </si>
  <si>
    <t>Património ferroviário de Porto/Vila Nova de Gaia: Betão pré-esforçado Edgar Cardoso; vãos amplos; alta velocidade. Testemunho da história industrial e dos transportes portugueses, N/A, de valor histórico e arquitectónico excepcional.</t>
  </si>
  <si>
    <t>Estação de Contumil</t>
  </si>
  <si>
    <t>Rua da Estação, Porto</t>
  </si>
  <si>
    <t>Pátio triagem; arquitetura social operária; centro formação CP</t>
  </si>
  <si>
    <t>Exterior/Operacional</t>
  </si>
  <si>
    <t>Património ferroviário de Rua da Estação: Pátio triagem; arquitetura social operária; centro formação CP. Testemunho da história industrial e dos transportes portugueses, Gratuito, de valor histórico e arquitectónico excepcional.</t>
  </si>
  <si>
    <t>Estação de Penafiel</t>
  </si>
  <si>
    <t>Novelas, Penafiel</t>
  </si>
  <si>
    <t>Relógio central; pátio cargas granito; interface rodoviária</t>
  </si>
  <si>
    <t>Património ferroviário de Novelas: Relógio central; pátio cargas granito; interface rodoviária. Testemunho da história industrial e dos transportes portugueses, Gratuito, de valor histórico e arquitectónico excepcional.</t>
  </si>
  <si>
    <t>Oficinas de Guifões</t>
  </si>
  <si>
    <t>Guifões, Matosinhos</t>
  </si>
  <si>
    <t>Maquinaria pesada; pavilhão pintura e tornos; hub inovação</t>
  </si>
  <si>
    <t>Visitas restritas</t>
  </si>
  <si>
    <t>Património ferroviário de Guifões: Maquinaria pesada; pavilhão pintura e tornos; hub inovação. Testemunho da história industrial e dos transportes portugueses, N/A, de valor histórico e arquitectónico excepcional.</t>
  </si>
  <si>
    <t>+351 229 571 000</t>
  </si>
  <si>
    <t>Estação de Mirandela</t>
  </si>
  <si>
    <t>Av. Estação, Mirandela</t>
  </si>
  <si>
    <t>Cores pastéis; plataforma cruzamento; centro operacional histórico</t>
  </si>
  <si>
    <t>Operacional/Cultural</t>
  </si>
  <si>
    <t>Património ferroviário de Av. Estação: Cores pastéis; plataforma cruzamento; centro operacional histórico. Testemunho da história industrial e dos transportes portugueses, Gratuito, de valor histórico e arquitectónico excepcional.</t>
  </si>
  <si>
    <t>+351 278 200 200</t>
  </si>
  <si>
    <t>Estação de Amarante (Desativada)</t>
  </si>
  <si>
    <t>Largo da Estação, Amarante</t>
  </si>
  <si>
    <t>Elementos cerâmicos; terminal rodoviário; carris visíveis</t>
  </si>
  <si>
    <t>Terminal 07:00-20:00</t>
  </si>
  <si>
    <t>Património ferroviário de Largo da Estação: Elementos cerâmicos; terminal rodoviário; carris visíveis. Testemunho da história industrial e dos transportes portugueses, Gratuito, de valor histórico e arquitectónico excepcional.</t>
  </si>
  <si>
    <t>Estação da Trofa (Antiga)</t>
  </si>
  <si>
    <t>Rua D. Pedro V, Trofa</t>
  </si>
  <si>
    <t>Granito e beirais trabalhados; memória acidente 1964; musealizada</t>
  </si>
  <si>
    <t>Património ferroviário de Rua D. Pedro V: Granito e beirais trabalhados; memória acidente 1964; musealizada. Testemunho da história industrial e dos transportes portugueses, Gratuito, de valor histórico e arquitectónico excepcional.</t>
  </si>
  <si>
    <t>+351 252 409 290</t>
  </si>
  <si>
    <t>Viaduto de Pala</t>
  </si>
  <si>
    <t>Ribadouro, Baião</t>
  </si>
  <si>
    <t>Pilares pedra monumentais; curva encastrada; ponto spotting</t>
  </si>
  <si>
    <t>Património ferroviário de Ribadouro: Pilares pedra monumentais; curva encastrada; ponto spotting. Testemunho da história industrial e dos transportes portugueses, N/A, de valor histórico e arquitectónico excepcional.</t>
  </si>
  <si>
    <t>Estação de Mosteirô</t>
  </si>
  <si>
    <t>Mosteirô, Baião</t>
  </si>
  <si>
    <t>Patamares íngremes; azulejos rurais; ligação cais fluvial</t>
  </si>
  <si>
    <t>Património ferroviário de Mosteirô: Patamares íngremes; azulejos rurais; ligação cais fluvial. Testemunho da história industrial e dos transportes portugueses, Gratuito, de valor histórico e arquitectónico excepcional.</t>
  </si>
  <si>
    <t>Estação de Santo Tirso</t>
  </si>
  <si>
    <t>Largo da Estação, Santo Tirso</t>
  </si>
  <si>
    <t>Marquise metálica; cantaria; paragem Intercidades</t>
  </si>
  <si>
    <t>Património ferroviário de Largo da Estação: Marquise metálica; cantaria; paragem Intercidades. Testemunho da história industrial e dos transportes portugueses, Gratuito, de valor histórico e arquitectónico excepcional.</t>
  </si>
  <si>
    <t>Cais do Carvão (Porto)</t>
  </si>
  <si>
    <t>Rua do Ouro, Porto</t>
  </si>
  <si>
    <t>Descarga plano inclinado; ligação fluvial; rota elétrico histórico</t>
  </si>
  <si>
    <t>Património ferroviário de Rua do Ouro: Descarga plano inclinado; ligação fluvial; rota elétrico histórico. Testemunho da história industrial e dos transportes portugueses, Gratuito, de valor histórico e arquitectónico excepcional.</t>
  </si>
  <si>
    <t>Rotunda de Locomotivas de Lousado</t>
  </si>
  <si>
    <t>Museu Ferroviário, Lousado</t>
  </si>
  <si>
    <t>Mecanismo manual/elétrico; 8 linhas garagem; tipologia industrial britânica</t>
  </si>
  <si>
    <t>Igual ao Museu</t>
  </si>
  <si>
    <t>Incluído Museu</t>
  </si>
  <si>
    <t>Linha ferroviária Rotunda de Locomotivas de Lousado em Museu Ferroviário. Percurso histórico com estações preservadas que guardam a memória da Era do Vapor e da expansão da rede ferroviária em Portugal.</t>
  </si>
  <si>
    <t>Estação de Marco de Canaveses</t>
  </si>
  <si>
    <t>Largo da Estação, Marco</t>
  </si>
  <si>
    <t>Subestação elétrica; terminal urbanos Porto; abastecimento água vapor</t>
  </si>
  <si>
    <t>Estação ferroviária histórica de Largo da Estação, Gratuito. Subestação elétrica; terminal urbanos Porto; abastecimento água vapor com azulejos e elementos que documentam a era dourada do caminho-de-ferro português.</t>
  </si>
  <si>
    <t>Estação de Monção (Desativada)</t>
  </si>
  <si>
    <t>Praça da Estação, Monção</t>
  </si>
  <si>
    <t>Requalificada fins culturais; ponto final ecopista Minho</t>
  </si>
  <si>
    <t>Património ferroviário de Praça da Estação: Requalificada fins culturais; ponto final ecopista Minho. Testemunho da história industrial e dos transportes portugueses, Gratuito, de valor histórico e arquitectónico excepcional.</t>
  </si>
  <si>
    <t>+351 251 649 000</t>
  </si>
  <si>
    <t xml:space="preserve">  🟨  CENTRO  ·  40 entradas</t>
  </si>
  <si>
    <t>Museu Nacional Ferroviário (Entroncamento)</t>
  </si>
  <si>
    <t>Rua Dr. José Orlando de Carvalho, Entroncamento</t>
  </si>
  <si>
    <t>Complexo 4.5 hectares; rotundas locomotivas; oficinas a vapor</t>
  </si>
  <si>
    <t>6€</t>
  </si>
  <si>
    <t>Museu ferroviário em Rua Dr. José Orlando de Carvalho com locomotivas a vapor, vagões e equipamento histórico. Acervo único da história do caminho-de-ferro em Portugal.</t>
  </si>
  <si>
    <t>+351 249 130 382</t>
  </si>
  <si>
    <t>Estação de Coimbra-A</t>
  </si>
  <si>
    <t>Neoclássico 1885; interface via única; azulejaria decorativa</t>
  </si>
  <si>
    <t>05:00-00:00</t>
  </si>
  <si>
    <t>Património ferroviário de Largo da Estação: Neoclássico 1885; interface via única; azulejaria decorativa. Testemunho da história industrial e dos transportes portugueses, Gratuito, de valor histórico e arquitectónico excepcional.</t>
  </si>
  <si>
    <t>Largo da Estação, Aveiro</t>
  </si>
  <si>
    <t>Painéis 1916 moliceiros e salinas; edifício preservado lateralmente</t>
  </si>
  <si>
    <t>06:00-23:30</t>
  </si>
  <si>
    <t>Património ferroviário de Largo da Estação: Painéis 1916 moliceiros e salinas; edifício preservado lateralmente. Testemunho da história industrial e dos transportes portugueses, Gratuito, de valor histórico e arquitectónico excepcional.</t>
  </si>
  <si>
    <t>+351 234 423 300</t>
  </si>
  <si>
    <t>Estação de Vilar Formoso</t>
  </si>
  <si>
    <t>Largo da Estação, Vilar Formoso</t>
  </si>
  <si>
    <t>50 painéis azulejos Jorge Colaço; núcleo museológico Fronteira da Paz</t>
  </si>
  <si>
    <t>Património ferroviário de Largo da Estação: 50 painéis azulejos Jorge Colaço; núcleo museológico Fronteira da Paz. Testemunho da história industrial e dos transportes portugueses, Gratuito, de valor histórico e arquitectónico excepcional.</t>
  </si>
  <si>
    <t>+351 271 155 010</t>
  </si>
  <si>
    <t>Estação de Caldas da Rainha</t>
  </si>
  <si>
    <t>Largo da Estação, Caldas da Rainha</t>
  </si>
  <si>
    <t>Azulejaria Fábrica Santana; cais carga histórico; telhados inclinados</t>
  </si>
  <si>
    <t>Património ferroviário de Largo da Estação: Azulejaria Fábrica Santana; cais carga histórico; telhados inclinados. Testemunho da história industrial e dos transportes portugueses, Gratuito, de valor histórico e arquitectónico excepcional.</t>
  </si>
  <si>
    <t>Estação de Abrantes</t>
  </si>
  <si>
    <t>Rossio ao Sul do Tejo, Abrantes</t>
  </si>
  <si>
    <t>Monumental granito e cal; torre de água; entroncamento logístico</t>
  </si>
  <si>
    <t>Património ferroviário de Rossio ao Sul do Tejo: Monumental granito e cal; torre de água; entroncamento logístico. Testemunho da história industrial e dos transportes portugueses, Gratuito, de valor histórico e arquitectónico excepcional.</t>
  </si>
  <si>
    <t>Estação de Castelo Branco</t>
  </si>
  <si>
    <t>Av. do Empresário, Castelo Branco</t>
  </si>
  <si>
    <t>Azulejos bordados de Castelo Branco; arquitetura sóbria</t>
  </si>
  <si>
    <t>06:30-22:30</t>
  </si>
  <si>
    <t>Património ferroviário de Av. do Empresário: Azulejos bordados de Castelo Branco; arquitetura sóbria. Testemunho da história industrial e dos transportes portugueses, Gratuito, de valor histórico e arquitectónico excepcional.</t>
  </si>
  <si>
    <t>Estação da Guarda</t>
  </si>
  <si>
    <t>Bairro da Estação, Guarda</t>
  </si>
  <si>
    <t>Estação mais alta Portugal (812m); arquitetura robusta montana</t>
  </si>
  <si>
    <t>Estação ferroviária histórica de Bairro da Estação, Gratuito. Estação mais alta Portugal (812m); arquitetura robusta montana com azulejos e elementos que documentam a era dourada do caminho-de-ferro português.</t>
  </si>
  <si>
    <t>Estação de Tomar</t>
  </si>
  <si>
    <t>Av. dos Combatentes, Tomar</t>
  </si>
  <si>
    <t>Fachada imponente; terminal Linha Tomar; interface rodoviária</t>
  </si>
  <si>
    <t>05:30-23:00</t>
  </si>
  <si>
    <t>Linha ferroviária Estação de Tomar em Av. dos Combatentes. Percurso histórico com estações preservadas que guardam a memória da Era do Vapor e da expansão da rede ferroviária em Portugal.</t>
  </si>
  <si>
    <t>+351 249 312 774</t>
  </si>
  <si>
    <t>Núcleo Museológico de Macinhata do Vouga</t>
  </si>
  <si>
    <t>Estação Macinhata do Vouga, Águeda</t>
  </si>
  <si>
    <t>Locomotivas a vapor alemãs e americanas; material via estreita único</t>
  </si>
  <si>
    <t>Ter-Dom 10:00-17:30</t>
  </si>
  <si>
    <t>2€</t>
  </si>
  <si>
    <t>Património ferroviário de Estação Macinhata do Vouga: Locomotivas a vapor alemãs e americanas; material via estreita único. Testemunho da história industrial e dos transportes portugueses, 2€, de valor histórico e arquitectónico excepcional.</t>
  </si>
  <si>
    <t>+351 234 522 343</t>
  </si>
  <si>
    <t>Estação de Santa Comba Dão</t>
  </si>
  <si>
    <t>Vimieiro, Santa Comba Dão</t>
  </si>
  <si>
    <t>Placa inversão locomotivas; início maior ecopista Portugal</t>
  </si>
  <si>
    <t>Património ferroviário de Vimieiro: Placa inversão locomotivas; início maior ecopista Portugal. Testemunho da história industrial e dos transportes portugueses, Gratuito, de valor histórico e arquitectónico excepcional.</t>
  </si>
  <si>
    <t>Estação de Leiria</t>
  </si>
  <si>
    <t>Av. da Estação, Leiria</t>
  </si>
  <si>
    <t>Telhados quatro águas; escoamento vidro e pinho; linha Oeste</t>
  </si>
  <si>
    <t>Linha ferroviária Estação de Leiria em Av. da Estação. Percurso histórico com estações preservadas que guardam a memória da Era do Vapor e da expansão da rede ferroviária em Portugal.</t>
  </si>
  <si>
    <t>Estação da Figueira da Foz</t>
  </si>
  <si>
    <t>Largo da Estação, Figueira da Foz</t>
  </si>
  <si>
    <t>Industrial; cobertura gare metálica; proximidade porto comercial</t>
  </si>
  <si>
    <t>Património ferroviário de Largo da Estação: Industrial; cobertura gare metálica; proximidade porto comercial. Testemunho da história industrial e dos transportes portugueses, Gratuito, de valor histórico e arquitectónico excepcional.</t>
  </si>
  <si>
    <t>+351 233 422 663</t>
  </si>
  <si>
    <t>Estação de Marvão-Beirã (Desativada)</t>
  </si>
  <si>
    <t>Beirã, Marvão</t>
  </si>
  <si>
    <t>Azulejos regionais; jardins ferroviários; convertida alojamento histórico</t>
  </si>
  <si>
    <t>Espaço visitável</t>
  </si>
  <si>
    <t>Património ferroviário de Beirã: Azulejos regionais; jardins ferroviários; convertida alojamento histórico. Testemunho da história industrial e dos transportes portugueses, Gratuito (exterior), de valor histórico e arquitectónico excepcional.</t>
  </si>
  <si>
    <t>+351 245 993 156</t>
  </si>
  <si>
    <t>Estação de Coimbra-B</t>
  </si>
  <si>
    <t>Rua da Estação Velha, Coimbra</t>
  </si>
  <si>
    <t>Funcionalista; hub Norte-Sul; terminal mercadorias</t>
  </si>
  <si>
    <t>Património ferroviário de Rua da Estação Velha: Funcionalista; hub Norte-Sul; terminal mercadorias. Testemunho da história industrial e dos transportes portugueses, Gratuito, de valor histórico e arquitectónico excepcional.</t>
  </si>
  <si>
    <t>Estação de Mangualde</t>
  </si>
  <si>
    <t>Largo da Estação, Mangualde</t>
  </si>
  <si>
    <t>Cantaria granito; azulejos 1920; jardins de buxo</t>
  </si>
  <si>
    <t>Património ferroviário de Largo da Estação: Cantaria granito; azulejos 1920; jardins de buxo. Testemunho da história industrial e dos transportes portugueses, Gratuito, de valor histórico e arquitectónico excepcional.</t>
  </si>
  <si>
    <t>Estação de Nelas</t>
  </si>
  <si>
    <t>Largo da Estação, Nelas</t>
  </si>
  <si>
    <t>Edifício elegante; cais embarque vinhos; azulejaria temática Dão</t>
  </si>
  <si>
    <t>Património ferroviário de Largo da Estação: Edifício elegante; cais embarque vinhos; azulejaria temática Dão. Testemunho da história industrial e dos transportes portugueses, Gratuito, de valor histórico e arquitectónico excepcional.</t>
  </si>
  <si>
    <t>Estação de Viseu (Desativada)</t>
  </si>
  <si>
    <t>Rua Cap. Silva Pereira, Viseu</t>
  </si>
  <si>
    <t>Monumental reconvertida em biblioteca; azulejos preservados interior</t>
  </si>
  <si>
    <t>Biblioteca 09:00-18:00</t>
  </si>
  <si>
    <t>Património ferroviário de Rua Cap. Silva Pereira: Monumental reconvertida em biblioteca; azulejos preservados interior. Testemunho da história industrial e dos transportes portugueses, Gratuito, de valor histórico e arquitectónico excepcional.</t>
  </si>
  <si>
    <t>+351 232 432 500</t>
  </si>
  <si>
    <t>Estação de Lousã (Desativada)</t>
  </si>
  <si>
    <t>Largo da Estação, Lousã</t>
  </si>
  <si>
    <t>Tradição beirã; jardim no antigo canal; memória comboio suburbano</t>
  </si>
  <si>
    <t>Património ferroviário de Largo da Estação: Tradição beirã; jardim no antigo canal; memória comboio suburbano. Testemunho da história industrial e dos transportes portugueses, Gratuito, de valor histórico e arquitectónico excepcional.</t>
  </si>
  <si>
    <t>+351 239 990 370</t>
  </si>
  <si>
    <t>Estação de Serpins (Desativada)</t>
  </si>
  <si>
    <t>Serpins, Lousã</t>
  </si>
  <si>
    <t>Cocheira pedra; torre água; ambiente vale rio</t>
  </si>
  <si>
    <t>Património ferroviário de Serpins: Cocheira pedra; torre água; ambiente vale rio. Testemunho da história industrial e dos transportes portugueses, Gratuito, de valor histórico e arquitectónico excepcional.</t>
  </si>
  <si>
    <t>Estação das Termas de S. Pedro do Sul (Desativada)</t>
  </si>
  <si>
    <t>Termas de S. Pedro do Sul</t>
  </si>
  <si>
    <t>Lazer e termalismo; café cultural; carris no solo</t>
  </si>
  <si>
    <t>Café 10:00-19:00</t>
  </si>
  <si>
    <t>Património ferroviário de Termas de S. Pedro do Sul: Lazer e termalismo; café cultural; carris no solo. Testemunho da história industrial e dos transportes portugueses, Gratuito, de valor histórico e arquitectónico excepcional.</t>
  </si>
  <si>
    <t>+351 232 720 310</t>
  </si>
  <si>
    <t>Túnel do Trezoi</t>
  </si>
  <si>
    <t>Trezoi, Mortágua</t>
  </si>
  <si>
    <t>Cantaria granito monumental; extensão considerável</t>
  </si>
  <si>
    <t>Uso Ferroviário</t>
  </si>
  <si>
    <t>Património ferroviário de Trezoi: Cantaria granito monumental; extensão considerável. Testemunho da história industrial e dos transportes portugueses, N/A, de valor histórico e arquitectónico excepcional.</t>
  </si>
  <si>
    <t>Estação de Santarém</t>
  </si>
  <si>
    <t>Ribeira de Santarém</t>
  </si>
  <si>
    <t>Edifício elevado anti-cheia; azulejos históricos; interface Ribatejo</t>
  </si>
  <si>
    <t>Património ferroviário de Ribeira de Santarém: Edifício elevado anti-cheia; azulejos históricos; interface Ribatejo. Testemunho da história industrial e dos transportes portugueses, Gratuito, de valor histórico e arquitectónico excepcional.</t>
  </si>
  <si>
    <t>+351 243 322 355</t>
  </si>
  <si>
    <t>Estação de Albergaria-a-Velha</t>
  </si>
  <si>
    <t>Largo da Estação, Albergaria</t>
  </si>
  <si>
    <t>Via estreita; cruzamento diesel histórico; atmosfera nostálgica</t>
  </si>
  <si>
    <t>Património ferroviário de Largo da Estação: Via estreita; cruzamento diesel histórico; atmosfera nostálgica. Testemunho da história industrial e dos transportes portugueses, Gratuito, de valor histórico e arquitectónico excepcional.</t>
  </si>
  <si>
    <t>Estação de Águeda</t>
  </si>
  <si>
    <t>Rua da Estação, Águeda</t>
  </si>
  <si>
    <t>Murais modernos com traça antiga; centro cultural da cidade</t>
  </si>
  <si>
    <t>Património ferroviário de Rua da Estação: Murais modernos com traça antiga; centro cultural da cidade. Testemunho da história industrial e dos transportes portugueses, Gratuito, de valor histórico e arquitectónico excepcional.</t>
  </si>
  <si>
    <t>Estação da Mealhada</t>
  </si>
  <si>
    <t>Largo da Estação, Mealhada</t>
  </si>
  <si>
    <t>Clássico; caves espumante; cruzamento longo curso</t>
  </si>
  <si>
    <t>Património ferroviário de Largo da Estação: Clássico; caves espumante; cruzamento longo curso. Testemunho da história industrial e dos transportes portugueses, Gratuito, de valor histórico e arquitectónico excepcional.</t>
  </si>
  <si>
    <t>Estação de Pombal</t>
  </si>
  <si>
    <t>Largo da Estação, Pombal</t>
  </si>
  <si>
    <t>Azulejos Marquês de Pombal; hub comboios rápidos</t>
  </si>
  <si>
    <t>Património ferroviário de Largo da Estação: Azulejos Marquês de Pombal; hub comboios rápidos. Testemunho da história industrial e dos transportes portugueses, Gratuito, de valor histórico e arquitectónico excepcional.</t>
  </si>
  <si>
    <t>+351 236 212 120</t>
  </si>
  <si>
    <t>Estação de Alfarelos</t>
  </si>
  <si>
    <t>Granja do Ulmeiro, Soure</t>
  </si>
  <si>
    <t>Maior entroncamento ferroviário; pátio manobras vasto</t>
  </si>
  <si>
    <t>Património ferroviário de Granja do Ulmeiro: Maior entroncamento ferroviário; pátio manobras vasto. Testemunho da história industrial e dos transportes portugueses, Gratuito, de valor histórico e arquitectónico excepcional.</t>
  </si>
  <si>
    <t>Estação da Covilhã</t>
  </si>
  <si>
    <t>Largo da Estação, Covilhã</t>
  </si>
  <si>
    <t>Terminal eletrificado; granito e funcionalidade industrial</t>
  </si>
  <si>
    <t>06:00-22:30</t>
  </si>
  <si>
    <t>Património ferroviário de Largo da Estação: Terminal eletrificado; granito e funcionalidade industrial. Testemunho da história industrial e dos transportes portugueses, Gratuito, de valor histórico e arquitectónico excepcional.</t>
  </si>
  <si>
    <t>+351 275 322 052</t>
  </si>
  <si>
    <t>Estação de Castelo de Vide (Desativada)</t>
  </si>
  <si>
    <t>Estação de Castelo de Vide</t>
  </si>
  <si>
    <t>Azulejaria de época; isolada da vila; silêncio ferroviário monumental</t>
  </si>
  <si>
    <t>Património ferroviário de Estação de Castelo de Vide: Azulejaria de época; isolada da vila; silêncio ferroviário monumental. Testemunho da história industrial e dos transportes portugueses, Gratuito, de valor histórico e arquitectónico excepcional.</t>
  </si>
  <si>
    <t>+351 245 900 130</t>
  </si>
  <si>
    <t>Estação de Vila Nova da Barquinha</t>
  </si>
  <si>
    <t>Largo da Estação, V.N. Barquinha</t>
  </si>
  <si>
    <t>Flores e azulejos; Parque Escultura Contemporânea</t>
  </si>
  <si>
    <t>Património ferroviário de Largo da Estação: Flores e azulejos; Parque Escultura Contemporânea. Testemunho da história industrial e dos transportes portugueses, Gratuito, de valor histórico e arquitectónico excepcional.</t>
  </si>
  <si>
    <t>Estação de Óbidos</t>
  </si>
  <si>
    <t>Estrada da Estação, Óbidos</t>
  </si>
  <si>
    <t>Branco com rodapé azul; painéis azulejos castelo</t>
  </si>
  <si>
    <t>Património ferroviário de Estrada da Estação: Branco com rodapé azul; painéis azulejos castelo. Testemunho da história industrial e dos transportes portugueses, Gratuito, de valor histórico e arquitectónico excepcional.</t>
  </si>
  <si>
    <t>Estação de Oliveira do Bairro</t>
  </si>
  <si>
    <t>Largo da Estação, Oliveira do Bairro</t>
  </si>
  <si>
    <t>Imponente; indústria cerâmica Bairrada; azulejaria padrão</t>
  </si>
  <si>
    <t>Património ferroviário de Largo da Estação: Imponente; indústria cerâmica Bairrada; azulejaria padrão. Testemunho da história industrial e dos transportes portugueses, Gratuito, de valor histórico e arquitectónico excepcional.</t>
  </si>
  <si>
    <t>Estação de Fátima (Chão de Maçãs)</t>
  </si>
  <si>
    <t>Chão de Maçãs, Tomar</t>
  </si>
  <si>
    <t>Arquitetura beirã; fluxo peregrinos histórico</t>
  </si>
  <si>
    <t>Património ferroviário de Chão de Maçãs: Arquitetura beirã; fluxo peregrinos histórico. Testemunho da história industrial e dos transportes portugueses, Gratuito, de valor histórico e arquitectónico excepcional.</t>
  </si>
  <si>
    <t>Estação de Mortágua</t>
  </si>
  <si>
    <t>Largo da Estação, Mortágua</t>
  </si>
  <si>
    <t>Entre serras; arquitectura funcional; ponto cruzamento técnico</t>
  </si>
  <si>
    <t>Património ferroviário de Largo da Estação: Entre serras; arquitectura funcional; ponto cruzamento técnico. Testemunho da história industrial e dos transportes portugueses, Gratuito, de valor histórico e arquitectónico excepcional.</t>
  </si>
  <si>
    <t>Estação de Gouveia</t>
  </si>
  <si>
    <t>Gouveia Gare</t>
  </si>
  <si>
    <t>Granito isolado; transporte lanifícios histórico</t>
  </si>
  <si>
    <t>Património ferroviário de Gouveia Gare: Granito isolado; transporte lanifícios histórico. Testemunho da história industrial e dos transportes portugueses, Gratuito, de valor histórico e arquitectónico excepcional.</t>
  </si>
  <si>
    <t>Ponte de Praia do Ribatejo</t>
  </si>
  <si>
    <t>Praia do Ribatejo, V.N. Barquinha</t>
  </si>
  <si>
    <t>Treliça ferro forjado; ponto observação fauna fluvial</t>
  </si>
  <si>
    <t>Património ferroviário de Praia do Ribatejo: Treliça ferro forjado; ponto observação fauna fluvial. Testemunho da história industrial e dos transportes portugueses, Gratuito, de valor histórico e arquitectónico excepcional.</t>
  </si>
  <si>
    <t>Estação de Mouriscas</t>
  </si>
  <si>
    <t>Mouriscas, Abrantes</t>
  </si>
  <si>
    <t>Alvenaria e granito; olival e rio</t>
  </si>
  <si>
    <t>Património ferroviário de Mouriscas: Alvenaria e granito; olival e rio. Testemunho da história industrial e dos transportes portugueses, Gratuito, de valor histórico e arquitectónico excepcional.</t>
  </si>
  <si>
    <t>Estação de Souselas</t>
  </si>
  <si>
    <t>Souselas, Coimbra</t>
  </si>
  <si>
    <t>Desvios industriais; logística cimento</t>
  </si>
  <si>
    <t>Operacional (Carga)</t>
  </si>
  <si>
    <t>Património ferroviário de Souselas: Desvios industriais; logística cimento. Testemunho da história industrial e dos transportes portugueses, N/A, de valor histórico e arquitectónico excepcional.</t>
  </si>
  <si>
    <t>(ver Norte #39)</t>
  </si>
  <si>
    <t>Património ferroviário de Marco de Canaveses: (ver Norte #39). Testemunho da história industrial e dos transportes portugueses, Gratuito, de valor histórico e arquitectónico excepcional.</t>
  </si>
  <si>
    <t>Estação do Rossio</t>
  </si>
  <si>
    <t>Praça D. Pedro IV, Lisboa</t>
  </si>
  <si>
    <t>Neomanuelino; cais elevado; porta Linha de Sintra</t>
  </si>
  <si>
    <t>06:00-01:00</t>
  </si>
  <si>
    <t>Gratuito (Átrio)</t>
  </si>
  <si>
    <t>Linha ferroviária Estação do Rossio em Praça D. Pedro IV. Percurso histórico com estações preservadas que guardam a memória da Era do Vapor e da expansão da rede ferroviária em Portugal.</t>
  </si>
  <si>
    <t>Estação de Santa Apolónia</t>
  </si>
  <si>
    <t>Av. Infante D. Henrique, Lisboa</t>
  </si>
  <si>
    <t>Neoclássico 1865; longo curso e internacional; cais marítimo</t>
  </si>
  <si>
    <t>Património ferroviário de Av. Infante D. Henrique: Neoclássico 1865; longo curso e internacional; cais marítimo. Testemunho da história industrial e dos transportes portugueses, Gratuito, de valor histórico e arquitectónico excepcional.</t>
  </si>
  <si>
    <t>+351 211 026 630</t>
  </si>
  <si>
    <t>Av. D. João II, Lisboa</t>
  </si>
  <si>
    <t>Calatrava; cobertura aço e vidro floresta; multimodal</t>
  </si>
  <si>
    <t>Património ferroviário de Av. D. João II: Calatrava; cobertura aço e vidro floresta; multimodal. Testemunho da história industrial e dos transportes portugueses, Gratuito, de valor histórico e arquitectónico excepcional.</t>
  </si>
  <si>
    <t>Estação do Cais do Sodré</t>
  </si>
  <si>
    <t>Praça do Duque de Terceira, Lisboa</t>
  </si>
  <si>
    <t>Modernista 1928; azulejos marítimos; interface Tejo</t>
  </si>
  <si>
    <t>05:30-02:00</t>
  </si>
  <si>
    <t>Património ferroviário de Praça do Duque de Terceira: Modernista 1928; azulejos marítimos; interface Tejo. Testemunho da história industrial e dos transportes portugueses, Gratuito, de valor histórico e arquitectónico excepcional.</t>
  </si>
  <si>
    <t>Estação do Barreiro (Antiga)</t>
  </si>
  <si>
    <t>Av. de Sapadores, Barreiro</t>
  </si>
  <si>
    <t>Neomanuelino; telhados tesoura; símbolo Linha Sul e Sueste</t>
  </si>
  <si>
    <t>Espaço Exterior</t>
  </si>
  <si>
    <t>Linha ferroviária Estação do Barreiro (Antiga) em Av. de Sapadores. Percurso histórico com estações preservadas que guardam a memória da Era do Vapor e da expansão da rede ferroviária em Portugal.</t>
  </si>
  <si>
    <t>+351 212 068 000</t>
  </si>
  <si>
    <t>Estação de Sintra</t>
  </si>
  <si>
    <t>Av. Dr. Miguel Bombarda, Sintra</t>
  </si>
  <si>
    <t>Azulejos retratando Vila; UNESCO; arquitetura clássica</t>
  </si>
  <si>
    <t>06:00-01:30</t>
  </si>
  <si>
    <t>Património ferroviário de Av. Dr. Miguel Bombarda: Azulejos retratando Vila; UNESCO; arquitetura clássica. Testemunho da história industrial e dos transportes portugueses, Gratuito, de valor histórico e arquitectónico excepcional.</t>
  </si>
  <si>
    <t>Estação de Cascais</t>
  </si>
  <si>
    <t>Largo da Estação, Cascais</t>
  </si>
  <si>
    <t>Balnear funcional; antiga entrada real; junto marina</t>
  </si>
  <si>
    <t>Património ferroviário de Largo da Estação: Balnear funcional; antiga entrada real; junto marina. Testemunho da história industrial e dos transportes portugueses, Gratuito, de valor histórico e arquitectónico excepcional.</t>
  </si>
  <si>
    <t>Estação de Vila Franca de Xira</t>
  </si>
  <si>
    <t>Largo da Estação, V.F. Xira</t>
  </si>
  <si>
    <t>Azulejos campino e tourada; junto Tejo; longo curso</t>
  </si>
  <si>
    <t>Património ferroviário de Largo da Estação: Azulejos campino e tourada; junto Tejo; longo curso. Testemunho da história industrial e dos transportes portugueses, Gratuito, de valor histórico e arquitectónico excepcional.</t>
  </si>
  <si>
    <t>Estação do Setil</t>
  </si>
  <si>
    <t>Setil, Cartaxo</t>
  </si>
  <si>
    <t>Entroncamento isolado; azulejos Jorge Colaço</t>
  </si>
  <si>
    <t>Património ferroviário de Setil: Entroncamento isolado; azulejos Jorge Colaço. Testemunho da história industrial e dos transportes portugueses, Gratuito, de valor histórico e arquitectónico excepcional.</t>
  </si>
  <si>
    <t>Ponte 25 de Abril (Tabuleiro Ferroviário)</t>
  </si>
  <si>
    <t>Lisboa/Almada</t>
  </si>
  <si>
    <t>Dois tabuleiros rodoferroviário; vista única Tejo</t>
  </si>
  <si>
    <t>Bilhete Fertagus</t>
  </si>
  <si>
    <t>Património ferroviário de Lisboa/Almada: Dois tabuleiros rodoferroviário; vista única Tejo. Testemunho da história industrial e dos transportes portugueses, Bilhete Fertagus, de valor histórico e arquitectónico excepcional.</t>
  </si>
  <si>
    <t>Estação de Sintra (Queluz-Belas)</t>
  </si>
  <si>
    <t>Largo da Estação, Queluz</t>
  </si>
  <si>
    <t>Azulejos monumentos locais; interface urbana densa</t>
  </si>
  <si>
    <t>Património ferroviário de Largo da Estação: Azulejos monumentos locais; interface urbana densa. Testemunho da história industrial e dos transportes portugueses, Gratuito, de valor histórico e arquitectónico excepcional.</t>
  </si>
  <si>
    <t>Estação de Belém</t>
  </si>
  <si>
    <t>Charme; junto MAAT e Jerónimos; azulejos Descobrimentos</t>
  </si>
  <si>
    <t>Património ferroviário de Av. Brasília: Charme; junto MAAT e Jerónimos; azulejos Descobrimentos. Testemunho da história industrial e dos transportes portugueses, Gratuito, de valor histórico e arquitectónico excepcional.</t>
  </si>
  <si>
    <t>Estação da Azambuja</t>
  </si>
  <si>
    <t>Largo da Estação, Azambuja</t>
  </si>
  <si>
    <t>Alvenaria granito; cais mercadorias vinho e cortiça</t>
  </si>
  <si>
    <t>Património ferroviário de Largo da Estação: Alvenaria granito; cais mercadorias vinho e cortiça. Testemunho da história industrial e dos transportes portugueses, Gratuito, de valor histórico e arquitectónico excepcional.</t>
  </si>
  <si>
    <t>Estação de Palmela</t>
  </si>
  <si>
    <t>Estrada da Estação, Palmela</t>
  </si>
  <si>
    <t>Azulejos 1943 vindima e castelo; paisagem Arrábida</t>
  </si>
  <si>
    <t>Património ferroviário de Estrada da Estação: Azulejos 1943 vindima e castelo; paisagem Arrábida. Testemunho da história industrial e dos transportes portugueses, Gratuito, de valor histórico e arquitectónico excepcional.</t>
  </si>
  <si>
    <t>Estação de Setúbal</t>
  </si>
  <si>
    <t>Praça do Brasil, Setúbal</t>
  </si>
  <si>
    <t>Remodelada; interface Fertagus/CP; partida Alentejo</t>
  </si>
  <si>
    <t>06:00-00:30</t>
  </si>
  <si>
    <t>Património ferroviário de Praça do Brasil: Remodelada; interface Fertagus/CP; partida Alentejo. Testemunho da história industrial e dos transportes portugueses, Gratuito, de valor histórico e arquitectónico excepcional.</t>
  </si>
  <si>
    <t>+351 212 109 200</t>
  </si>
  <si>
    <t>Estação de Alenquer (Carregado)</t>
  </si>
  <si>
    <t>Carregado, Alenquer</t>
  </si>
  <si>
    <t>Primeira estação ferroviária de Portugal (1856)</t>
  </si>
  <si>
    <t>Estação ferroviária histórica de Carregado, Gratuito. Primeira estação ferroviária de Portugal (1856) com azulejos e elementos que documentam a era dourada do caminho-de-ferro português.</t>
  </si>
  <si>
    <t>Túnel do Rossio</t>
  </si>
  <si>
    <t>Entre Campolide e Rossio</t>
  </si>
  <si>
    <t>2.6km sob cidade; bocas arco ferradura; declive acentuado</t>
  </si>
  <si>
    <t>Bilhete CP</t>
  </si>
  <si>
    <t>Património ferroviário de Entre Campolide e Rossio: 2.6km sob cidade; bocas arco ferradura; declive acentuado. Testemunho da história industrial e dos transportes portugueses, Bilhete CP, de valor histórico e arquitectónico excepcional.</t>
  </si>
  <si>
    <t>Estação de Pinhal Novo</t>
  </si>
  <si>
    <t>Av. da Estação, Pinhal Novo</t>
  </si>
  <si>
    <t>Placa giratória; azulejos monumentais; cruzamento Alentejo/Algarve</t>
  </si>
  <si>
    <t>Património ferroviário de Av. da Estação: Placa giratória; azulejos monumentais; cruzamento Alentejo/Algarve. Testemunho da história industrial e dos transportes portugueses, Gratuito, de valor histórico e arquitectónico excepcional.</t>
  </si>
  <si>
    <t>Estação do Fogueteiro</t>
  </si>
  <si>
    <t>Fogueteiro, Seixal</t>
  </si>
  <si>
    <t>Moderna betão e vidro; hub parques estacionamento</t>
  </si>
  <si>
    <t>05:30-01:00</t>
  </si>
  <si>
    <t>Património ferroviário de Fogueteiro: Moderna betão e vidro; hub parques estacionamento. Testemunho da história industrial e dos transportes portugueses, Gratuito, de valor histórico e arquitectónico excepcional.</t>
  </si>
  <si>
    <t>Estação de Torres Vedras</t>
  </si>
  <si>
    <t>Largo da Estação, Torres Vedras</t>
  </si>
  <si>
    <t>Fachada imponente; Linha do Oeste; defesa de Lisboa</t>
  </si>
  <si>
    <t>Linha ferroviária Estação de Torres Vedras em Largo da Estação. Percurso histórico com estações preservadas que guardam a memória da Era do Vapor e da expansão da rede ferroviária em Portugal.</t>
  </si>
  <si>
    <t>+351 261 312 255</t>
  </si>
  <si>
    <t>Estação de Alcântara-Terra</t>
  </si>
  <si>
    <t>Rua de Alcântara, Lisboa</t>
  </si>
  <si>
    <t>Clássico isolado; Linha Cintura; ligação Linha Cascais</t>
  </si>
  <si>
    <t>Linha ferroviária Estação de Alcântara-Terra em Rua de Alcântara. Percurso histórico com estações preservadas que guardam a memória da Era do Vapor e da expansão da rede ferroviária em Portugal.</t>
  </si>
  <si>
    <t>Estação de Sacavém</t>
  </si>
  <si>
    <t>Sacavém</t>
  </si>
  <si>
    <t>Junto Rio Tejo; portão norte Lisboa; vista Parque Nações</t>
  </si>
  <si>
    <t>Património ferroviário de Sacavém: Junto Rio Tejo; portão norte Lisboa; vista Parque Nações. Testemunho da história industrial e dos transportes portugueses, Gratuito, de valor histórico e arquitectónico excepcional.</t>
  </si>
  <si>
    <t>Estação de Alverca</t>
  </si>
  <si>
    <t>Largo da Estação, Alverca</t>
  </si>
  <si>
    <t>Funcionalista; proximidade aeródromo aeronáutico</t>
  </si>
  <si>
    <t>Património ferroviário de Largo da Estação: Funcionalista; proximidade aeródromo aeronáutico. Testemunho da história industrial e dos transportes portugueses, Gratuito, de valor histórico e arquitectónico excepcional.</t>
  </si>
  <si>
    <t>Estação de Santarém (Lisboa)</t>
  </si>
  <si>
    <t>Elevado anti-cheia; azulejos históricos; Linha do Norte</t>
  </si>
  <si>
    <t>Linha ferroviária Estação de Santarém (Lisboa) em Ribeira de Santarém. Percurso histórico com estações preservadas que guardam a memória da Era do Vapor e da expansão da rede ferroviária em Portugal.</t>
  </si>
  <si>
    <t>Estação de Campolide</t>
  </si>
  <si>
    <t>Campolide, Lisboa</t>
  </si>
  <si>
    <t>Distribuidor central Lisboa; vistas Aqueduto das Águas Livres</t>
  </si>
  <si>
    <t>Património ferroviário de Campolide: Distribuidor central Lisboa; vistas Aqueduto das Águas Livres. Testemunho da história industrial e dos transportes portugueses, Gratuito, de valor histórico e arquitectónico excepcional.</t>
  </si>
  <si>
    <t>Oficinas da EMEF (Barreiro)</t>
  </si>
  <si>
    <t>Terminal Ferroviário do Barreiro</t>
  </si>
  <si>
    <t>Galpões industriais séc. XIX; rotunda máquinas; património operário ferroviário</t>
  </si>
  <si>
    <t>Sob marcação técnica</t>
  </si>
  <si>
    <t>Património ferroviário de Terminal Ferroviário do Barreiro: Galpões industriais séc. XIX; rotunda máquinas; património operário ferroviário. Testemunho da história industrial e dos transportes portugueses, N/A, de valor histórico e arquitectónico excepcional.</t>
  </si>
  <si>
    <t>+351 212 064 000</t>
  </si>
  <si>
    <t>Estação de Alcântara-Mar</t>
  </si>
  <si>
    <t>Rua de Cascais, Lisboa</t>
  </si>
  <si>
    <t>Travessia aérea pedonal icónica; funcional simples; ligação a Belém</t>
  </si>
  <si>
    <t>Património ferroviário de Rua de Cascais: Travessia aérea pedonal icónica; funcional simples; ligação a Belém. Testemunho da história industrial e dos transportes portugueses, Gratuito, de valor histórico e arquitectónico excepcional.</t>
  </si>
  <si>
    <t>Estação de Sete Rios</t>
  </si>
  <si>
    <t>Praça Marechal Humberto Delgado</t>
  </si>
  <si>
    <t>Hub subterrâneo/elevado; ligação Metro e Terminal Rodoviário; contemporânea</t>
  </si>
  <si>
    <t>Património ferroviário de Praça Marechal Humberto Delgado: Hub subterrâneo/elevado; ligação Metro e Terminal Rodoviário; contemporânea. Testemunho da história industrial e dos transportes portugueses, Gratuito, de valor histórico e arquitectónico excepcional.</t>
  </si>
  <si>
    <t>Estação de Braço de Prata</t>
  </si>
  <si>
    <t>Rua de Braço de Prata, Lisboa</t>
  </si>
  <si>
    <t>Séc. XIX; placas giratórias antigas; cenário para cinema</t>
  </si>
  <si>
    <t>Património ferroviário de Rua de Braço de Prata: Séc. XIX; placas giratórias antigas; cenário para cinema. Testemunho da história industrial e dos transportes portugueses, Gratuito, de valor histórico e arquitectónico excepcional.</t>
  </si>
  <si>
    <t>Estação de Roma-Areeiro</t>
  </si>
  <si>
    <t>Av. Frei Miguel Contreiras</t>
  </si>
  <si>
    <t>Arquitetura funcionalista; interface linhas suburbanas; Lisboa anos 50</t>
  </si>
  <si>
    <t>Linha ferroviária Estação de Roma-Areeiro em Av. Frei Miguel Contreiras. Percurso histórico com estações preservadas que guardam a memória da Era do Vapor e da expansão da rede ferroviária em Portugal.</t>
  </si>
  <si>
    <t>Estação de Vendas Novas</t>
  </si>
  <si>
    <t>Largo da Estação, Vendas Novas</t>
  </si>
  <si>
    <t>Azulejos 1920; bifanas históricas; interface Linha Alentejo</t>
  </si>
  <si>
    <t>Linha ferroviária Estação de Vendas Novas em Largo da Estação. Percurso histórico com estações preservadas que guardam a memória da Era do Vapor e da expansão da rede ferroviária em Portugal.</t>
  </si>
  <si>
    <t>Ponte Ferroviária de Coruche</t>
  </si>
  <si>
    <t>Treliça metálica; Vale do Rio Sorraia; uso maioritário mercadorias</t>
  </si>
  <si>
    <t>Visível Exterior</t>
  </si>
  <si>
    <t>Património ferroviário de Coruche: Treliça metálica; Vale do Rio Sorraia; uso maioritário mercadorias. Testemunho da história industrial e dos transportes portugueses, N/A, de valor histórico e arquitectónico excepcional.</t>
  </si>
  <si>
    <t>Estação de Coruche (Desativada)</t>
  </si>
  <si>
    <t>Coruche Gare</t>
  </si>
  <si>
    <t>Alvenaria e granito; cais carga preservado; memória rural cortiça</t>
  </si>
  <si>
    <t>Património ferroviário de Coruche Gare: Alvenaria e granito; cais carga preservado; memória rural cortiça. Testemunho da história industrial e dos transportes portugueses, Gratuito, de valor histórico e arquitectónico excepcional.</t>
  </si>
  <si>
    <t>Estação da Póvoa de Santa Iria</t>
  </si>
  <si>
    <t>Largo da Estação, Póvoa</t>
  </si>
  <si>
    <t>Cais elevado; passadiços sobre Tejo; azulejos contemporâneos</t>
  </si>
  <si>
    <t>Património ferroviário de Largo da Estação: Cais elevado; passadiços sobre Tejo; azulejos contemporâneos. Testemunho da história industrial e dos transportes portugueses, Gratuito, de valor histórico e arquitectónico excepcional.</t>
  </si>
  <si>
    <t>Apeadeiro de Virtudes</t>
  </si>
  <si>
    <t>Virtudes, Azambuja</t>
  </si>
  <si>
    <t>Edifício apoio à via; vinhedos e pinhal; charme rural intacto</t>
  </si>
  <si>
    <t>Património ferroviário de Virtudes: Edifício apoio à via; vinhedos e pinhal; charme rural intacto. Testemunho da história industrial e dos transportes portugueses, Gratuito, de valor histórico e arquitectónico excepcional.</t>
  </si>
  <si>
    <t>Estação de Malveira</t>
  </si>
  <si>
    <t>Largo da Estação, Malveira</t>
  </si>
  <si>
    <t>Granito; telhados típicos; interface região de Mafra</t>
  </si>
  <si>
    <t>Património ferroviário de Largo da Estação: Granito; telhados típicos; interface região de Mafra. Testemunho da história industrial e dos transportes portugueses, Gratuito, de valor histórico e arquitectónico excepcional.</t>
  </si>
  <si>
    <t>Estação de Mafra (Gare)</t>
  </si>
  <si>
    <t>Igreja Nova, Mafra</t>
  </si>
  <si>
    <t>Edifício simétrico; transporte bens reais; jardins ferroviários</t>
  </si>
  <si>
    <t>Património ferroviário de Igreja Nova: Edifício simétrico; transporte bens reais; jardins ferroviários. Testemunho da história industrial e dos transportes portugueses, Gratuito, de valor histórico e arquitectónico excepcional.</t>
  </si>
  <si>
    <t>Estação de Praias do Sado</t>
  </si>
  <si>
    <t>Praias do Sado, Setúbal</t>
  </si>
  <si>
    <t>Azulejos pescadores; terminal pitoresco estuário Sado</t>
  </si>
  <si>
    <t>Património ferroviário de Praias do Sado: Azulejos pescadores; terminal pitoresco estuário Sado. Testemunho da história industrial e dos transportes portugueses, Gratuito, de valor histórico e arquitectónico excepcional.</t>
  </si>
  <si>
    <t>Estação de Coina</t>
  </si>
  <si>
    <t>Coina, Barreiro</t>
  </si>
  <si>
    <t>Contemporânea; oficinas Fertagus visíveis; hub multimodal</t>
  </si>
  <si>
    <t>Património ferroviário de Coina: Contemporânea; oficinas Fertagus visíveis; hub multimodal. Testemunho da história industrial e dos transportes portugueses, Gratuito, de valor histórico e arquitectónico excepcional.</t>
  </si>
  <si>
    <t>Estação de Moscavide</t>
  </si>
  <si>
    <t>Moscavide, Lisboa</t>
  </si>
  <si>
    <t>Minimalista; zona urbana densa; proximidade Campus de Justiça</t>
  </si>
  <si>
    <t>Património ferroviário de Moscavide: Minimalista; zona urbana densa; proximidade Campus de Justiça. Testemunho da história industrial e dos transportes portugueses, Gratuito, de valor histórico e arquitectónico excepcional.</t>
  </si>
  <si>
    <t xml:space="preserve">  🟧  ALENTEJO  ·  33 entradas</t>
  </si>
  <si>
    <t>Estação de Évora</t>
  </si>
  <si>
    <t>Largo da Estação, Évora</t>
  </si>
  <si>
    <t>Branco barras amarelas; azulejos 1930 regionais; terminal Linha Évora</t>
  </si>
  <si>
    <t>06:30-21:00</t>
  </si>
  <si>
    <t>Linha ferroviária Estação de Évora em Largo da Estação. Percurso histórico com estações preservadas que guardam a memória da Era do Vapor e da expansão da rede ferroviária em Portugal.</t>
  </si>
  <si>
    <t>+351 266 741 760</t>
  </si>
  <si>
    <t>Estação de Beja</t>
  </si>
  <si>
    <t>Largo da Estação, Beja</t>
  </si>
  <si>
    <t>Azulejos história cidade; torre água clássica; interface Algarve</t>
  </si>
  <si>
    <t>Património ferroviário de Largo da Estação: Azulejos história cidade; torre água clássica; interface Algarve. Testemunho da história industrial e dos transportes portugueses, Gratuito, de valor histórico e arquitectónico excepcional.</t>
  </si>
  <si>
    <t>+351 284 322 135</t>
  </si>
  <si>
    <t>Estação de Elvas</t>
  </si>
  <si>
    <t>Fontainhas, Elvas</t>
  </si>
  <si>
    <t>Monumento Nacional; Jorge Colaço; silos cereais históricos</t>
  </si>
  <si>
    <t>Património ferroviário de Fontainhas: Monumento Nacional; Jorge Colaço; silos cereais históricos. Testemunho da história industrial e dos transportes portugueses, Gratuito, de valor histórico e arquitectónico excepcional.</t>
  </si>
  <si>
    <t>Azulejaria de época; jardins ferroviários; turismo de charme</t>
  </si>
  <si>
    <t>Património ferroviário de Beirã: Azulejaria de época; jardins ferroviários; turismo de charme. Testemunho da história industrial e dos transportes portugueses, Gratuito, de valor histórico e arquitectónico excepcional.</t>
  </si>
  <si>
    <t>Estação de Portalegre</t>
  </si>
  <si>
    <t>Granito local; cortiça e têxteis histórico</t>
  </si>
  <si>
    <t>Património ferroviário de Estação de Portalegre: Granito local; cortiça e têxteis histórico. Testemunho da história industrial e dos transportes portugueses, Gratuito, de valor histórico e arquitectónico excepcional.</t>
  </si>
  <si>
    <t>Estação de Casa Branca</t>
  </si>
  <si>
    <t>Casa Branca, Montemor-o-Novo</t>
  </si>
  <si>
    <t>Localização remota; dormitórios ferroviários; entroncamento Évora</t>
  </si>
  <si>
    <t>Património ferroviário de Casa Branca: Localização remota; dormitórios ferroviários; entroncamento Évora. Testemunho da história industrial e dos transportes portugueses, Gratuito, de valor histórico e arquitectónico excepcional.</t>
  </si>
  <si>
    <t>Estação de Alcácer do Sal</t>
  </si>
  <si>
    <t>Estação de Alcácer</t>
  </si>
  <si>
    <t>Variante de Alcácer; ponte metálica icónica Sado</t>
  </si>
  <si>
    <t>Operacional (Regional)</t>
  </si>
  <si>
    <t>Viaduto ferroviário de Estação de Alcácer, Gratuito. Variante de Alcácer; ponte metálica icónica Sado que documenta a audácia técnica da construção ferroviária na era industrial portuguesa.</t>
  </si>
  <si>
    <t>Estação de Ermidas-Sado</t>
  </si>
  <si>
    <t>Ermidas-Sado, Santiago do Cacém</t>
  </si>
  <si>
    <t>Terminal mercadorias; interface litoral alentejano; Porto de Sines</t>
  </si>
  <si>
    <t>Património ferroviário de Ermidas-Sado: Terminal mercadorias; interface litoral alentejano; Porto de Sines. Testemunho da história industrial e dos transportes portugueses, Gratuito, de valor histórico e arquitectónico excepcional.</t>
  </si>
  <si>
    <t>Ponte de Ferro de Alcácer</t>
  </si>
  <si>
    <t>Vão metálico pilares pedra; transporte minério Aljustrel/Neves-Corvo</t>
  </si>
  <si>
    <t>Património ferroviário de Alcácer do Sal: Vão metálico pilares pedra; transporte minério Aljustrel/Neves-Corvo. Testemunho da história industrial e dos transportes portugueses, N/A, de valor histórico e arquitectónico excepcional.</t>
  </si>
  <si>
    <t>Estação de Sines (Desativada)</t>
  </si>
  <si>
    <t>Av. da Estação, Sines</t>
  </si>
  <si>
    <t>Azulejos Vasco da Gama; centro de artes</t>
  </si>
  <si>
    <t>Centro Artes 09:00-18:00</t>
  </si>
  <si>
    <t>Património ferroviário de Av. da Estação: Azulejos Vasco da Gama; centro de artes. Testemunho da história industrial e dos transportes portugueses, Gratuito, de valor histórico e arquitectónico excepcional.</t>
  </si>
  <si>
    <t>+351 269 860 080</t>
  </si>
  <si>
    <t>Estação de Vila Viçosa (Desativada)</t>
  </si>
  <si>
    <t>Av. Bento de Jesus Caraça, Vila Viçosa</t>
  </si>
  <si>
    <t>Mármore local; azulejos caça e realeza; musealizada</t>
  </si>
  <si>
    <t>Museu 09:00-17:30</t>
  </si>
  <si>
    <t>Património ferroviário de Av. Bento de Jesus Caraça: Mármore local; azulejos caça e realeza; musealizada. Testemunho da história industrial e dos transportes portugueses, ~2€, de valor histórico e arquitectónico excepcional.</t>
  </si>
  <si>
    <t>+351 268 980 694</t>
  </si>
  <si>
    <t>Estação de Estremoz (Desativada)</t>
  </si>
  <si>
    <t>Largo da Estação, Estremoz</t>
  </si>
  <si>
    <t>Grandes dimensões; pátio manobras; centro histórico</t>
  </si>
  <si>
    <t>Exterior visitável</t>
  </si>
  <si>
    <t>Património ferroviário de Largo da Estação: Grandes dimensões; pátio manobras; centro histórico. Testemunho da história industrial e dos transportes portugueses, Gratuito, de valor histórico e arquitectónico excepcional.</t>
  </si>
  <si>
    <t>Estação de Reguengos de Monsaraz (Desativada)</t>
  </si>
  <si>
    <t>Av. da Estação, Reguengos</t>
  </si>
  <si>
    <t>Terminal Linha Évora; requalificada cultural e lazer</t>
  </si>
  <si>
    <t>Linha ferroviária Estação de Reguengos de Monsaraz (Desativada) em Av. da Estação. Percurso histórico com estações preservadas que guardam a memória da Era do Vapor e da expansão da rede ferroviária em Portugal.</t>
  </si>
  <si>
    <t>Estação de Grândola</t>
  </si>
  <si>
    <t>Renovada; azulejos contemporâneos; hub Intercidades Algarve</t>
  </si>
  <si>
    <t>Património ferroviário de Estação de Grândola: Renovada; azulejos contemporâneos; hub Intercidades Algarve. Testemunho da história industrial e dos transportes portugueses, Gratuito, de valor histórico e arquitectónico excepcional.</t>
  </si>
  <si>
    <t>Estação de Castro Verde - Almodôvar</t>
  </si>
  <si>
    <t>Estação Ourique (Castro Verde)</t>
  </si>
  <si>
    <t>Pátio triagem; dormitórios; terminal granito</t>
  </si>
  <si>
    <t>Operacional (IC Algarve)</t>
  </si>
  <si>
    <t>Património ferroviário de Estação Ourique (Castro Verde): Pátio triagem; dormitórios; terminal granito. Testemunho da história industrial e dos transportes portugueses, Gratuito, de valor histórico e arquitectónico excepcional.</t>
  </si>
  <si>
    <t>Estação de Funcheira</t>
  </si>
  <si>
    <t>Funcheira, Ourique</t>
  </si>
  <si>
    <t>Transbordo para Algarve; entroncamento logístico Sul</t>
  </si>
  <si>
    <t>Património ferroviário de Funcheira: Transbordo para Algarve; entroncamento logístico Sul. Testemunho da história industrial e dos transportes portugueses, Gratuito, de valor histórico e arquitectónico excepcional.</t>
  </si>
  <si>
    <t>Estação de Santa Clara - Sabóia</t>
  </si>
  <si>
    <t>Sabóia, Odemira</t>
  </si>
  <si>
    <t>Vista albufeira; ponte ferroviária imponente</t>
  </si>
  <si>
    <t>Viaduto ferroviário de Sabóia, Gratuito. Vista albufeira; ponte ferroviária imponente que documenta a audácia técnica da construção ferroviária na era industrial portuguesa.</t>
  </si>
  <si>
    <t>Apeadeiro de Luzianes</t>
  </si>
  <si>
    <t>Luzianes-Gare, Odemira</t>
  </si>
  <si>
    <t>Ponto mais alto linha para Algarve; sobreiros</t>
  </si>
  <si>
    <t>Linha ferroviária Apeadeiro de Luzianes em Luzianes-Gare. Percurso histórico com estações preservadas que guardam a memória da Era do Vapor e da expansão da rede ferroviária em Portugal.</t>
  </si>
  <si>
    <t>Estação de Amoreiras-Gare</t>
  </si>
  <si>
    <t>Amoreiras-Gare, Odemira</t>
  </si>
  <si>
    <t>Caiado branco; jardins palmeiras; isolamento pitoresco</t>
  </si>
  <si>
    <t>Património ferroviário de Amoreiras-Gare: Caiado branco; jardins palmeiras; isolamento pitoresco. Testemunho da história industrial e dos transportes portugueses, Gratuito, de valor histórico e arquitectónico excepcional.</t>
  </si>
  <si>
    <t>Estação de Torre das Vargens</t>
  </si>
  <si>
    <t>Torre das Vargens, Ponte de Sor</t>
  </si>
  <si>
    <t>Dormitórios grandes; torre água; divisão Leste e Cáceres</t>
  </si>
  <si>
    <t>Património ferroviário de Torre das Vargens: Dormitórios grandes; torre água; divisão Leste e Cáceres. Testemunho da história industrial e dos transportes portugueses, Gratuito, de valor histórico e arquitectónico excepcional.</t>
  </si>
  <si>
    <t>Estação de Ponte de Sor</t>
  </si>
  <si>
    <t>Largo da Estação, Ponte de Sor</t>
  </si>
  <si>
    <t>Azulejos modernos; cais carga ativos; passageiros clássico</t>
  </si>
  <si>
    <t>Património ferroviário de Largo da Estação: Azulejos modernos; cais carga ativos; passageiros clássico. Testemunho da história industrial e dos transportes portugueses, Gratuito, de valor histórico e arquitectónico excepcional.</t>
  </si>
  <si>
    <t>+351 242 201 130</t>
  </si>
  <si>
    <t>Estação de Cuba</t>
  </si>
  <si>
    <t>Largo da Estação, Cuba</t>
  </si>
  <si>
    <t>Caiado azul e branco; azulejos celebração vila; Linha Alentejo</t>
  </si>
  <si>
    <t>Linha ferroviária Estação de Cuba em Largo da Estação. Percurso histórico com estações preservadas que guardam a memória da Era do Vapor e da expansão da rede ferroviária em Portugal.</t>
  </si>
  <si>
    <t>Estação de Alvito</t>
  </si>
  <si>
    <t>Fachada elegante cantaria; jardins; castelo da vila</t>
  </si>
  <si>
    <t>Património ferroviário de Alvito: Fachada elegante cantaria; jardins; castelo da vila. Testemunho da história industrial e dos transportes portugueses, Gratuito, de valor histórico e arquitectónico excepcional.</t>
  </si>
  <si>
    <t>Estação de Vila Nova da Baronia</t>
  </si>
  <si>
    <t>Vila Nova da Baronia</t>
  </si>
  <si>
    <t>Azulejos campos alentejanos; muito bem preservada</t>
  </si>
  <si>
    <t>Património ferroviário de Vila Nova da Baronia: Azulejos campos alentejanos; muito bem preservada. Testemunho da história industrial e dos transportes portugueses, Gratuito, de valor histórico e arquitectónico excepcional.</t>
  </si>
  <si>
    <t>Estação de Montemor-o-Novo (Desativada)</t>
  </si>
  <si>
    <t>Largo da Estação, Montemor-o-Novo</t>
  </si>
  <si>
    <t>Sede associações; jardins originais</t>
  </si>
  <si>
    <t>Património ferroviário de Largo da Estação: Sede associações; jardins originais. Testemunho da história industrial e dos transportes portugueses, Gratuito, de valor histórico e arquitectónico excepcional.</t>
  </si>
  <si>
    <t>Estação de Garvão</t>
  </si>
  <si>
    <t>Garvão, Ourique</t>
  </si>
  <si>
    <t>Clássico alentejano; importância histórica feira anual</t>
  </si>
  <si>
    <t>Património ferroviário de Garvão: Clássico alentejano; importância histórica feira anual. Testemunho da história industrial e dos transportes portugueses, Gratuito, de valor histórico e arquitectónico excepcional.</t>
  </si>
  <si>
    <t>Estação de Odemira (Pereiras-Gare)</t>
  </si>
  <si>
    <t>Pereiras-Gare, Odemira</t>
  </si>
  <si>
    <t>Arquitetura funcional com detalhes granito; isolada na serra</t>
  </si>
  <si>
    <t>Património ferroviário de Pereiras-Gare: Arquitetura funcional com detalhes granito; isolada na serra. Testemunho da história industrial e dos transportes portugueses, Gratuito, de valor histórico e arquitectónico excepcional.</t>
  </si>
  <si>
    <t>Ponte Ferroviária de Mértola (Projetada)</t>
  </si>
  <si>
    <t>Pilares alvenaria monumental sem carris; monumento ao isolamento ferroviário</t>
  </si>
  <si>
    <t>Visível</t>
  </si>
  <si>
    <t>Património ferroviário de Mértola: Pilares alvenaria monumental sem carris; monumento ao isolamento ferroviário. Testemunho da história industrial e dos transportes portugueses, N/A, de valor histórico e arquitectónico excepcional.</t>
  </si>
  <si>
    <t>Estação de Crato</t>
  </si>
  <si>
    <t>Azulejos Ordem de Malta e Flor da Rosa; arquitetura nobre Linha Leste</t>
  </si>
  <si>
    <t>Linha ferroviária Estação de Crato em Crato. Percurso histórico com estações preservadas que guardam a memória da Era do Vapor e da expansão da rede ferroviária em Portugal.</t>
  </si>
  <si>
    <t>Estação de Alter do Chão (Alter Pedroso)</t>
  </si>
  <si>
    <t>Alter Pedroso</t>
  </si>
  <si>
    <t>Edifício isolado; transporte histórico cavalos puro-sangue lusitano</t>
  </si>
  <si>
    <t>Património ferroviário de Alter Pedroso: Edifício isolado; transporte histórico cavalos puro-sangue lusitano. Testemunho da história industrial e dos transportes portugueses, Gratuito, de valor histórico e arquitectónico excepcional.</t>
  </si>
  <si>
    <t>Estação de Bemposta</t>
  </si>
  <si>
    <t>Bemposta, Abrantes</t>
  </si>
  <si>
    <t>Típico beirão/alentejano; jardins ferroviários; paz absoluta</t>
  </si>
  <si>
    <t>Património ferroviário de Bemposta: Típico beirão/alentejano; jardins ferroviários; paz absoluta. Testemunho da história industrial e dos transportes portugueses, Gratuito, de valor histórico e arquitectónico excepcional.</t>
  </si>
  <si>
    <t>Estação de Figueira e Barros (Desativada)</t>
  </si>
  <si>
    <t>Figueira e Barros, Avis</t>
  </si>
  <si>
    <t>Ruína romântica; silos cereais Estado Novo típicos</t>
  </si>
  <si>
    <t>Património ferroviário de Figueira e Barros: Ruína romântica; silos cereais Estado Novo típicos. Testemunho da história industrial e dos transportes portugueses, Gratuito, de valor histórico e arquitectónico excepcional.</t>
  </si>
  <si>
    <t>Estação de Torre de Coelheiros (Desativada)</t>
  </si>
  <si>
    <t>Torre de Coelheiros, Évora</t>
  </si>
  <si>
    <t>Arquitetura rural simples; olivais centenários; integrada em ecovia</t>
  </si>
  <si>
    <t>Património ferroviário de Torre de Coelheiros: Arquitetura rural simples; olivais centenários; integrada em ecovia. Testemunho da história industrial e dos transportes portugueses, Gratuito, de valor histórico e arquitectónico excepcional.</t>
  </si>
  <si>
    <t>Estação de Faro</t>
  </si>
  <si>
    <t>Largo da Estação, Faro</t>
  </si>
  <si>
    <t>Neoclássico 1889; azulejaria regionalista; hub Aeroporto</t>
  </si>
  <si>
    <t>Património ferroviário de Largo da Estação: Neoclássico 1889; azulejaria regionalista; hub Aeroporto. Testemunho da história industrial e dos transportes portugueses, Gratuito, de valor histórico e arquitectónico excepcional.</t>
  </si>
  <si>
    <t>+351 289 803 268</t>
  </si>
  <si>
    <t>Estação de Lagos</t>
  </si>
  <si>
    <t>Estrada de S. Roque, Lagos</t>
  </si>
  <si>
    <t>Terminal ocidental; moderno Marina; antigo centro cultural ao lado</t>
  </si>
  <si>
    <t>Património ferroviário de Estrada de S. Roque: Terminal ocidental; moderno Marina; antigo centro cultural ao lado. Testemunho da história industrial e dos transportes portugueses, Gratuito, de valor histórico e arquitectónico excepcional.</t>
  </si>
  <si>
    <t>+351 282 762 987</t>
  </si>
  <si>
    <t>Estação de Vila Real de Santo António</t>
  </si>
  <si>
    <t>Monumental relógio; Jorge Colaço; interface ferry Espanha</t>
  </si>
  <si>
    <t>07:00-21:00</t>
  </si>
  <si>
    <t>Património ferroviário de Av. da República: Monumental relógio; Jorge Colaço; interface ferry Espanha. Testemunho da história industrial e dos transportes portugueses, Gratuito, de valor histórico e arquitectónico excepcional.</t>
  </si>
  <si>
    <t>+351 281 542 505</t>
  </si>
  <si>
    <t>Estação de Tavira</t>
  </si>
  <si>
    <t>Largo da Estação, Tavira</t>
  </si>
  <si>
    <t>Branco barras azuis; azulejos cidade e rio Gilão</t>
  </si>
  <si>
    <t>Património ferroviário de Largo da Estação: Branco barras azuis; azulejos cidade e rio Gilão. Testemunho da história industrial e dos transportes portugueses, Gratuito, de valor histórico e arquitectónico excepcional.</t>
  </si>
  <si>
    <t>Estação de Olhão</t>
  </si>
  <si>
    <t>Av. da República, Olhão</t>
  </si>
  <si>
    <t>Azulejos 1930 faina conserveira; Ria Formosa</t>
  </si>
  <si>
    <t>Património ferroviário de Av. da República: Azulejos 1930 faina conserveira; Ria Formosa. Testemunho da história industrial e dos transportes portugueses, Gratuito, de valor histórico e arquitectónico excepcional.</t>
  </si>
  <si>
    <t>Estação de Silves</t>
  </si>
  <si>
    <t>Gare de Silves</t>
  </si>
  <si>
    <t>Azulejos laranjas e cortiça; edifício ocre elegante</t>
  </si>
  <si>
    <t>Património ferroviário de Gare de Silves: Azulejos laranjas e cortiça; edifício ocre elegante. Testemunho da história industrial e dos transportes portugueses, Gratuito, de valor histórico e arquitectónico excepcional.</t>
  </si>
  <si>
    <t>Estação de Portimão</t>
  </si>
  <si>
    <t>Largo da Estação, Portimão</t>
  </si>
  <si>
    <t>Renovada; azulejos modernos e antigos; hub Praia da Rocha</t>
  </si>
  <si>
    <t>07:00-20:00</t>
  </si>
  <si>
    <t>Património ferroviário de Largo da Estação: Renovada; azulejos modernos e antigos; hub Praia da Rocha. Testemunho da história industrial e dos transportes portugueses, Gratuito, de valor histórico e arquitectónico excepcional.</t>
  </si>
  <si>
    <t>Estação de Tunes</t>
  </si>
  <si>
    <t>Tunes, Silves</t>
  </si>
  <si>
    <t>Entroncamento Linha Sul/Algarve; dormitórios; 24h</t>
  </si>
  <si>
    <t>Linha ferroviária Estação de Tunes em Tunes. Percurso histórico com estações preservadas que guardam a memória da Era do Vapor e da expansão da rede ferroviária em Portugal.</t>
  </si>
  <si>
    <t>Estação de Albufeira-Ferreiras</t>
  </si>
  <si>
    <t>Ferreiras, Albufeira</t>
  </si>
  <si>
    <t>Telhados quatro águas; interface massiva turismo costeiro</t>
  </si>
  <si>
    <t>Património ferroviário de Ferreiras: Telhados quatro águas; interface massiva turismo costeiro. Testemunho da história industrial e dos transportes portugueses, Gratuito, de valor histórico e arquitectónico excepcional.</t>
  </si>
  <si>
    <t>+351 289 572 691</t>
  </si>
  <si>
    <t>Ponte Metálica de Portimão</t>
  </si>
  <si>
    <t>Rio Arade, Portimão</t>
  </si>
  <si>
    <t>Treliça ferro forjado; vãos múltiplos; vista estuário</t>
  </si>
  <si>
    <t>Património ferroviário de Rio Arade: Treliça ferro forjado; vãos múltiplos; vista estuário. Testemunho da história industrial e dos transportes portugueses, N/A, de valor histórico e arquitectónico excepcional.</t>
  </si>
  <si>
    <t>Estação de Loulé</t>
  </si>
  <si>
    <t>Estação Loulé-Quarteira</t>
  </si>
  <si>
    <t>Imponente; azulejaria etnográfica; cruzamento mercadorias</t>
  </si>
  <si>
    <t>Património ferroviário de Estação Loulé-Quarteira: Imponente; azulejaria etnográfica; cruzamento mercadorias. Testemunho da história industrial e dos transportes portugueses, Gratuito, de valor histórico e arquitectónico excepcional.</t>
  </si>
  <si>
    <t>Apeadeiro de Fuseta-A</t>
  </si>
  <si>
    <t>Fuseta, Olhão</t>
  </si>
  <si>
    <t>Caiado; beiral trabalhado; azulejos utilitários; Ria Formosa</t>
  </si>
  <si>
    <t>Património ferroviário de Fuseta: Caiado; beiral trabalhado; azulejos utilitários; Ria Formosa. Testemunho da história industrial e dos transportes portugueses, Gratuito, de valor histórico e arquitectónico excepcional.</t>
  </si>
  <si>
    <t>Estação de Castro Marim</t>
  </si>
  <si>
    <t>Azulejos salinas e castelo; sapal preservado</t>
  </si>
  <si>
    <t>Património ferroviário de Sapal de Castro Marim: Azulejos salinas e castelo; sapal preservado. Testemunho da história industrial e dos transportes portugueses, Gratuito, de valor histórico e arquitectónico excepcional.</t>
  </si>
  <si>
    <t>Estação de Cacela</t>
  </si>
  <si>
    <t>Azulejos fauna e flora; edifício muito bem cuidado; citrinos</t>
  </si>
  <si>
    <t>Património ferroviário de Vila Nova de Cacela: Azulejos fauna e flora; edifício muito bem cuidado; citrinos. Testemunho da história industrial e dos transportes portugueses, Gratuito, de valor histórico e arquitectónico excepcional.</t>
  </si>
  <si>
    <t>Estação de Conceição (Tavira)</t>
  </si>
  <si>
    <t>Conceição de Tavira</t>
  </si>
  <si>
    <t>Azulejos polícromos; jardins com buganvílias</t>
  </si>
  <si>
    <t>Património ferroviário de Conceição de Tavira: Azulejos polícromos; jardins com buganvílias. Testemunho da história industrial e dos transportes portugueses, Gratuito, de valor histórico e arquitectónico excepcional.</t>
  </si>
  <si>
    <t>Apeadeiro de Luz de Tavira</t>
  </si>
  <si>
    <t>Luz de Tavira</t>
  </si>
  <si>
    <t>Cenas campestres; telhado tesoura; escala humana</t>
  </si>
  <si>
    <t>Património ferroviário de Luz de Tavira: Cenas campestres; telhado tesoura; escala humana. Testemunho da história industrial e dos transportes portugueses, Gratuito, de valor histórico e arquitectónico excepcional.</t>
  </si>
  <si>
    <t>Estação de Estômbar-Lagoa</t>
  </si>
  <si>
    <t>Monumental; azulejos olaria e vinho; acesso Benagil</t>
  </si>
  <si>
    <t>Património ferroviário de Estômbar: Monumental; azulejos olaria e vinho; acesso Benagil. Testemunho da história industrial e dos transportes portugueses, Gratuito, de valor histórico e arquitectónico excepcional.</t>
  </si>
  <si>
    <t>Estação de Messines-Alte</t>
  </si>
  <si>
    <t>S. Bartolomeu de Messines</t>
  </si>
  <si>
    <t>Azulejos João de Deus; interface Via Algarviana</t>
  </si>
  <si>
    <t>Património ferroviário de S. Bartolomeu de Messines: Azulejos João de Deus; interface Via Algarviana. Testemunho da história industrial e dos transportes portugueses, Gratuito, de valor histórico e arquitectónico excepcional.</t>
  </si>
  <si>
    <t>Estação de Boliqueime</t>
  </si>
  <si>
    <t>Boliqueime Gare</t>
  </si>
  <si>
    <t>Moinhos e barrocal; branco e azul; jardins mediterrânicos</t>
  </si>
  <si>
    <t>Património ferroviário de Boliqueime Gare: Moinhos e barrocal; branco e azul; jardins mediterrânicos. Testemunho da história industrial e dos transportes portugueses, Gratuito, de valor histórico e arquitectónico excepcional.</t>
  </si>
  <si>
    <t>Apeadeiro de Meia Praia (Lagos)</t>
  </si>
  <si>
    <t>Minimalista; acesso direto duna; surfistas</t>
  </si>
  <si>
    <t>Património ferroviário de Meia Praia: Minimalista; acesso direto duna; surfistas. Testemunho da história industrial e dos transportes portugueses, Gratuito, de valor histórico e arquitectónico excepcional.</t>
  </si>
  <si>
    <t>Estação de Messines (Portela, Desativada)</t>
  </si>
  <si>
    <t>Portela, Messines</t>
  </si>
  <si>
    <t>Granito e cal; arquitetura montanha; memória traçado antigo</t>
  </si>
  <si>
    <t>Património ferroviário de Portela: Granito e cal; arquitetura montanha; memória traçado antigo. Testemunho da história industrial e dos transportes portugueses, Gratuito, de valor histórico e arquitectónico excepcional.</t>
  </si>
  <si>
    <t>Cais de Transbordo de Mercadorias de Olhão</t>
  </si>
  <si>
    <t>Porto de Pesca de Olhão</t>
  </si>
  <si>
    <t>Guindastes históricos; linhas no cais; apoio conserveira</t>
  </si>
  <si>
    <t>Linha ferroviária Cais de Transbordo de Mercadorias de Olhão em Porto de Pesca de Olhão. Percurso histórico com estações preservadas que guardam a memória da Era do Vapor e da expansão da rede ferroviária em Portugal.</t>
  </si>
  <si>
    <t>Estação de Alcantarilha-Armação de Pêra</t>
  </si>
  <si>
    <t>Alcantarilha Gare</t>
  </si>
  <si>
    <t>Armações pesca; edifício simétrico; turismo família</t>
  </si>
  <si>
    <t>Património ferroviário de Alcantarilha Gare: Armações pesca; edifício simétrico; turismo família. Testemunho da história industrial e dos transportes portugueses, Gratuito, de valor histórico e arquitectónico excepcional.</t>
  </si>
  <si>
    <t>Ponte Ferroviária de Santa Maria (Tavira)</t>
  </si>
  <si>
    <t>Rio Gilão, Tavira</t>
  </si>
  <si>
    <t>Centro histórico; pilares pedra; uso ativo</t>
  </si>
  <si>
    <t>Património ferroviário de Rio Gilão: Centro histórico; pilares pedra; uso ativo. Testemunho da história industrial e dos transportes portugueses, N/A, de valor histórico e arquitectónico excepcional.</t>
  </si>
  <si>
    <t>Apeadeiro de Bom João (Faro)</t>
  </si>
  <si>
    <t>Bom João, Faro</t>
  </si>
  <si>
    <t>Sobre a duna Ria Formosa; 360º sapal</t>
  </si>
  <si>
    <t>Património ferroviário de Bom João: Sobre a duna Ria Formosa; 360º sapal. Testemunho da história industrial e dos transportes portugueses, Gratuito, de valor histórico e arquitectónico excepcional.</t>
  </si>
  <si>
    <t>Estação de Algoz</t>
  </si>
  <si>
    <t>Algoz, Silves</t>
  </si>
  <si>
    <t>Cereais e alfarroba; neoclássico; cruzamento regional</t>
  </si>
  <si>
    <t>Património ferroviário de Algoz: Cereais e alfarroba; neoclássico; cruzamento regional. Testemunho da história industrial e dos transportes portugueses, Gratuito, de valor histórico e arquitectónico excepcional.</t>
  </si>
  <si>
    <t>Estação de Almansil</t>
  </si>
  <si>
    <t>Almansil</t>
  </si>
  <si>
    <t>Azulejos Igreja S. Lourenço; jardins buxo</t>
  </si>
  <si>
    <t>Património ferroviário de Almansil: Azulejos Igreja S. Lourenço; jardins buxo. Testemunho da história industrial e dos transportes portugueses, Gratuito, de valor histórico e arquitectónico excepcional.</t>
  </si>
  <si>
    <t>Apeadeiro de Marim (Olhão)</t>
  </si>
  <si>
    <t>Quinta de Marim, Olhão</t>
  </si>
  <si>
    <t>Madeira e alvenaria; Pinhal Marim; Ria Formosa</t>
  </si>
  <si>
    <t>Património ferroviário de Quinta de Marim: Madeira e alvenaria; Pinhal Marim; Ria Formosa. Testemunho da história industrial e dos transportes portugueses, Gratuito, de valor histórico e arquitectónico excepcional.</t>
  </si>
  <si>
    <t>Apeadeiro de Livramento (Tavira)</t>
  </si>
  <si>
    <t>Livramento, Tavira</t>
  </si>
  <si>
    <t>Azulejos rurais; muito bem conservada; jardins algarvios</t>
  </si>
  <si>
    <t>Património ferroviário de Livramento: Azulejos rurais; muito bem conservada; jardins algarvios. Testemunho da história industrial e dos transportes portugueses, Gratuito, de valor histórico e arquitectónico excepcional.</t>
  </si>
  <si>
    <t>Estação de Monte Gordo</t>
  </si>
  <si>
    <t>Monte Gordo</t>
  </si>
  <si>
    <t>Azuis e brancos; interface pinhal Monte Gordo; balnear</t>
  </si>
  <si>
    <t>Património ferroviário de Monte Gordo: Azuis e brancos; interface pinhal Monte Gordo; balnear. Testemunho da história industrial e dos transportes portugueses, Gratuito, de valor histórico e arquitectónico excepcional.</t>
  </si>
  <si>
    <t>Estação de Mexilhoeira Grande</t>
  </si>
  <si>
    <t>Mexilhoeira Grande</t>
  </si>
  <si>
    <t>Azulejos motivos geométricos e rurais; Ria do Alvor</t>
  </si>
  <si>
    <t>Património ferroviário de Mexilhoeira Grande: Azulejos motivos geométricos e rurais; Ria do Alvor. Testemunho da história industrial e dos transportes portugueses, Gratuito, de valor histórico e arquitectónico excepcional.</t>
  </si>
  <si>
    <t>Estação de Ferragudo (Parchal)</t>
  </si>
  <si>
    <t>Parchal, Lagoa</t>
  </si>
  <si>
    <t>Azulejos Castelo de S. João do Arade; vista para o rio</t>
  </si>
  <si>
    <t>Património ferroviário de Parchal: Azulejos Castelo de S. João do Arade; vista para o rio. Testemunho da história industrial e dos transportes portugueses, Gratuito, de valor histórico e arquitectónico excepcional.</t>
  </si>
  <si>
    <t>Oficinas de Material Circulante (Faro)</t>
  </si>
  <si>
    <t>Terminal de Faro</t>
  </si>
  <si>
    <t>Cocheiras automotoras Allan; depósitos combustível históricos</t>
  </si>
  <si>
    <t>Sob consulta técnica</t>
  </si>
  <si>
    <t>Património ferroviário de Terminal de Faro: Cocheiras automotoras Allan; depósitos combustível históricos. Testemunho da história industrial e dos transportes portugueses, N/A, de valor histórico e arquitectónico excepcional.</t>
  </si>
  <si>
    <t>Estação de Guia (Desativada)</t>
  </si>
  <si>
    <t>Vale de Parra, Guia</t>
  </si>
  <si>
    <t>Edifício ruína preservada; cais carga pedra; barrocal</t>
  </si>
  <si>
    <t>Património ferroviário de Vale de Parra: Edifício ruína preservada; cais carga pedra; barrocal. Testemunho da história industrial e dos transportes portugueses, Gratuito, de valor histórico e arquitectónico excepcional.</t>
  </si>
  <si>
    <t>Ponte Ferroviária de Tavira — Gilão Poente</t>
  </si>
  <si>
    <t>Treliça metálica; pilares pedra talhada; percurso em curva sobre salinas</t>
  </si>
  <si>
    <t>Património ferroviário de Salinas de Tavira: Treliça metálica; pilares pedra talhada; percurso em curva sobre salinas. Testemunho da história industrial e dos transportes portugueses, N/A, de valor histórico e arquitectónico excepcional.</t>
  </si>
  <si>
    <t>Apeadeiro de Patã (Desativado)</t>
  </si>
  <si>
    <t>Patã de Baixo</t>
  </si>
  <si>
    <t>Arquitetura miniatural; pinhal; memória expansão turística</t>
  </si>
  <si>
    <t>Património ferroviário de Patã de Baixo: Arquitetura miniatural; pinhal; memória expansão turística. Testemunho da história industrial e dos transportes portugueses, Gratuito, de valor histórico e arquitectónico excepcional.</t>
  </si>
  <si>
    <t>Apeadeiro de Odiaxere</t>
  </si>
  <si>
    <t>Odiaxere, Lagos</t>
  </si>
  <si>
    <t>Azulejos moinhos de vento; várzea de Odiaxere</t>
  </si>
  <si>
    <t>Património ferroviário de Odiaxere: Azulejos moinhos de vento; várzea de Odiaxere. Testemunho da história industrial e dos transportes portugueses, Gratuito, de valor histórico e arquitectónico excepcional.</t>
  </si>
  <si>
    <t>Estação de Boliqueime (Mercadorias)</t>
  </si>
  <si>
    <t>Zona Industrial Boliqueime</t>
  </si>
  <si>
    <t>Torre vigia histórica; silos armazenamento; industrial funcional</t>
  </si>
  <si>
    <t>Património ferroviário de Zona Industrial Boliqueime: Torre vigia histórica; silos armazenamento; industrial funcional. Testemunho da história industrial e dos transportes portugueses, N/A, de valor histórico e arquitectónico excepcional.</t>
  </si>
  <si>
    <t>Estação de Cacela (Cais de Carga)</t>
  </si>
  <si>
    <t>Cais elevado pedra; armazéns madeira; exportação cortiça barrocal</t>
  </si>
  <si>
    <t>Património ferroviário de Vila Nova de Cacela: Cais elevado pedra; armazéns madeira; exportação cortiça barrocal. Testemunho da história industrial e dos transportes portugueses, Gratuito, de valor histórico e arquitectónico excepcional.</t>
  </si>
  <si>
    <t>Ponte Ferroviária de Alcoutim (Inacabada)</t>
  </si>
  <si>
    <t>Ribeira de Cadavais, Alcoutim</t>
  </si>
  <si>
    <t>Pilares alvenaria monumental que nunca suportaram carris; monumento ao sonho ferroviário</t>
  </si>
  <si>
    <t>Visível (caminhadas)</t>
  </si>
  <si>
    <t>Património ferroviário de Ribeira de Cadavais: Pilares alvenaria monumental que nunca suportaram carris; monumento ao sonho ferroviário. Testemunho da história industrial e dos transportes portugueses, Gratuito, de valor histórico e arquitectónico excepcional.</t>
  </si>
  <si>
    <t>Locomotiva Maria Alice (Ponta Delgada)</t>
  </si>
  <si>
    <t>Av. Infante D. Henrique, Ponta Delgada</t>
  </si>
  <si>
    <t>Locomotiva bitola larga 2.14m única; construção molhe 1861-1973</t>
  </si>
  <si>
    <t>Monumento Público</t>
  </si>
  <si>
    <t>Património ferroviário de Av. Infante D. Henrique: Locomotiva bitola larga 2.14m única; construção molhe 1861-1973. Testemunho da história industrial e dos transportes portugueses, Gratuito, de valor histórico e arquitectónico excepcional.</t>
  </si>
  <si>
    <t>Oficinas do Porto de Ponta Delgada</t>
  </si>
  <si>
    <t>Porto de Ponta Delgada</t>
  </si>
  <si>
    <t>Cantaria basáltica negra; portões vagonetas; industrial portuário</t>
  </si>
  <si>
    <t>Património ferroviário de Porto de Ponta Delgada: Cantaria basáltica negra; portões vagonetas; industrial portuário. Testemunho da história industrial e dos transportes portugueses, N/A, de valor histórico e arquitectónico excepcional.</t>
  </si>
  <si>
    <t>Caminho de Ferro Porto de Angra (Terceira)</t>
  </si>
  <si>
    <t>Baía de Angra do Heroísmo</t>
  </si>
  <si>
    <t>Traçado marginal preservado; vagonetas históricas expostas</t>
  </si>
  <si>
    <t>Património ferroviário de Baía de Angra do Heroísmo: Traçado marginal preservado; vagonetas históricas expostas. Testemunho da história industrial e dos transportes portugueses, Gratuito, de valor histórico e arquitectónico excepcional.</t>
  </si>
  <si>
    <t>Linha da construção Porto da Horta (Faial)</t>
  </si>
  <si>
    <t>Porto da Horta</t>
  </si>
  <si>
    <t>Vestígios carris no molhe; locomotivas bitola larga</t>
  </si>
  <si>
    <t>Zona Portuária</t>
  </si>
  <si>
    <t>Património ferroviário de Porto da Horta: Vestígios carris no molhe; locomotivas bitola larga. Testemunho da história industrial e dos transportes portugueses, Gratuito, de valor histórico e arquitectónico excepcional.</t>
  </si>
  <si>
    <t>Pedreira da Silveira — Linha de Apoio (Terceira)</t>
  </si>
  <si>
    <t>Silveira, Angra do Heroísmo</t>
  </si>
  <si>
    <t>Frente extração; rampa lançamento vagonetas; vestígios via</t>
  </si>
  <si>
    <t>Património ferroviário de Silveira: Frente extração; rampa lançamento vagonetas; vestígios via. Testemunho da história industrial e dos transportes portugueses, Gratuito, de valor histórico e arquitectónico excepcional.</t>
  </si>
  <si>
    <t xml:space="preserve">  🟫  MADEIRA  ·  5 entradas</t>
  </si>
  <si>
    <t>Antiga Estação do Pombal (Funchal)</t>
  </si>
  <si>
    <t>Rua do Pombal, Funchal</t>
  </si>
  <si>
    <t>Arquitetura romântica; base Caminho de Ferro Monte 1893-1943; rampa cremalheira</t>
  </si>
  <si>
    <t>Exterior (Visível)</t>
  </si>
  <si>
    <t>Património ferroviário de Rua do Pombal: Arquitetura romântica; base Caminho de Ferro Monte 1893-1943; rampa cremalheira. Testemunho da história industrial e dos transportes portugueses, Gratuito, de valor histórico e arquitectónico excepcional.</t>
  </si>
  <si>
    <t>Estação do Monte (Desativada)</t>
  </si>
  <si>
    <t>Caminho de Ferro, Monte</t>
  </si>
  <si>
    <t>Alvenaria pedra; plataforma inversão marcha; Jardim do Monte</t>
  </si>
  <si>
    <t>Património ferroviário de Caminho de Ferro: Alvenaria pedra; plataforma inversão marcha; Jardim do Monte. Testemunho da história industrial e dos transportes portugueses, Gratuito, de valor histórico e arquitectónico excepcional.</t>
  </si>
  <si>
    <t>Túnel do Monte (Funchal)</t>
  </si>
  <si>
    <t>Caminho do Monte, Funchal</t>
  </si>
  <si>
    <t>Abóbada pedra em curva; percursos pedonais urbanos</t>
  </si>
  <si>
    <t>Património ferroviário de Caminho do Monte: Abóbada pedra em curva; percursos pedonais urbanos. Testemunho da história industrial e dos transportes portugueses, Gratuito, de valor histórico e arquitectónico excepcional.</t>
  </si>
  <si>
    <t>Oficinas do Caminho de Ferro (Funchal)</t>
  </si>
  <si>
    <t>Rua Ribeira de João Gomes</t>
  </si>
  <si>
    <t>Industrial séc. XIX; janelas arco; adaptadas a fins urbanos</t>
  </si>
  <si>
    <t>Património ferroviário de Rua Ribeira de João Gomes: Industrial séc. XIX; janelas arco; adaptadas a fins urbanos. Testemunho da história industrial e dos transportes portugueses, Gratuito, de valor histórico e arquitectónico excepcional.</t>
  </si>
  <si>
    <t>Carris do Porto do Funchal (Vestígios)</t>
  </si>
  <si>
    <t>Porto do Funchal, Pontinha</t>
  </si>
  <si>
    <t>Carris embutidos no cais; vagonetas transporte blocos betão</t>
  </si>
  <si>
    <t>Património ferroviário de Porto do Funchal: Carris embutidos no cais; vagonetas transporte blocos betão. Testemunho da história industrial e dos transportes portugueses, Gratuito, de valor histórico e arquitectónico excepcional.</t>
  </si>
  <si>
    <t>🚂  203 entradas  ·  Portugal Vivo</t>
  </si>
  <si>
    <t>🎨  ARTE URBANA E INTERVENÇÃO  —  45 entradas</t>
  </si>
  <si>
    <t>Norte · Centro · Lisboa · Alentejo · Algarve · Açores · Madeira  ·  Murais, Street Art, Instalações e Azulejaria Contemporânea</t>
  </si>
  <si>
    <t>Nome / Obra</t>
  </si>
  <si>
    <t xml:space="preserve">  🟦  NORTE  ·  45 entradas</t>
  </si>
  <si>
    <t>Nobre e Leal</t>
  </si>
  <si>
    <t>Mr. Dheo</t>
  </si>
  <si>
    <t>Estação Trindade, Porto</t>
  </si>
  <si>
    <t>Homenagem à resiliência do Porto; mural fotorrealista na Baixa</t>
  </si>
  <si>
    <t>Obra de arte urbana 'Nobre e Leal' por Mr. Dheo em Norte. Homenagem à resiliência do Porto; mural fotorrealista na Baixa</t>
  </si>
  <si>
    <t>Half Rabbit</t>
  </si>
  <si>
    <t>Bordalo II</t>
  </si>
  <si>
    <t>Rua Guilherme Gomes Fernandes, Gaia</t>
  </si>
  <si>
    <t>Escultura 3D de lixo alertando para o desperdício</t>
  </si>
  <si>
    <t>Obra de arte urbana 'Half Rabbit' por Bordalo II em Norte. Escultura 3D de lixo alertando para o desperdício</t>
  </si>
  <si>
    <t>Rostos do Mar (Lota de Matosinhos)</t>
  </si>
  <si>
    <t>Vhils</t>
  </si>
  <si>
    <t>Av. Eng. Duarte Pacheco</t>
  </si>
  <si>
    <t>Rostos esculpidos em betão; homenagem à comunidade piscatória</t>
  </si>
  <si>
    <t>Obra de arte urbana 'Rostos do Mar (Lota de Matosinhos)' por Vhils em Norte. Rostos esculpidos em betão; homenagem à comunidade piscatória</t>
  </si>
  <si>
    <t>Arte Digital e Murais (GNRation)</t>
  </si>
  <si>
    <t>Praça Conde de Agrolongo</t>
  </si>
  <si>
    <t>Arte digital em espaço criativo multicultural</t>
  </si>
  <si>
    <t>Obra de arte urbana 'Arte Digital e Murais (GNRation)' por Vários em Norte. Arte digital em espaço criativo multicultural</t>
  </si>
  <si>
    <t>SM'ARTE Festival</t>
  </si>
  <si>
    <t>Festival</t>
  </si>
  <si>
    <t>Rua da República</t>
  </si>
  <si>
    <t>Festival de arte urbana no centro histórico transmontano</t>
  </si>
  <si>
    <t>Obra de arte urbana 'SM'ARTE Festival' por Festival em Norte. Festival de arte urbana no centro histórico transmontano</t>
  </si>
  <si>
    <t>Intervenção Côa Parque</t>
  </si>
  <si>
    <t>Artistas Residentes</t>
  </si>
  <si>
    <t>V.N. Foz Côa</t>
  </si>
  <si>
    <t>Museu do Côa</t>
  </si>
  <si>
    <t>Arte contemporânea em diálogo com arte rupestre do Paleolítico</t>
  </si>
  <si>
    <t>Obra de arte urbana 'Intervenção Côa Parque' por Artistas Residentes em Norte. Arte contemporânea em diálogo com arte rupestre do Paleolítico</t>
  </si>
  <si>
    <t>MIEC — Escultura ao Ar Livre</t>
  </si>
  <si>
    <t>Parque D. Maria II</t>
  </si>
  <si>
    <t>Museu internacional de escultura contemporânea ao ar livre</t>
  </si>
  <si>
    <t>Obra de arte urbana 'MIEC — Escultura ao Ar Livre' por Vários em Norte. Museu internacional de escultura contemporânea ao ar livre</t>
  </si>
  <si>
    <t>Murais de Reabilitação (Zona de Couros)</t>
  </si>
  <si>
    <t>Zona de Couros</t>
  </si>
  <si>
    <t>Murais em zona de reabilitação urbana ligada ao curtume</t>
  </si>
  <si>
    <t>Obra de arte urbana 'Murais de Reabilitação (Zona de Couros)' por Vários em Norte. Murais em zona de reabilitação urbana ligada ao curtume</t>
  </si>
  <si>
    <t>Arte Marítima</t>
  </si>
  <si>
    <t>Marginal de Esposende</t>
  </si>
  <si>
    <t>Intervenções artísticas com temáticas costeiras e marítimas</t>
  </si>
  <si>
    <t>Obra de arte urbana 'Arte Marítima' por Vários em Norte. Intervenções artísticas com temáticas costeiras e marítimas</t>
  </si>
  <si>
    <t>WOOL — The Owl</t>
  </si>
  <si>
    <t>Rua do Norte, Covilhã</t>
  </si>
  <si>
    <t>Ícone da Covilhã; fauna Serra Estrela com resíduos têxteis</t>
  </si>
  <si>
    <t>Obra de arte urbana 'WOOL — The Owl' por Bordalo II em Centro. Ícone da Covilhã; fauna Serra Estrela com resíduos têxteis</t>
  </si>
  <si>
    <t>ESTAU — Guarda-Rios</t>
  </si>
  <si>
    <t>Rua Dr. Alberto Souto</t>
  </si>
  <si>
    <t>Mural que integra natureza da Ria de Aveiro na malha urbana</t>
  </si>
  <si>
    <t>Obra de arte urbana 'ESTAU — Guarda-Rios' por Bordalo II em Centro. Mural que integra natureza da Ria de Aveiro na malha urbana</t>
  </si>
  <si>
    <t>Silos Contentor</t>
  </si>
  <si>
    <t>D. Eime</t>
  </si>
  <si>
    <t>Rua de Camões</t>
  </si>
  <si>
    <t>Intervenção em silos industriais; stencil e retrato expressivo</t>
  </si>
  <si>
    <t>Obra de arte urbana 'Silos Contentor' por D. Eime em Centro. Intervenção em silos industriais; stencil e retrato expressivo</t>
  </si>
  <si>
    <t>Bairro da Balsa (AkaCorleone)</t>
  </si>
  <si>
    <t>AkaCorleone</t>
  </si>
  <si>
    <t>Bairro da Balsa</t>
  </si>
  <si>
    <t>Arte urbana de regeneração em bairro histórico de Viseu</t>
  </si>
  <si>
    <t>Obra de arte urbana 'Bairro da Balsa (AkaCorleone)' por AkaCorleone em Centro. Arte urbana de regeneração em bairro histórico de Viseu</t>
  </si>
  <si>
    <t>Fusing Culture Experience</t>
  </si>
  <si>
    <t>Forte de Santa Catarina</t>
  </si>
  <si>
    <t>Festival de arte urbana na zona histórica costeira</t>
  </si>
  <si>
    <t>Obra de arte urbana 'Fusing Culture Experience' por Vários em Centro. Festival de arte urbana na zona histórica costeira</t>
  </si>
  <si>
    <t>Arte nos Canais de Aveiro</t>
  </si>
  <si>
    <t>Cais dos Botirões</t>
  </si>
  <si>
    <t>Intervenções ao longo dos canais inspiradas nos moliceiros</t>
  </si>
  <si>
    <t>Obra de arte urbana 'Arte nos Canais de Aveiro' por Vários em Centro. Intervenções ao longo dos canais inspiradas nos moliceiros</t>
  </si>
  <si>
    <t>180 Creative Camp</t>
  </si>
  <si>
    <t>Festival de residências artísticas no Médio Tejo</t>
  </si>
  <si>
    <t>Obra de arte urbana '180 Creative Camp' por Vários em Centro. Festival de residências artísticas no Médio Tejo</t>
  </si>
  <si>
    <t>Umbrella Sky &amp; 3D Art</t>
  </si>
  <si>
    <t>Rua Luís de Camões</t>
  </si>
  <si>
    <t>Instalação de guarda-chuvas coloridos em rua pedonal</t>
  </si>
  <si>
    <t>Obra de arte urbana 'Umbrella Sky &amp; 3D Art' por Vários em Centro. Instalação de guarda-chuvas coloridos em rua pedonal</t>
  </si>
  <si>
    <t>Land Art (Xisto)</t>
  </si>
  <si>
    <t>Coletivo</t>
  </si>
  <si>
    <t>Aldeia da Barroca</t>
  </si>
  <si>
    <t>Centro Dinamizador</t>
  </si>
  <si>
    <t>Arte de terra em aldeia de xisto revitalizada</t>
  </si>
  <si>
    <t>Obra de arte urbana 'Land Art (Xisto)' por Coletivo em Centro. Arte de terra em aldeia de xisto revitalizada</t>
  </si>
  <si>
    <t>O Muro — Quinta do Mocho</t>
  </si>
  <si>
    <t>Vários (Internacional)</t>
  </si>
  <si>
    <t>Loures</t>
  </si>
  <si>
    <t>Rua de Timor, Quinta do Mocho</t>
  </si>
  <si>
    <t>Galeria ao ar livre com dezenas de murais de artistas mundiais</t>
  </si>
  <si>
    <t>Obra de arte urbana 'O Muro — Quinta do Mocho' por Vários (Internacional) em Lisboa. Galeria ao ar livre com dezenas de murais de artistas mundiais</t>
  </si>
  <si>
    <t>Festival Arte Urbana Marvila</t>
  </si>
  <si>
    <t>Bairro das Amendoeiras</t>
  </si>
  <si>
    <t>Festival em bairro industrial reconvertido à arte e cultura</t>
  </si>
  <si>
    <t>Obra de arte urbana 'Festival Arte Urbana Marvila' por Vários em Lisboa. Festival em bairro industrial reconvertido à arte e cultura</t>
  </si>
  <si>
    <t>Calçada do Menino Deus, Alfama</t>
  </si>
  <si>
    <t>Calçada portuguesa escavada; Fado e tradição do empedrado</t>
  </si>
  <si>
    <t>Obra de arte urbana 'Amália Rodrigues' por Vhils em Lisboa. Calçada portuguesa escavada; Fado e tradição do empedrado</t>
  </si>
  <si>
    <t>Big Raccoon</t>
  </si>
  <si>
    <t>Traseiras do CCB, Belém</t>
  </si>
  <si>
    <t>Guaxinim gigante que observa quem chega à zona monumental</t>
  </si>
  <si>
    <t>Obra de arte urbana 'Big Raccoon' por Bordalo II em Lisboa. Guaxinim gigante que observa quem chega à zona monumental</t>
  </si>
  <si>
    <t>Arte Industrial (Cacilhas)</t>
  </si>
  <si>
    <t>Cacilhas</t>
  </si>
  <si>
    <t>Intervenções industriais em antigas fábricas e armazéns</t>
  </si>
  <si>
    <t>Obra de arte urbana 'Arte Industrial (Cacilhas)' por Vários em Lisboa. Intervenções industriais em antigas fábricas e armazéns</t>
  </si>
  <si>
    <t>Vhils — Baía do Tejo</t>
  </si>
  <si>
    <t>Antiga zona CUF</t>
  </si>
  <si>
    <t>Rostos na antiga zona industrial da CUF junto ao Tejo</t>
  </si>
  <si>
    <t>Obra de arte urbana 'Vhils — Baía do Tejo' por Vhils em Lisboa. Rostos na antiga zona industrial da CUF junto ao Tejo</t>
  </si>
  <si>
    <t>Murais Subtis — Évora UNESCO</t>
  </si>
  <si>
    <t>Artistas Locais</t>
  </si>
  <si>
    <t>Pátio do Salema</t>
  </si>
  <si>
    <t>Murais que respeitam a cal branca e o contexto UNESCO</t>
  </si>
  <si>
    <t>Obra de arte urbana 'Murais Subtis — Évora UNESCO' por Artistas Locais em Alentejo. Murais que respeitam a cal branca e o contexto UNESCO</t>
  </si>
  <si>
    <t>Intervenção Alqueva</t>
  </si>
  <si>
    <t>Coletivos</t>
  </si>
  <si>
    <t>Envolvência Barragem Alqueva</t>
  </si>
  <si>
    <t>Murais em muros e barragens humanizando a paisagem árida</t>
  </si>
  <si>
    <t>Obra de arte urbana 'Intervenção Alqueva' por Coletivos em Alentejo. Murais em muros e barragens humanizando a paisagem árida</t>
  </si>
  <si>
    <t>Murais da Planície</t>
  </si>
  <si>
    <t>Rua do Sembrano</t>
  </si>
  <si>
    <t>Murais que dialogam com a imensidão da planície alentejana</t>
  </si>
  <si>
    <t>Obra de arte urbana 'Murais da Planície' por Artistas Locais em Alentejo. Murais que dialogam com a imensidão da planície alentejana</t>
  </si>
  <si>
    <t>Arte Community-led</t>
  </si>
  <si>
    <t>S. Luís (Aldeia Criativa)</t>
  </si>
  <si>
    <t>Arte comunitária numa aldeia criativa do litoral alentejano</t>
  </si>
  <si>
    <t>Obra de arte urbana 'Arte Community-led' por Coletivo em Alentejo. Arte comunitária numa aldeia criativa do litoral alentejano</t>
  </si>
  <si>
    <t>Trilho da Arte — Barão de S. João</t>
  </si>
  <si>
    <t>Coletivo Barão</t>
  </si>
  <si>
    <t>Mata Nacional Barão de S. João</t>
  </si>
  <si>
    <t>Galeria na floresta; esculturas em madeira entre vegetação</t>
  </si>
  <si>
    <t>Obra de arte urbana 'Trilho da Arte — Barão de S. João' por Coletivo Barão em Algarve. Galeria na floresta; esculturas em madeira entre vegetação</t>
  </si>
  <si>
    <t>ARTURb Lagos</t>
  </si>
  <si>
    <t>LAC Laboratório Actividades Criativas</t>
  </si>
  <si>
    <t>Festival de arte urbana integrado em espaço cultural de Lagos</t>
  </si>
  <si>
    <t>Obra de arte urbana 'ARTURb Lagos' por Vários em Algarve. Festival de arte urbana integrado em espaço cultural de Lagos</t>
  </si>
  <si>
    <t>Mural da Ria</t>
  </si>
  <si>
    <t>Muralhas de Faro</t>
  </si>
  <si>
    <t>Mural monumental sobre as muralhas históricas de Faro</t>
  </si>
  <si>
    <t>Obra de arte urbana 'Mural da Ria' por Vários em Algarve. Mural monumental sobre as muralhas históricas de Faro</t>
  </si>
  <si>
    <t>Tremor Art — Vulcão Criativo</t>
  </si>
  <si>
    <t>Residências artísticas em cenários vulcânicos; rocha basáltica como tela</t>
  </si>
  <si>
    <t>Obra de arte urbana 'Tremor Art — Vulcão Criativo' por Tremor em Açores. Residências artísticas em cenários vulcânicos; rocha basáltica como tela</t>
  </si>
  <si>
    <t>Portas Pintadas</t>
  </si>
  <si>
    <t>Rua de Santa Maria, Funchal</t>
  </si>
  <si>
    <t>Portas coloridas revitalizando o comércio da Zona Velha</t>
  </si>
  <si>
    <t>Obra de arte urbana 'Portas Pintadas' por Vários em Madeira. Portas coloridas revitalizando o comércio da Zona Velha</t>
  </si>
  <si>
    <t>Mural da Gafanha (Silos Ílhavo)</t>
  </si>
  <si>
    <t>Porto de Aveiro</t>
  </si>
  <si>
    <t>Intervenção monumental em silos portuários</t>
  </si>
  <si>
    <t>Obra de arte urbana 'Mural da Gafanha (Silos Ílhavo)' por Vários em Centro. Intervenção monumental em silos portuários</t>
  </si>
  <si>
    <t>Arte nos Moinhos de Barcelos</t>
  </si>
  <si>
    <t>Campo da República</t>
  </si>
  <si>
    <t>Reinterpretação contemporânea do Galo de Barcelos</t>
  </si>
  <si>
    <t>Obra de arte urbana 'Arte nos Moinhos de Barcelos' por Vários em Norte. Reinterpretação contemporânea do Galo de Barcelos</t>
  </si>
  <si>
    <t>Graffiti nos Armazéns</t>
  </si>
  <si>
    <t>Zona Ribeirinha, Vila do Conde</t>
  </si>
  <si>
    <t>Intervenções sobre antigos armazéns de pesca junto ao Rio Ave</t>
  </si>
  <si>
    <t>Obra de arte urbana 'Graffiti nos Armazéns' por Vários em Norte. Intervenções sobre antigos armazéns de pesca junto ao Rio Ave</t>
  </si>
  <si>
    <t>Murais do Rio</t>
  </si>
  <si>
    <t>Rua Cândido dos Reis, Amarante</t>
  </si>
  <si>
    <t>Arte urbana ao longo da margem do Tâmega; diálogo com a ponte medieval</t>
  </si>
  <si>
    <t>Obra de arte urbana 'Murais do Rio' por Vários em Norte. Arte urbana ao longo da margem do Tâmega; diálogo com a ponte medieval</t>
  </si>
  <si>
    <t>Arte dos Descobrimentos</t>
  </si>
  <si>
    <t>Marina de Viana do Castelo</t>
  </si>
  <si>
    <t>Murais marítimos junto à marina; temática dos Descobrimentos no Minho</t>
  </si>
  <si>
    <t>Obra de arte urbana 'Arte dos Descobrimentos' por Vários em Norte. Murais marítimos junto à marina; temática dos Descobrimentos no Minho</t>
  </si>
  <si>
    <t>Arte Industrial — Oliva Creative Factory</t>
  </si>
  <si>
    <t>São João da Madeira</t>
  </si>
  <si>
    <t>Oliva Creative Factory, SJM</t>
  </si>
  <si>
    <t>Centro de criatividade em antiga fábrica de metais; residências artísticas permanentes</t>
  </si>
  <si>
    <t>Obra de arte urbana 'Arte Industrial — Oliva Creative Factory' por Vários em Norte. Centro de criatividade em antiga fábrica de metais; residências artísticas permanentes</t>
  </si>
  <si>
    <t>Geopark Arte</t>
  </si>
  <si>
    <t>Intervenções de land art integradas na paisagem do Geopark Terras de Cavaleiros</t>
  </si>
  <si>
    <t>Obra de arte urbana 'Geopark Arte' por Vários em Norte. Intervenções de land art integradas na paisagem do Geopark Terras de Cavaleiros</t>
  </si>
  <si>
    <t>Baixa Criativa</t>
  </si>
  <si>
    <t>Praça do Comércio, Coimbra</t>
  </si>
  <si>
    <t>Murais na baixa histórica de Coimbra em diálogo com a arquitetura academica</t>
  </si>
  <si>
    <t>Obra de arte urbana 'Baixa Criativa' por Vários em Centro. Murais na baixa histórica de Coimbra em diálogo com a arquitetura academica</t>
  </si>
  <si>
    <t>Murais do Bordado</t>
  </si>
  <si>
    <t>Zona do Castelo, Castelo Branco</t>
  </si>
  <si>
    <t>Murais que reinterpretam os bordados regionais de Castelo Branco em grande formato</t>
  </si>
  <si>
    <t>Obra de arte urbana 'Murais do Bordado' por Vários em Centro. Murais que reinterpretam os bordados regionais de Castelo Branco em grande formato</t>
  </si>
  <si>
    <t>Arte na Gardunha</t>
  </si>
  <si>
    <t>Rua da Cumeada, Fundão</t>
  </si>
  <si>
    <t>Intervenções artísticas na serra da Gardunha integrando natureza e comunidade</t>
  </si>
  <si>
    <t>Obra de arte urbana 'Arte na Gardunha' por Vários em Centro. Intervenções artísticas na serra da Gardunha integrando natureza e comunidade</t>
  </si>
  <si>
    <t>Boom Festival — Rural Art</t>
  </si>
  <si>
    <t>Internacional</t>
  </si>
  <si>
    <t>Herdade da Granja, Idanha-a-Nova</t>
  </si>
  <si>
    <t>Festival bienal de arte, música e ambiente com intervenções rurais permanentes no território</t>
  </si>
  <si>
    <t>Obra de arte urbana 'Boom Festival — Rural Art' por Internacional em Centro. Festival bienal de arte, música e ambiente com intervenções rurais permanentes no território</t>
  </si>
  <si>
    <t>Rota do Rio Lis</t>
  </si>
  <si>
    <t>Percurso Polis, Leiria</t>
  </si>
  <si>
    <t>Arte urbana ao longo da requalificação urbana do Rio Lis; murais de artistas nacionais</t>
  </si>
  <si>
    <t>Obra de arte urbana 'Rota do Rio Lis' por Vários em Centro. Arte urbana ao longo da requalificação urbana do Rio Lis; murais de artistas nacionais</t>
  </si>
  <si>
    <t>🎨  45 entradas  ·  Portugal Vivo</t>
  </si>
  <si>
    <t>Nota de Segurança</t>
  </si>
  <si>
    <t>GPS PIN Exacto</t>
  </si>
  <si>
    <t>GPS Estacionamento</t>
  </si>
  <si>
    <t>Poço Azul</t>
  </si>
  <si>
    <t>Peneda-Gerês</t>
  </si>
  <si>
    <t>Corrente forte após chuva</t>
  </si>
  <si>
    <t>20m</t>
  </si>
  <si>
    <t>Baixo risco em época seca</t>
  </si>
  <si>
    <t>Cascata Tahiti</t>
  </si>
  <si>
    <t>15m</t>
  </si>
  <si>
    <t>Risco médio em chuva</t>
  </si>
  <si>
    <t>Portela do Homem</t>
  </si>
  <si>
    <t>8m</t>
  </si>
  <si>
    <t>Estacionar na EN308</t>
  </si>
  <si>
    <t>Cascata Pincães</t>
  </si>
  <si>
    <t>Caminho íngreme</t>
  </si>
  <si>
    <t>7 Lagoas</t>
  </si>
  <si>
    <t>Várias</t>
  </si>
  <si>
    <t>Trilho exigente 12km</t>
  </si>
  <si>
    <t>Cela Cavalos</t>
  </si>
  <si>
    <t>Acesso florestal</t>
  </si>
  <si>
    <t>Cascata Rajada</t>
  </si>
  <si>
    <t>12m</t>
  </si>
  <si>
    <t>Primavera</t>
  </si>
  <si>
    <t>Risco crítico após chuva</t>
  </si>
  <si>
    <t>Cascata Pincho</t>
  </si>
  <si>
    <t>10m</t>
  </si>
  <si>
    <t>Percurso fácil</t>
  </si>
  <si>
    <t>Poço da Gola</t>
  </si>
  <si>
    <t>Família</t>
  </si>
  <si>
    <t>Mizarela</t>
  </si>
  <si>
    <t>Serra do Açor</t>
  </si>
  <si>
    <t>75m</t>
  </si>
  <si>
    <t>A mais alta do Centro</t>
  </si>
  <si>
    <t>Poço do Inferno</t>
  </si>
  <si>
    <t>Inv/Pri</t>
  </si>
  <si>
    <t>Neve possível Out-Abr</t>
  </si>
  <si>
    <t>Fragas de S. Simão</t>
  </si>
  <si>
    <t>Praia fluvial</t>
  </si>
  <si>
    <t>Cascata Cabreia</t>
  </si>
  <si>
    <t>Serra de Caramulo</t>
  </si>
  <si>
    <t>25m</t>
  </si>
  <si>
    <t>Tejo</t>
  </si>
  <si>
    <t>Poço da Broca</t>
  </si>
  <si>
    <t>6m</t>
  </si>
  <si>
    <t>Estrada próxima</t>
  </si>
  <si>
    <t>Poço Monteira</t>
  </si>
  <si>
    <t>Junto a Manteigas</t>
  </si>
  <si>
    <t>Cascata Fórnea</t>
  </si>
  <si>
    <t>Serra de Aire</t>
  </si>
  <si>
    <t>Inverno</t>
  </si>
  <si>
    <t>Acesso por caminho</t>
  </si>
  <si>
    <t>14m</t>
  </si>
  <si>
    <t>PN Vale do Guadiana</t>
  </si>
  <si>
    <t>Poço da Cesta</t>
  </si>
  <si>
    <t>Pego Inferno</t>
  </si>
  <si>
    <t>3m</t>
  </si>
  <si>
    <t>Queda do Vigário</t>
  </si>
  <si>
    <t>24m</t>
  </si>
  <si>
    <t>Alte — praia fluvial</t>
  </si>
  <si>
    <t>Cascata Mourão</t>
  </si>
  <si>
    <t>Barbelote</t>
  </si>
  <si>
    <t>Água termal</t>
  </si>
  <si>
    <t>Poço Alagoinha</t>
  </si>
  <si>
    <t>Ribeira Quente</t>
  </si>
  <si>
    <t>Furnas</t>
  </si>
  <si>
    <t>Poço Bacalhau</t>
  </si>
  <si>
    <t>90m</t>
  </si>
  <si>
    <t>A mais alta das Flores</t>
  </si>
  <si>
    <t>Cascata Anjos</t>
  </si>
  <si>
    <t>Levada do Norte</t>
  </si>
  <si>
    <t>Poço Verde (Fafião)</t>
  </si>
  <si>
    <t>PN Bertiandos</t>
  </si>
  <si>
    <t>Cascata de Leonte</t>
  </si>
  <si>
    <t>18m</t>
  </si>
  <si>
    <t>Acesso por EN308</t>
  </si>
  <si>
    <t>Poço das Malheiras</t>
  </si>
  <si>
    <t>Cascata de Galegos</t>
  </si>
  <si>
    <t>Caminho pedestre</t>
  </si>
  <si>
    <t>Cascata da Candosa</t>
  </si>
  <si>
    <t>Chuva aumenta caudal</t>
  </si>
  <si>
    <t>Poço do Bento</t>
  </si>
  <si>
    <t>Trilho exigente</t>
  </si>
  <si>
    <t>Cascata de Laboreiro</t>
  </si>
  <si>
    <t>Junto à aldeia</t>
  </si>
  <si>
    <t>Fecha de Malho</t>
  </si>
  <si>
    <t>Rocha escorregadia</t>
  </si>
  <si>
    <t>Cascata da Gravia</t>
  </si>
  <si>
    <t>Percurso 2km</t>
  </si>
  <si>
    <t>Poço Negro (Soajo)</t>
  </si>
  <si>
    <t>Próximo do espigueiro</t>
  </si>
  <si>
    <t>Cascata da Laja</t>
  </si>
  <si>
    <t>Lagoa dos Druidas</t>
  </si>
  <si>
    <t>Caminho 6km</t>
  </si>
  <si>
    <t>Cascata de Fisgas Ermelo</t>
  </si>
  <si>
    <t>200m</t>
  </si>
  <si>
    <t>Fácil*</t>
  </si>
  <si>
    <t>A mais alta de Portugal</t>
  </si>
  <si>
    <t>Poço da Barjas</t>
  </si>
  <si>
    <t>Cascata de Pitões</t>
  </si>
  <si>
    <t>30m</t>
  </si>
  <si>
    <t>Poço do Teixo</t>
  </si>
  <si>
    <t>Sombra em verão</t>
  </si>
  <si>
    <t>Cascata de Vilariño</t>
  </si>
  <si>
    <t>Fronteira PT-ES</t>
  </si>
  <si>
    <t>Poço das Caldeiras</t>
  </si>
  <si>
    <t>Cascata da Fervença</t>
  </si>
  <si>
    <t>Cascata da Fraga da Pena</t>
  </si>
  <si>
    <t>Referência turística</t>
  </si>
  <si>
    <t>Poço da Broca de Serapicos</t>
  </si>
  <si>
    <t>Cascata da Água d'Alta</t>
  </si>
  <si>
    <t>Serra do Caramulo</t>
  </si>
  <si>
    <t>35m</t>
  </si>
  <si>
    <t>Aguieira</t>
  </si>
  <si>
    <t>Poço do Lagar</t>
  </si>
  <si>
    <t>Cascata do Boiçô</t>
  </si>
  <si>
    <t>Poço do Embrenhado</t>
  </si>
  <si>
    <t>Cascata de S. João das Águas</t>
  </si>
  <si>
    <t>Poço da Draga</t>
  </si>
  <si>
    <t>Cascata de Foumigo</t>
  </si>
  <si>
    <t>Poço da Silveira</t>
  </si>
  <si>
    <t>Cascata da Pantanha</t>
  </si>
  <si>
    <t>Carregal do Sal</t>
  </si>
  <si>
    <t>Poço Quente</t>
  </si>
  <si>
    <t>Cascata de Alvoco</t>
  </si>
  <si>
    <t>Alvoco da Serra</t>
  </si>
  <si>
    <t>Poço do Pisão</t>
  </si>
  <si>
    <t>Cascata do Rio de Frades</t>
  </si>
  <si>
    <t>Poço do Calhau</t>
  </si>
  <si>
    <t>Cascata de Linhares</t>
  </si>
  <si>
    <t>Poço da Gola (Cortes)</t>
  </si>
  <si>
    <t>Cortes</t>
  </si>
  <si>
    <t>Cascata de Vila de Rei</t>
  </si>
  <si>
    <t>Rio Ocreza</t>
  </si>
  <si>
    <t>Poço do Mel (Lousã)</t>
  </si>
  <si>
    <t>Cascata da Ribeira Funda</t>
  </si>
  <si>
    <t>80m</t>
  </si>
  <si>
    <t>Salto da Farinha</t>
  </si>
  <si>
    <t>40m</t>
  </si>
  <si>
    <t>Cascata de Garganta Funda</t>
  </si>
  <si>
    <t>140m</t>
  </si>
  <si>
    <t>Lagoa do Fogo (Canal)</t>
  </si>
  <si>
    <t>Trilho 8km</t>
  </si>
  <si>
    <t>Cascata do Risco</t>
  </si>
  <si>
    <t>100m</t>
  </si>
  <si>
    <t>Levada 25 Fontes</t>
  </si>
  <si>
    <t>25 Fontes</t>
  </si>
  <si>
    <t>Levada clássica</t>
  </si>
  <si>
    <t>Cascata de Dona Beija</t>
  </si>
  <si>
    <t>Salto do Cabrito</t>
  </si>
  <si>
    <t>Cascata da Fajã de Santo</t>
  </si>
  <si>
    <t>Fajã</t>
  </si>
  <si>
    <t>Poço do Grena</t>
  </si>
  <si>
    <t>Cascata do Caldeirão</t>
  </si>
  <si>
    <t>Pego do Inferno (Portalegre)</t>
  </si>
  <si>
    <t>Cascata da Rocha da Galé</t>
  </si>
  <si>
    <t>Acesso difícil</t>
  </si>
  <si>
    <t>Poço do Bacalhau (Lajes)</t>
  </si>
  <si>
    <t>Lajes das Flores</t>
  </si>
  <si>
    <t>Cascata de Ferreiro</t>
  </si>
  <si>
    <t>Salto do Rosal</t>
  </si>
  <si>
    <t>Cascata da Vitória</t>
  </si>
  <si>
    <t>Poço Azul (Açores)</t>
  </si>
  <si>
    <t>Cascata de Sanguinho</t>
  </si>
  <si>
    <t>Lagoa dos Patos</t>
  </si>
  <si>
    <t>Cascata Água d'Alto (Açores)</t>
  </si>
  <si>
    <t>Vila Franca</t>
  </si>
  <si>
    <t>Poço das Pulgas</t>
  </si>
  <si>
    <t>Cascata Véu da Noiva</t>
  </si>
  <si>
    <t>Cascata da Levada Nova</t>
  </si>
  <si>
    <t>Poço da Alagoa (Pico)</t>
  </si>
  <si>
    <t>Cascata da Caldeira (Faial)</t>
  </si>
  <si>
    <t>Cascata do Cavalo</t>
  </si>
  <si>
    <t>Poço da Neve</t>
  </si>
  <si>
    <t>Cascata de São Vicente</t>
  </si>
  <si>
    <t>Lagoa de Santo Cristo</t>
  </si>
  <si>
    <t>♨️  TERMAS E BALNEÁRIOS  —  79 entradas</t>
  </si>
  <si>
    <t>Norte · Centro · Lisboa · Alentejo · Algarve · Açores · Madeira  ·  Termas, Balneários e Spas de Água Termal</t>
  </si>
  <si>
    <t>Indicações</t>
  </si>
  <si>
    <t>Reumatologia</t>
  </si>
  <si>
    <t>Spa, Hidroterapia</t>
  </si>
  <si>
    <t>09h-19h</t>
  </si>
  <si>
    <t>15€-45€</t>
  </si>
  <si>
    <t>Termas de Largo do Tabolado com nascentes a 73°C, das mais quentes da Península Ibérica. Indicadas para reumatologia e doenças respiratórias; em funcionamento desde a época romana.</t>
  </si>
  <si>
    <t>Detox, Digestivo</t>
  </si>
  <si>
    <t>Hotel 5*, Piscina</t>
  </si>
  <si>
    <t>10h-20h</t>
  </si>
  <si>
    <t>40€ (acesso)</t>
  </si>
  <si>
    <t>Termas de Parque de Vidago famosas pela água carbónica natural e pelo parque Belle Époque histórico. Spa com tratamentos termais num ambiente de referência do termalismo português.</t>
  </si>
  <si>
    <t>Pedras Salgadas</t>
  </si>
  <si>
    <t>Pele, Recuperação</t>
  </si>
  <si>
    <t>Circuito, Spa</t>
  </si>
  <si>
    <t>10h-19h</t>
  </si>
  <si>
    <t>25€ (circuito)</t>
  </si>
  <si>
    <t>Termas de Parque Pedras Salgadas famosas pela água carbónica natural e pelo parque Belle Époque histórico. Spa com tratamentos termais num ambiente de referência do termalismo português.</t>
  </si>
  <si>
    <t>Fígado, Vesícula</t>
  </si>
  <si>
    <t>Balneário, Piscina</t>
  </si>
  <si>
    <t>08h-20h</t>
  </si>
  <si>
    <t>12€ (banho)</t>
  </si>
  <si>
    <t>Termas de Vila do Gerês com águas fígado, vesícula, indicadas para Balneário, Piscina. Centro termal com tradição de tratamentos especializados em Portugal.</t>
  </si>
  <si>
    <t>Diabetes, Nutrição</t>
  </si>
  <si>
    <t>Fonte livre</t>
  </si>
  <si>
    <t>09h-18h</t>
  </si>
  <si>
    <t>Grátis (fonte)</t>
  </si>
  <si>
    <t>Termas de Parque do Peso com águas diabetes, nutrição, indicadas para Fonte livre. Centro termal com tradição de tratamentos especializados em Portugal.</t>
  </si>
  <si>
    <t>Vias Respiratórias</t>
  </si>
  <si>
    <t>Inalações, Spa</t>
  </si>
  <si>
    <t>08h-19h</t>
  </si>
  <si>
    <t>14€ (imersão)</t>
  </si>
  <si>
    <t>Termas de R. Dr. Abílio Torres com águas vias respiratórias, indicadas para Inalações, Spa. Centro termal com tradição de tratamentos especializados em Portugal.</t>
  </si>
  <si>
    <t>Reabilitação, Relax</t>
  </si>
  <si>
    <t>Piscinas, Jacuzzi</t>
  </si>
  <si>
    <t>09h-20h</t>
  </si>
  <si>
    <t>18€ (piscina)</t>
  </si>
  <si>
    <t>Termas de Av. das Termas com águas reabilitação, relax, indicadas para Piscinas, Jacuzzi. Centro termal com tradição de tratamentos especializados em Portugal.</t>
  </si>
  <si>
    <t>Moledo (Caldas de Moledo)</t>
  </si>
  <si>
    <t>Muscular, Artroses</t>
  </si>
  <si>
    <t>Balneário</t>
  </si>
  <si>
    <t>Sazonal</t>
  </si>
  <si>
    <t>Termas de Peso da Régua com águas muscular, artroses, indicadas para Balneário. Centro termal com tradição de tratamentos especializados em Portugal.</t>
  </si>
  <si>
    <t>Carvalhelhos</t>
  </si>
  <si>
    <t>Ap. Digestivo</t>
  </si>
  <si>
    <t>Fonte medicinal</t>
  </si>
  <si>
    <t>10€ (consulta)</t>
  </si>
  <si>
    <t>Termas de Boticas com águas ap. digestivo, indicadas para Fonte medicinal. Centro termal com tradição de tratamentos especializados em Portugal.</t>
  </si>
  <si>
    <t>S. Vicente (Penafiel)</t>
  </si>
  <si>
    <t>Rinites, Sinusites</t>
  </si>
  <si>
    <t>Inalações</t>
  </si>
  <si>
    <t>9€ (inalação)</t>
  </si>
  <si>
    <t>Termas de Penafiel com águas rinites, sinusites, indicadas para Inalações. Centro termal com tradição de tratamentos especializados em Portugal.</t>
  </si>
  <si>
    <t>Taipas</t>
  </si>
  <si>
    <t>Eczemas, Psoríase</t>
  </si>
  <si>
    <t>Banhos terapêuticos</t>
  </si>
  <si>
    <t>08h-21h</t>
  </si>
  <si>
    <t>15€ (banho)</t>
  </si>
  <si>
    <t>Termas de Guimarães com águas eczemas, psoríase, indicadas para Banhos terapêuticos. Centro termal com tradição de tratamentos especializados em Portugal.</t>
  </si>
  <si>
    <t>Dermatologia</t>
  </si>
  <si>
    <t>Balneário, Spa</t>
  </si>
  <si>
    <t>12€-30€</t>
  </si>
  <si>
    <t>Termas de R. das Termas com águas dermatologia, indicadas para Balneário, Spa. Centro termal com tradição de tratamentos especializados em Portugal.</t>
  </si>
  <si>
    <t>Caldelas</t>
  </si>
  <si>
    <t>Gastrointestinal</t>
  </si>
  <si>
    <t>Balneário histórico</t>
  </si>
  <si>
    <t>Mai-Out</t>
  </si>
  <si>
    <t>Termas de Amares com águas gastrointestinal, indicadas para Balneário histórico. Centro termal com tradição de tratamentos especializados em Portugal.</t>
  </si>
  <si>
    <t>Carlão</t>
  </si>
  <si>
    <t>Reumatismo</t>
  </si>
  <si>
    <t>Banhos simples</t>
  </si>
  <si>
    <t>10€ (banho)</t>
  </si>
  <si>
    <t>Termas de Alijó com águas reumatismo, indicadas para Banhos simples. Centro termal com tradição de tratamentos especializados em Portugal.</t>
  </si>
  <si>
    <t>Eirogo</t>
  </si>
  <si>
    <t>Digestivo</t>
  </si>
  <si>
    <t>Fonte local</t>
  </si>
  <si>
    <t>Termas de Barcelos com águas digestivo, indicadas para Fonte local. Centro termal com tradição de tratamentos especializados em Portugal.</t>
  </si>
  <si>
    <t>Entre-os-Rios</t>
  </si>
  <si>
    <t>Respiratório</t>
  </si>
  <si>
    <t>Termas de Penafiel com águas respiratório, indicadas para Balneário. Centro termal com tradição de tratamentos especializados em Portugal.</t>
  </si>
  <si>
    <t>Caldas Saúde</t>
  </si>
  <si>
    <t>Ossos, Articulações</t>
  </si>
  <si>
    <t>Fisioterapia</t>
  </si>
  <si>
    <t>14€</t>
  </si>
  <si>
    <t>Termas de Sto. Tirso com águas ossos, articulações, indicadas para Fisioterapia. Centro termal com tradição de tratamentos especializados em Portugal.</t>
  </si>
  <si>
    <t>Canavezes</t>
  </si>
  <si>
    <t>Pele, Alergias</t>
  </si>
  <si>
    <t>Termas de Marco de Canaveses com águas pele, alergias, indicadas para Balneário. Centro termal com tradição de tratamentos especializados em Portugal.</t>
  </si>
  <si>
    <t>Fonte Vila</t>
  </si>
  <si>
    <t>Anemia (ingestão)</t>
  </si>
  <si>
    <t>Termas de Mogadouro com águas anemia (ingestão), indicadas para Fonte livre. Centro termal com tradição de tratamentos especializados em Portugal.</t>
  </si>
  <si>
    <t>S. Lourenço (Ansiães)</t>
  </si>
  <si>
    <t>Banhos Terapêuticos</t>
  </si>
  <si>
    <t>Termas de Carrazeda de Ansiães com águas banhos terapêuticos, indicadas para Balneário. Centro termal com tradição de tratamentos especializados em Portugal.</t>
  </si>
  <si>
    <t>Longroiva</t>
  </si>
  <si>
    <t>Muscular, Reumatismo</t>
  </si>
  <si>
    <t>Piscina termal</t>
  </si>
  <si>
    <t>Termas de Mêda com águas muscular, reumatismo, indicadas para Piscina termal. Centro termal com tradição de tratamentos especializados em Portugal.</t>
  </si>
  <si>
    <t>Stress, Relax</t>
  </si>
  <si>
    <t>Spa, Meditação</t>
  </si>
  <si>
    <t>Termas de Moimenta com águas stress, relax, indicadas para Spa, Meditação. Centro termal com tradição de tratamentos especializados em Portugal.</t>
  </si>
  <si>
    <t>Presegueda</t>
  </si>
  <si>
    <t>Pele</t>
  </si>
  <si>
    <t>Termas de Régua com águas pele, indicadas para Balneário. Centro termal com tradição de tratamentos especializados em Portugal.</t>
  </si>
  <si>
    <t>Gerês (Nascente)</t>
  </si>
  <si>
    <t>Ingestão de água</t>
  </si>
  <si>
    <t>Fonte natural</t>
  </si>
  <si>
    <t>2€ (copo)</t>
  </si>
  <si>
    <t>Termas de Parque Nacional Peneda-Gerês com águas ingestão de água, indicadas para Fonte natural. Centro termal com tradição de tratamentos especializados em Portugal.</t>
  </si>
  <si>
    <t>Caldas de Moledo</t>
  </si>
  <si>
    <t>Termas de Régua com águas bem-estar, indicadas para Balneário. Centro termal com tradição de tratamentos especializados em Portugal.</t>
  </si>
  <si>
    <t>S. Pedro do Sul</t>
  </si>
  <si>
    <t>SPA Premier</t>
  </si>
  <si>
    <t>07h-20h</t>
  </si>
  <si>
    <t>15€-60€</t>
  </si>
  <si>
    <t>Termas de Várzea com águas reumatologia, indicadas para SPA Premier. Centro termal com tradição de tratamentos especializados em Portugal.</t>
  </si>
  <si>
    <t>Rins, Detox</t>
  </si>
  <si>
    <t>Circuito Termal</t>
  </si>
  <si>
    <t>Termas de R. Dr. José Cid com águas rins, detox, indicadas para Circuito Termal. Centro termal com tradição de tratamentos especializados em Portugal.</t>
  </si>
  <si>
    <t>Monfortinho</t>
  </si>
  <si>
    <t>Psoríase, Eczema</t>
  </si>
  <si>
    <t>Pack Pele completo</t>
  </si>
  <si>
    <t>45€ (pack)</t>
  </si>
  <si>
    <t>Termas de Idanha-a-Nova com águas psoríase, eczema, indicadas para Pack Pele completo. Centro termal com tradição de tratamentos especializados em Portugal.</t>
  </si>
  <si>
    <t>Curia</t>
  </si>
  <si>
    <t>Cardiovascular</t>
  </si>
  <si>
    <t>Balneário, Parque</t>
  </si>
  <si>
    <t>Termas de Anadia com águas cardiovascular, indicadas para Balneário, Parque. Centro termal com tradição de tratamentos especializados em Portugal.</t>
  </si>
  <si>
    <t>H2otel Unhais</t>
  </si>
  <si>
    <t>Fisiatria, Aquadome</t>
  </si>
  <si>
    <t>Aquadome, Hotel</t>
  </si>
  <si>
    <t>10h-21h</t>
  </si>
  <si>
    <t>30€-50€</t>
  </si>
  <si>
    <t>Termas de Covilhã com águas fisiatria, aquadome, indicadas para Aquadome, Hotel. Centro termal com tradição de tratamentos especializados em Portugal.</t>
  </si>
  <si>
    <t>Alcafache</t>
  </si>
  <si>
    <t>Osteoarticular</t>
  </si>
  <si>
    <t>Termas de Viseu com águas osteoarticular, indicadas para Balneário. Centro termal com tradição de tratamentos especializados em Portugal.</t>
  </si>
  <si>
    <t>São Jorge (Feira)</t>
  </si>
  <si>
    <t>Respiratório Infantil</t>
  </si>
  <si>
    <t>Inalações pediátricas</t>
  </si>
  <si>
    <t>08h-18h</t>
  </si>
  <si>
    <t>8€ (inalação)</t>
  </si>
  <si>
    <t>Termas de Sta. Maria da Feira com águas respiratório infantil, indicadas para Inalações pediátricas. Centro termal com tradição de tratamentos especializados em Portugal.</t>
  </si>
  <si>
    <t>Asma, Bronquite</t>
  </si>
  <si>
    <t>Balneário de altitude</t>
  </si>
  <si>
    <t>Termas de Serra da Estrela com águas asma, bronquite, indicadas para Balneário de altitude. Centro termal com tradição de tratamentos especializados em Portugal.</t>
  </si>
  <si>
    <t>Ladeira Envendos</t>
  </si>
  <si>
    <t>Digestivo, Pele</t>
  </si>
  <si>
    <t>Termas de Mação com águas digestivo, pele, indicadas para Balneário. Centro termal com tradição de tratamentos especializados em Portugal.</t>
  </si>
  <si>
    <t>Sangemil</t>
  </si>
  <si>
    <t>Reumatismo, Coluna</t>
  </si>
  <si>
    <t>Termas de Tondela com águas reumatismo, coluna, indicadas para Balneário. Centro termal com tradição de tratamentos especializados em Portugal.</t>
  </si>
  <si>
    <t>Bicanho</t>
  </si>
  <si>
    <t>Relax, Gastrointestinal</t>
  </si>
  <si>
    <t>18€</t>
  </si>
  <si>
    <t>Termas de Soure com águas relax, gastrointestinal, indicadas para Balneário. Centro termal com tradição de tratamentos especializados em Portugal.</t>
  </si>
  <si>
    <t>Amieira</t>
  </si>
  <si>
    <t>Circulatório</t>
  </si>
  <si>
    <t>16€</t>
  </si>
  <si>
    <t>Termas de Soure com águas circulatório, indicadas para Balneário. Centro termal com tradição de tratamentos especializados em Portugal.</t>
  </si>
  <si>
    <t>Felgueira</t>
  </si>
  <si>
    <t>Termas de Nelas com águas vias respiratórias, indicadas para Balneário. Centro termal com tradição de tratamentos especializados em Portugal.</t>
  </si>
  <si>
    <t>Monte Real</t>
  </si>
  <si>
    <t>Digestivo, Reumatismo</t>
  </si>
  <si>
    <t>Balneário, Hotel</t>
  </si>
  <si>
    <t>Termas de Leiria com águas digestivo, reumatismo, indicadas para Balneário, Hotel. Centro termal com tradição de tratamentos especializados em Portugal.</t>
  </si>
  <si>
    <t>Cró</t>
  </si>
  <si>
    <t>Fisioterapia, Spa</t>
  </si>
  <si>
    <t>Termas de Sabugal com águas fisioterapia, spa, indicadas para Balneário. Centro termal com tradição de tratamentos especializados em Portugal.</t>
  </si>
  <si>
    <t>Azenha (Anços)</t>
  </si>
  <si>
    <t>Tratamentos Pele</t>
  </si>
  <si>
    <t>Termas de V.N. Anços com águas tratamentos pele, indicadas para Balneário. Centro termal com tradição de tratamentos especializados em Portugal.</t>
  </si>
  <si>
    <t>S. Paulo (Oliveira Hospital)</t>
  </si>
  <si>
    <t>Termas de Oliveira do Hospital com águas bem-estar, indicadas para Balneário. Centro termal com tradição de tratamentos especializados em Portugal.</t>
  </si>
  <si>
    <t>Piedade</t>
  </si>
  <si>
    <t>Reabilitação</t>
  </si>
  <si>
    <t>Termas de Alcobaça com águas reabilitação, indicadas para Balneário. Centro termal com tradição de tratamentos especializados em Portugal.</t>
  </si>
  <si>
    <t>Almeida (Fonte Santa)</t>
  </si>
  <si>
    <t>Termas de Almeida com águas respiratório, indicadas para Fonte natural. Centro termal com tradição de tratamentos especializados em Portugal.</t>
  </si>
  <si>
    <t>Fígado, Diabetes</t>
  </si>
  <si>
    <t>Termas de Portalegre com águas fígado, diabetes, indicadas para Fonte medicinal. Centro termal com tradição de tratamentos especializados em Portugal.</t>
  </si>
  <si>
    <t>Vale Cavalos</t>
  </si>
  <si>
    <t>Relaxamento</t>
  </si>
  <si>
    <t>Termas de Golegã com águas relaxamento, indicadas para Balneário. Centro termal com tradição de tratamentos especializados em Portugal.</t>
  </si>
  <si>
    <t>Alviela</t>
  </si>
  <si>
    <t>Saúde (ingestão)</t>
  </si>
  <si>
    <t>Termas de Alcanena com águas saúde (ingestão), indicadas para Praia fluvial. Centro termal com tradição de tratamentos especializados em Portugal.</t>
  </si>
  <si>
    <t>Fadagosa Nisa</t>
  </si>
  <si>
    <t>Termas de Nisa com águas respiratório, indicadas para Balneário. Centro termal com tradição de tratamentos especializados em Portugal.</t>
  </si>
  <si>
    <t>Juncatão</t>
  </si>
  <si>
    <t>Termas de Fornos de Algodres com águas reumatismo, indicadas para Balneário. Centro termal com tradição de tratamentos especializados em Portugal.</t>
  </si>
  <si>
    <t>Termas de Fundão com águas ingestão de água, indicadas para Fonte livre. Centro termal com tradição de tratamentos especializados em Portugal.</t>
  </si>
  <si>
    <t>Cavaca</t>
  </si>
  <si>
    <t>Termas de Aguiar da Beira com águas digestivo, indicadas para Balneário. Centro termal com tradição de tratamentos especializados em Portugal.</t>
  </si>
  <si>
    <t>Sortelha (Radium)</t>
  </si>
  <si>
    <t>Fonte histórica</t>
  </si>
  <si>
    <t>Termas de Sabugal com águas histórico, indicadas para Fonte histórica. Centro termal com tradição de tratamentos especializados em Portugal.</t>
  </si>
  <si>
    <t>Ega</t>
  </si>
  <si>
    <t>Artrites</t>
  </si>
  <si>
    <t>Termas de Condeixa com águas artrites, indicadas para Balneário. Centro termal com tradição de tratamentos especializados em Portugal.</t>
  </si>
  <si>
    <t>Galega</t>
  </si>
  <si>
    <t>Gastrites</t>
  </si>
  <si>
    <t>Termas de Chamusca com águas gastrites, indicadas para Fonte livre. Centro termal com tradição de tratamentos especializados em Portugal.</t>
  </si>
  <si>
    <t xml:space="preserve">  🟩  LISBOA  ·  6 entradas</t>
  </si>
  <si>
    <t>08h-14h</t>
  </si>
  <si>
    <t>Termas de Largo do Hospital com águas sulfurosas, as primeiras de Portugal a ser exploradas, por D. Leonor em 1484. Tradição termal de mais de cinco séculos num dos destinos termais mais históricos do país.</t>
  </si>
  <si>
    <t>Vimeiro</t>
  </si>
  <si>
    <t>Termas de Torres Vedras com águas ap. digestivo, indicadas para Balneário. Centro termal com tradição de tratamentos especializados em Portugal.</t>
  </si>
  <si>
    <t>Estoril</t>
  </si>
  <si>
    <t>Hidroterapia</t>
  </si>
  <si>
    <t>Spa, Piscina</t>
  </si>
  <si>
    <t>35€ (piscina)</t>
  </si>
  <si>
    <t>Termas de Cascais com águas hidroterapia, indicadas para Spa, Piscina. Centro termal com tradição de tratamentos especializados em Portugal.</t>
  </si>
  <si>
    <t>Alfama (Fonte)</t>
  </si>
  <si>
    <t>Histórico (ingestão)</t>
  </si>
  <si>
    <t>Termas de Lisboa com águas histórico (ingestão), indicadas para Fonte histórica. Centro termal com tradição de tratamentos especializados em Portugal.</t>
  </si>
  <si>
    <t>Caneças</t>
  </si>
  <si>
    <t>Rins (fonte)</t>
  </si>
  <si>
    <t>Termas de Odivelas com águas rins (fonte), indicadas para Fonte livre. Centro termal com tradição de tratamentos especializados em Portugal.</t>
  </si>
  <si>
    <t>Cucas</t>
  </si>
  <si>
    <t>Termas de Torres Vedras com águas reumatismo, indicadas para Balneário. Centro termal com tradição de tratamentos especializados em Portugal.</t>
  </si>
  <si>
    <t xml:space="preserve">  🟧  ALENTEJO  ·  2 entradas</t>
  </si>
  <si>
    <t>pH 11.5 (Pele)</t>
  </si>
  <si>
    <t>Fonte termal única</t>
  </si>
  <si>
    <t>Termas de Fronteira com águas ph 11.5 (pele), indicadas para Fonte termal única. Centro termal com tradição de tratamentos especializados em Portugal.</t>
  </si>
  <si>
    <t>Sinusite, Bronquite</t>
  </si>
  <si>
    <t>Termas de Alto Alentejo com águas sinusite, bronquite, indicadas para Balneário. Centro termal com tradição de tratamentos especializados em Portugal.</t>
  </si>
  <si>
    <t xml:space="preserve">  🟥  ALGARVE  ·  2 entradas</t>
  </si>
  <si>
    <t>Spa Natural</t>
  </si>
  <si>
    <t>Termas de Serra de Monchique com águas vias respiratórias, indicadas para Spa Natural. Centro termal com tradição de tratamentos especializados em Portugal.</t>
  </si>
  <si>
    <t>Olhos de Água</t>
  </si>
  <si>
    <t>Talassoterapia natural</t>
  </si>
  <si>
    <t>Mar aberto</t>
  </si>
  <si>
    <t>Maré</t>
  </si>
  <si>
    <t>Termas de Albufeira com águas talassoterapia natural, indicadas para Mar aberto. Centro termal com tradição de tratamentos especializados em Portugal.</t>
  </si>
  <si>
    <t>Terra Nostra</t>
  </si>
  <si>
    <t>Tanque Férreo (imunidade)</t>
  </si>
  <si>
    <t>Jardim Termal</t>
  </si>
  <si>
    <t>10h-18h</t>
  </si>
  <si>
    <t>Termas de Furnas com águas tanque férreo (imunidade), indicadas para Jardim Termal. Centro termal com tradição de tratamentos especializados em Portugal.</t>
  </si>
  <si>
    <t>Dona Beija</t>
  </si>
  <si>
    <t>Piscinas noturnas</t>
  </si>
  <si>
    <t>08h-23h</t>
  </si>
  <si>
    <t>Termas de Furnas com águas relaxamento, indicadas para Piscinas noturnas. Centro termal com tradição de tratamentos especializados em Portugal.</t>
  </si>
  <si>
    <t>Ferraria</t>
  </si>
  <si>
    <t>Hidroterapia marinha</t>
  </si>
  <si>
    <t>Piscina natural (mar)</t>
  </si>
  <si>
    <t>Termas de Ginetes com águas hidroterapia marinha, indicadas para Piscina natural (mar). Centro termal com tradição de tratamentos especializados em Portugal.</t>
  </si>
  <si>
    <t>Muscular, Pele</t>
  </si>
  <si>
    <t>Cascatas quentes</t>
  </si>
  <si>
    <t>09h-17h</t>
  </si>
  <si>
    <t>Termas de Ribeira Grande com águas muscular, pele, indicadas para Cascatas quentes. Centro termal com tradição de tratamentos especializados em Portugal.</t>
  </si>
  <si>
    <t>Caldeiras Ribeira Grande</t>
  </si>
  <si>
    <t>Lodos Vulcânicos</t>
  </si>
  <si>
    <t>Piscinas geotérmicas</t>
  </si>
  <si>
    <t>Termas de Ribeira Grande com águas lodos vulcânicos, indicadas para Piscinas geotérmicas. Centro termal com tradição de tratamentos especializados em Portugal.</t>
  </si>
  <si>
    <t>Furnas (Caldas)</t>
  </si>
  <si>
    <t>Balneário termal</t>
  </si>
  <si>
    <t>Termas de São Miguel com nascentes geotérmicas vulcânicas dos Açores, temperatura natural elevada. Únicas no contexto europeu, com hidroterapia e ambiente vulcânico singular.</t>
  </si>
  <si>
    <t>Lombadas</t>
  </si>
  <si>
    <t>Água gaseificada</t>
  </si>
  <si>
    <t>Termas de São Miguel com águas água gaseificada, indicadas para Fonte livre. Centro termal com tradição de tratamentos especializados em Portugal.</t>
  </si>
  <si>
    <t>Varadouro</t>
  </si>
  <si>
    <t>Banhos salgados</t>
  </si>
  <si>
    <t>Piscina natural</t>
  </si>
  <si>
    <t>Termas de Faial com águas banhos salgados, indicadas para Piscina natural. Centro termal com tradição de tratamentos especializados em Portugal.</t>
  </si>
  <si>
    <t>Carapacho</t>
  </si>
  <si>
    <t>Termas de Graciosa com águas reumatismo, indicadas para Balneário. Centro termal com tradição de tratamentos especializados em Portugal.</t>
  </si>
  <si>
    <t>Furna do Enxofre</t>
  </si>
  <si>
    <t>Vaporterapia</t>
  </si>
  <si>
    <t>Gruta termal</t>
  </si>
  <si>
    <t>Termas de Graciosa com águas vaporterapia, indicadas para Gruta termal. Centro termal com tradição de tratamentos especializados em Portugal.</t>
  </si>
  <si>
    <t>Caldeiras do Pico</t>
  </si>
  <si>
    <t>Termas de S. Roque do Pico com águas relaxamento, indicadas para Fonte natural. Centro termal com tradição de tratamentos especializados em Portugal.</t>
  </si>
  <si>
    <t>S. Vicente (São Miguel)</t>
  </si>
  <si>
    <t>Termas de São Miguel com águas bem-estar, indicadas para Balneário. Centro termal com tradição de tratamentos especializados em Portugal.</t>
  </si>
  <si>
    <t>Psamoterapia (areia)</t>
  </si>
  <si>
    <t>Praia medicinal</t>
  </si>
  <si>
    <t>Termas de Porto Santo com águas psamoterapia (areia), indicadas para Praia medicinal. Centro termal com tradição de tratamentos especializados em Portugal.</t>
  </si>
  <si>
    <t>Fonte Areia</t>
  </si>
  <si>
    <t>Diurético</t>
  </si>
  <si>
    <t>Termas de Porto Santo com águas diurético, indicadas para Fonte livre. Centro termal com tradição de tratamentos especializados em Portugal.</t>
  </si>
  <si>
    <t>Poço Bacalhau (Madeira)</t>
  </si>
  <si>
    <t>Hidroterapia natural</t>
  </si>
  <si>
    <t>Levada natural</t>
  </si>
  <si>
    <t>Termas de Madeira com águas hidroterapia natural, indicadas para Levada natural. Centro termal com tradição de tratamentos especializados em Portugal.</t>
  </si>
  <si>
    <t>♨️  79 entradas  ·  Portugal Vivo</t>
  </si>
  <si>
    <t>Norte · Centro · Lisboa · Alentejo · Algarve · Açores · Madeira  ·  Quintas, Adegas e Herdades para Enoturismo e Agroturismo</t>
  </si>
  <si>
    <t>Nome / Quinta</t>
  </si>
  <si>
    <t>Produto Principal</t>
  </si>
  <si>
    <t>Pinheiros, 4950-660 Monção</t>
  </si>
  <si>
    <t>Vinho Alvarinho, Aguardente, Chá, Fruta</t>
  </si>
  <si>
    <t>Monumento nacional combinando palácio neoclássico com vinhas de Alvarinho. Visita inclui salões, capela, jardins e adega antiga.</t>
  </si>
  <si>
    <t>+351 251 666 129 | recepcao@palaciodabrejoeira.pt</t>
  </si>
  <si>
    <t>Quinta do Soalheiro</t>
  </si>
  <si>
    <t>Charneca, Alvaredo, 4960-010 Melgaço</t>
  </si>
  <si>
    <t>Vinho Alvarinho, Espumantes, Infusões Biológicas</t>
  </si>
  <si>
    <t>Pioneiros no Alvarinho em Melgaço. Provas verticais e visitas focadas em biodiversidade e infusões biológicas 'The Purist'.</t>
  </si>
  <si>
    <t>+351 251 416 769 | enoturismo@soalheiro.com</t>
  </si>
  <si>
    <t>Rua da Aveleda 2, 4560-547 Penafiel</t>
  </si>
  <si>
    <t>Vinho Verde, Aguardente Adega Velha, Queijo da Quinta</t>
  </si>
  <si>
    <t>Famosa pelos jardins românticos e exóticos. Une história da família Guedes à degustação de vinhos e queijos artesanais.</t>
  </si>
  <si>
    <t>+351 255 718 242 | enoturismo@aveleda.pt</t>
  </si>
  <si>
    <t>Vilarinho dos Freires, 5050-364 Peso da Régua</t>
  </si>
  <si>
    <t>Vinhos do Douro, Porto, Azeite</t>
  </si>
  <si>
    <t>Uma das quintas mais antigas do Douro (ex-Ferreirinha). Contraste fascinante entre adega histórica de 1716 e nova adega em xisto.</t>
  </si>
  <si>
    <t>+351 254 323 147 | reservas@quintadovallado.com</t>
  </si>
  <si>
    <t>Quinta da Côrte</t>
  </si>
  <si>
    <t>Valença do Douro, 5120-491 Tabuaço</t>
  </si>
  <si>
    <t>Vinho do Porto, Douro DOC, Azeite</t>
  </si>
  <si>
    <t>Projeto de luxo focado na tradição e design. Visitas exploram pisa em lagares de granito e arquitectura recuperada.</t>
  </si>
  <si>
    <t>+351 254 732 328 | enoturismo@quintadacorte.com</t>
  </si>
  <si>
    <t>Adega de Ponte de Lima</t>
  </si>
  <si>
    <t>Rua do Foral de D. Manuel I, 4990-156 Ponte de Lima</t>
  </si>
  <si>
    <t>Vinho Verde Loureiro, Vinho Regional Minho</t>
  </si>
  <si>
    <t>Cooperativa emblemática onde se conhece a produção em larga escala do Loureiro, com foco em tecnologia e sustentabilidade local.</t>
  </si>
  <si>
    <t>+351 258 909 540 | geral@adegapontelima.com</t>
  </si>
  <si>
    <t>Quinta de Santa Cristina</t>
  </si>
  <si>
    <t>Rua de Santa Cristina 80, 4890-573 Celorico de Basto</t>
  </si>
  <si>
    <t>Vinhos Verdes, Espumantes</t>
  </si>
  <si>
    <t>Experiências activas como 'Ser Agricultor por um Dia' ou passeios de buggy pelas vinhas terminando com provas regionais.</t>
  </si>
  <si>
    <t>+351 255 360 100 | enoturismo@quintadesantacristina.pt</t>
  </si>
  <si>
    <t>Quinta da Gricha (Churchill's)</t>
  </si>
  <si>
    <t>Ervedosa do Douro, 5130-108 São João da Pesqueira</t>
  </si>
  <si>
    <t>Vinho do Porto, Douro DOC</t>
  </si>
  <si>
    <t>Um dos 'terroirs' mais privilegiados do Douro. Visitas permitem observar trabalho de vinha em socalcos e pisa a pé.</t>
  </si>
  <si>
    <t>+351 223 703 641 | lodge@churchills-port.com</t>
  </si>
  <si>
    <t>Quinta Nova de N. Sra. do Carmo</t>
  </si>
  <si>
    <t>5085-222 Covas do Douro</t>
  </si>
  <si>
    <t>Vinho do Douro, Porto, Azeite, Conservas Gourmet</t>
  </si>
  <si>
    <t>Primeiro museu do vinho no Douro. Trilhos pedestres sinalizados e workshops de lotação de vinho nas encostas centenárias.</t>
  </si>
  <si>
    <t>+351 254 730 430 | quintanova@amorimfamilyestates.com</t>
  </si>
  <si>
    <t>Quinta do Bonfim (Symington)</t>
  </si>
  <si>
    <t>5085-060 Pinhão</t>
  </si>
  <si>
    <t>Vinho do Porto (Dow's), Douro DOC</t>
  </si>
  <si>
    <t>Armazém de envelhecimento de 1896 com terraço panorâmico sobre o rio Douro. História da família Symington.</t>
  </si>
  <si>
    <t>+351 254 730 370 | bonfim@symington.com</t>
  </si>
  <si>
    <t>Quinta de Lourosa</t>
  </si>
  <si>
    <t>Estrada Sousela 1913, 4620-469 Lousada</t>
  </si>
  <si>
    <t>Enoturismo familiar focado no método tradicional e biodiversidade nas vinhas do Vale do Sousa.</t>
  </si>
  <si>
    <t>+351 969 789 721 | info@quintadelourosa.com</t>
  </si>
  <si>
    <t>Quinta de Covela</t>
  </si>
  <si>
    <t>Rua de Mirão, S. Tomé de Covelas, 4640-211 Baião</t>
  </si>
  <si>
    <t>Vinhos Brancos (Avesso), Rosés Biológicos</t>
  </si>
  <si>
    <t>Agricultura biológica num anfiteatro natural sobre o Douro Verde. Foco na casta Avesso.</t>
  </si>
  <si>
    <t>+351 254 886 298 | info@limasmith.com</t>
  </si>
  <si>
    <t>Quinta do Portal</t>
  </si>
  <si>
    <t>Celeirós do Douro, 5060-909 Sabrosa</t>
  </si>
  <si>
    <t>Vinhos do Douro, Porto, Moscatel</t>
  </si>
  <si>
    <t>Adega desenhada por Álvaro Siza Vieira com foco em gastronomia de autor harmonizada com vinhos de referência.</t>
  </si>
  <si>
    <t>+351 259 937 000 | info@quintadoportal.pt</t>
  </si>
  <si>
    <t>Quinta de Fiães</t>
  </si>
  <si>
    <t>Vilar de Maçada, 5070-572 Vilar de Maçada</t>
  </si>
  <si>
    <t>Vinhos do Douro, Porto</t>
  </si>
  <si>
    <t>Agroturismo em plena Reserva da Biosfera, com práticas de viticultura sustentável e alojamento em natureza.</t>
  </si>
  <si>
    <t>+351 259 919 275 | info@quintadefiaes.pt</t>
  </si>
  <si>
    <t>PROVAM (Monção e Melgaço)</t>
  </si>
  <si>
    <t>Estrada de Monção, 4950-610 Monção</t>
  </si>
  <si>
    <t>Vinho Alvarinho, Espumantes</t>
  </si>
  <si>
    <t>Sociedade de produtores focada na excelência do terroir de Monção e Melgaço — o melhor Alvarinho de Portugal.</t>
  </si>
  <si>
    <t>+351 251 654 366</t>
  </si>
  <si>
    <t>Quinta da Pacheca</t>
  </si>
  <si>
    <t>Rua do Souto 1247, 5100-830 Lamego</t>
  </si>
  <si>
    <t>Vinhos do Douro, Porto, Azeite, Compotas</t>
  </si>
  <si>
    <t>Famosa pelos quartos em barricas gigantes. Pisa a pé em lagares de pedra e workshops de pintura com vinho.</t>
  </si>
  <si>
    <t>+351 254 331 229 | enoturismo@quintadapacheca.com</t>
  </si>
  <si>
    <t>Quinta do Seixo (Sandeman)</t>
  </si>
  <si>
    <t>Valença do Douro, 5120-495 Tabuaço</t>
  </si>
  <si>
    <t>Adega tecnológica com vista 360º sobre o Douro. Exposição audiovisual sobre a figura do 'Don'.</t>
  </si>
  <si>
    <t>+351 254 732 800 | visitas.seixo@sandeman.com</t>
  </si>
  <si>
    <t>Quinta de Gomariz</t>
  </si>
  <si>
    <t>Vinho Verde Loureiro e Alvarinho</t>
  </si>
  <si>
    <t>Um dos maiores produtores de Loureiro. Visitas à vinha e adega com prova de distintas expressões de terroir.</t>
  </si>
  <si>
    <t>+351 255 361 285 | geral@quintadegomariz.com</t>
  </si>
  <si>
    <t>Quinta do Ameal</t>
  </si>
  <si>
    <t>Refóios do Lima, 4990-680 Ponte de Lima</t>
  </si>
  <si>
    <t>Vinho Verde Loureiro Premium</t>
  </si>
  <si>
    <t>Refúgio de luxo focado no Loureiro. Provas exclusivas com foco na tipicidade do Lima.</t>
  </si>
  <si>
    <t>+351 258 743 391 | info@quintadoameal.com</t>
  </si>
  <si>
    <t>Quinta do Crasto</t>
  </si>
  <si>
    <t>Gouvinhas, 5060-101 Sabrosa</t>
  </si>
  <si>
    <t>Icónica com piscina infinita sobre o Douro. Vinhos clássicos da família Roquette em socalcos históricos.</t>
  </si>
  <si>
    <t>+351 254 920 020 | quintadocrasto@quintadocrasto.pt</t>
  </si>
  <si>
    <t>Quinta de Ventozelo</t>
  </si>
  <si>
    <t>Vinhos do Douro, Azeite, Experiências de Natureza</t>
  </si>
  <si>
    <t>Hotel e adega integrados na natureza do Douro. Vindimas, caminhadas e gastronomia local.</t>
  </si>
  <si>
    <t>+351 254 731 600 | info@ventozelo.com</t>
  </si>
  <si>
    <t>Quinta do Vale Meão</t>
  </si>
  <si>
    <t>A histórica Quinta da Ferreirinha. Vinhos de culto num cenário dramático do Douro Superior.</t>
  </si>
  <si>
    <t>+351 254 730 060 | info@quintadovalemeao.pt</t>
  </si>
  <si>
    <t>Casa de Sezim</t>
  </si>
  <si>
    <t>Vinhos Verdes, Papéis de Parede Históricos</t>
  </si>
  <si>
    <t>Casa senhorial com papéis de parede únicos do séc. XVIII. Vinhos Verde de produção familiar.</t>
  </si>
  <si>
    <t>+351 253 523 000 | sezim@sezim.pt</t>
  </si>
  <si>
    <t>Quinta das Carvalhas (RCV)</t>
  </si>
  <si>
    <t>Vinhos do Douro, Porto, Vista 360º</t>
  </si>
  <si>
    <t>Real Companhia Velha. Museu e terraço panorâmico sobre o Vale do Douro.</t>
  </si>
  <si>
    <t>+351 254 730 000 | enoturismo@rcv.pt</t>
  </si>
  <si>
    <t>Adega da Ponte da Barca</t>
  </si>
  <si>
    <t>Vinho Verde, Espumantes</t>
  </si>
  <si>
    <t>Enoturismo interativo no Vale do Lima com foco na casta Loureiro e tradição minhota.</t>
  </si>
  <si>
    <t>+351 258 452 140</t>
  </si>
  <si>
    <t>Solar das Bouças</t>
  </si>
  <si>
    <t>Vinhos Brancos Frescos, Agroturismo</t>
  </si>
  <si>
    <t>Turismo em espaço rural com vinhos brancos frescos e visitas à vinha histórica do Cávado.</t>
  </si>
  <si>
    <t>+351 253 992 500</t>
  </si>
  <si>
    <t>Quinta de Paços</t>
  </si>
  <si>
    <t>Vinho Verde, Artesanato</t>
  </si>
  <si>
    <t>Quinta histórica com 500 anos. Práticas sustentáveis e produção familiar de Vinho Verde.</t>
  </si>
  <si>
    <t>+351 253 861 521</t>
  </si>
  <si>
    <t>Casa de Cello</t>
  </si>
  <si>
    <t>Vinhos Verdes, Dão</t>
  </si>
  <si>
    <t>Produção familiar de Vinhos Verdes. Visitas íntimas com prova e percursos pela vinha e adega.</t>
  </si>
  <si>
    <t>+351 968 000 123</t>
  </si>
  <si>
    <t>Quinta das Escomoeiras</t>
  </si>
  <si>
    <t>Vinhos Biológicos, Mel, Ervas Aromáticas</t>
  </si>
  <si>
    <t>Vinhos biológicos certificados junto ao PN Peneda-Gerês. Visitas com foco na sustentabilidade.</t>
  </si>
  <si>
    <t>+351 253 669 000</t>
  </si>
  <si>
    <t>Quinta da Avessada (Favaios)</t>
  </si>
  <si>
    <t>Favaios, Alijó</t>
  </si>
  <si>
    <t>Moscatel de Favaios, Experiências Interativas</t>
  </si>
  <si>
    <t>Museu interativo do Moscatel e adega histórica. O Moscatel de Favaios como identidade do Douro.</t>
  </si>
  <si>
    <t>+351 259 959 000 | info@quintadaavessada.com</t>
  </si>
  <si>
    <t>Quinta dos Trevos</t>
  </si>
  <si>
    <t>EN 240, 6060-162 Ladoeiro</t>
  </si>
  <si>
    <t>Compotas, Queijos, Tecelagem, Carpintaria</t>
  </si>
  <si>
    <t>Centro de artes e ofícios. Visitantes participam em workshops de tecelagem manual e transformação de produtos da horta.</t>
  </si>
  <si>
    <t>+351 934 539 200 | info@quintadostrevos.com</t>
  </si>
  <si>
    <t>Museu do Azeite (Oliveira do Hospital)</t>
  </si>
  <si>
    <t>Travessa da Galeria, Bobadela, 3405-000 Oliveira do Hospital</t>
  </si>
  <si>
    <t>Azeites Virgem Extra, Gourmet</t>
  </si>
  <si>
    <t>Edifício em forma de folha de oliveira. Visita explica história da extração do 'ouro líquido' com provas sensoriais.</t>
  </si>
  <si>
    <t>+351 238 603 095 | geral@museudoazeite.pt</t>
  </si>
  <si>
    <t>Madre de Água Hotel Rural</t>
  </si>
  <si>
    <t>Quinta Madre de Água, 6290-651 Gouveia</t>
  </si>
  <si>
    <t>Queijo Serra da Estrela DOP, Vinho do Dão, Azeite</t>
  </si>
  <si>
    <t>Foco na pastorícia. Acompanhar o rebanho de ovelhas Bordaleira e observar fabrico artesanal do Queijo Serra da Estrela.</t>
  </si>
  <si>
    <t>+351 238 490 500 | geral@quintamadredeagua.pt</t>
  </si>
  <si>
    <t>Quinta do Arneiro</t>
  </si>
  <si>
    <t>Azueira, 2665-004 Mafra</t>
  </si>
  <si>
    <t>Hortícolas e Frutas Biológicas</t>
  </si>
  <si>
    <t>Referência na agricultura biológica. Passeios guiados pela horta, colheita de cabazes e restaurante farm-to-table.</t>
  </si>
  <si>
    <t>+351 261 961 219 | info@quintadoarneiro.pt</t>
  </si>
  <si>
    <t>Quinta de Mirtilos (Sintra)</t>
  </si>
  <si>
    <t>R. Maria M. Perdigão, 2710-449 Sintra</t>
  </si>
  <si>
    <t>Mirtilos, Compotas, Licores</t>
  </si>
  <si>
    <t>Especializada em pequenos frutos. Na época da colheita (verão), visitantes colhem os seus próprios mirtilos.</t>
  </si>
  <si>
    <t>+351 917 274 721 | info@quintademirtilos.pt</t>
  </si>
  <si>
    <t>Caves Casalinho</t>
  </si>
  <si>
    <t>Estrada de Torres Novas, 2005-001 Santarém</t>
  </si>
  <si>
    <t>Vinhos do Tejo, Aguardentes</t>
  </si>
  <si>
    <t>Caves históricas no coração do Ribatejo. Maturação em barricas e tradição vitivinícola da região.</t>
  </si>
  <si>
    <t>+351 243 321 445 | geral@casalinho.com</t>
  </si>
  <si>
    <t>Quinta da Cholda</t>
  </si>
  <si>
    <t>EN 365, 2150-022 Azinhaga</t>
  </si>
  <si>
    <t>Milho, Cereais, Azeite</t>
  </si>
  <si>
    <t>Focada em agricultura de precisão. Como a tecnologia moderna é aplicada no cultivo de cereais no Vale do Tejo.</t>
  </si>
  <si>
    <t>+351 968 013 148 | geral@quintadacholda.pt</t>
  </si>
  <si>
    <t>Casa da Tojeira</t>
  </si>
  <si>
    <t>Tojeira, 4860-231 Fafe</t>
  </si>
  <si>
    <t>Vinho Verde, Espumante</t>
  </si>
  <si>
    <t>Casa senhorial do séc. XVII. Visita une o património arquitectónico às vinhas históricas circundantes.</t>
  </si>
  <si>
    <t>+351 253 662 387 | info@casadatojeira.pt</t>
  </si>
  <si>
    <t>Quinta do Encontro</t>
  </si>
  <si>
    <t>Rua da Adega, S. Lourenço do Bairro, Anadia</t>
  </si>
  <si>
    <t>Espumantes Bairrada, Vinhos Tintos (Baga)</t>
  </si>
  <si>
    <t>Adega contemporânea circular. Provas de espumante em passadeiras suspensas sobre a zona de vinificação.</t>
  </si>
  <si>
    <t>+351 231 527 152 | enoturismo@quintadoencontro.pt</t>
  </si>
  <si>
    <t>Aliança Underground Museum</t>
  </si>
  <si>
    <t>Rua do Comércio 445, 3780-124 Sangalhos</t>
  </si>
  <si>
    <t>Espumantes, Aguardentes, Vinhos</t>
  </si>
  <si>
    <t>Museu subterrâneo onde coleções de arte, arqueologia e fósseis coabitam com as caves de maturação de espumantes.</t>
  </si>
  <si>
    <t>+351 234 732 000 | visitas@alianca.pt</t>
  </si>
  <si>
    <t>Quinta de Sant'Ana (Gradil)</t>
  </si>
  <si>
    <t>Rua Direita 3, 2665-113 Gradil</t>
  </si>
  <si>
    <t>Vinhos de Clima Fresco (Riesling, Pinot Noir)</t>
  </si>
  <si>
    <t>Quinta de charme com foco na biodiversidade e eventos culturais farm-to-table ao longo do ano.</t>
  </si>
  <si>
    <t>+351 261 963 550 | info@quintadesantana.com</t>
  </si>
  <si>
    <t>Adega de Colares</t>
  </si>
  <si>
    <t>Alameda Col. Linhares de Lima 27, 2705-351 Colares</t>
  </si>
  <si>
    <t>Vinho de Areia (Casta Ramisco)</t>
  </si>
  <si>
    <t>Única no mundo: vinhas crescem em areia livre de filoxera. Visita à adega monumental em Sintra.</t>
  </si>
  <si>
    <t>+351 219 291 210 | info@arcolares.pt</t>
  </si>
  <si>
    <t>Quinta do Gradil</t>
  </si>
  <si>
    <t>Quinta do Gradil, 2550-073 Cadaval</t>
  </si>
  <si>
    <t>Vinhos de Lisboa, Aguardentes</t>
  </si>
  <si>
    <t>Propriedade histórica ligada ao Marquês de Pombal. Passeios a cavalo pelas vinhas centenárias.</t>
  </si>
  <si>
    <t>+351 262 770 000 | enoturismo@quintadogradil.pt</t>
  </si>
  <si>
    <t>Quinta de Cabriz</t>
  </si>
  <si>
    <t>Quinta de Cabriz, 3430-909 Carregal do Sal</t>
  </si>
  <si>
    <t>Vinho do Dão, Azeite</t>
  </si>
  <si>
    <t>O coração do Dão. Adega, cave de barricas e restaurante de alta cozinha beirã com produto local.</t>
  </si>
  <si>
    <t>+351 232 961 222 | enoturismo@cabriz.pt</t>
  </si>
  <si>
    <t>Paço dos Cunhas de Santar</t>
  </si>
  <si>
    <t>Vinhos do Dão, Gastronomia Regional</t>
  </si>
  <si>
    <t>Enoturismo de luxo e cozinha beirã de excelência. Um palácio no coração das vinhas do Dão.</t>
  </si>
  <si>
    <t>+351 232 940 100</t>
  </si>
  <si>
    <t>Quinta dos Roques</t>
  </si>
  <si>
    <t>Abrunhosa do Mato, Viseu</t>
  </si>
  <si>
    <t>Vinho do Dão (Encruzado)</t>
  </si>
  <si>
    <t>Especialistas na casta branca Encruzado. Provas com foco no terroir único de granito do Dão.</t>
  </si>
  <si>
    <t>+351 232 651 068 | info@quintadosroques.pt</t>
  </si>
  <si>
    <t>Quinta do Sanguinhal</t>
  </si>
  <si>
    <t>Quinta do Sanguinhal, 2540-216 Bombarral</t>
  </si>
  <si>
    <t>Moinhos de vara mais antigos da Península Ibérica. Destilaria histórica e jardins do séc. XIX.</t>
  </si>
  <si>
    <t>+351 262 609 190 | info@vinhos-sanguinhal.pt</t>
  </si>
  <si>
    <t>Quinta dos Abibes</t>
  </si>
  <si>
    <t>Aguada de Cima, Águeda</t>
  </si>
  <si>
    <t>Vinhos Brancos, Tintos, Rosés</t>
  </si>
  <si>
    <t>Enoturismo de charme no coração da Bairrada com foco nas castas locais e produção sustentável.</t>
  </si>
  <si>
    <t>+351 231 790 100</t>
  </si>
  <si>
    <t>Casal da Coelheira</t>
  </si>
  <si>
    <t>Tramagal, Abrantes</t>
  </si>
  <si>
    <t>Vinhos do Tejo Galardoados</t>
  </si>
  <si>
    <t>Vinhos do Tejo premiados internacionalmente. Práticas de sustentabilidade certificadas.</t>
  </si>
  <si>
    <t>+351 241 384 000</t>
  </si>
  <si>
    <t>Quinta da Lagoalva</t>
  </si>
  <si>
    <t>Alpiarça, Santarém</t>
  </si>
  <si>
    <t>Vinhos do Tejo, Cavalos Lusitanos</t>
  </si>
  <si>
    <t>Agricultura extensiva e coudelaria de cavalos Lusitanos. A tradição equestre do Ribatejo aliada ao vinho.</t>
  </si>
  <si>
    <t>+351 243 559 200</t>
  </si>
  <si>
    <t>Adega de Cantanhede</t>
  </si>
  <si>
    <t>Vinhos da Bairrada (Casta Maria Gomes)</t>
  </si>
  <si>
    <t>Cooperativa líder em inovação na Bairrada. Famosa pela casta branca Maria Gomes.</t>
  </si>
  <si>
    <t>+351 231 410 950</t>
  </si>
  <si>
    <t>Quinta dos Termos</t>
  </si>
  <si>
    <t>Vinhos da Beira Interior, Azeite</t>
  </si>
  <si>
    <t>Vinhos de altitude com certificação ambiental. Terroir único de granito da Serra da Gardunha.</t>
  </si>
  <si>
    <t>+351 275 912 340</t>
  </si>
  <si>
    <t>Solar do Geira</t>
  </si>
  <si>
    <t>Vinhos de Altitude, Micro-adega</t>
  </si>
  <si>
    <t>Vinhas em altitude produzindo vinhos de frescura e acidez singular na Beira Baixa.</t>
  </si>
  <si>
    <t>+351 272 340 000</t>
  </si>
  <si>
    <t>Quinta da Boavista</t>
  </si>
  <si>
    <t>Vinhos de Lisboa, Produção Biológica Certificada</t>
  </si>
  <si>
    <t>Pioneira na certificação biológica em Lisboa. Visitas com foco na reconversão sustentável.</t>
  </si>
  <si>
    <t>+351 261 312 000</t>
  </si>
  <si>
    <t>Quinta da Almiara</t>
  </si>
  <si>
    <t>Vinhos de Lisboa, Espumantes</t>
  </si>
  <si>
    <t>Vinhos de influência atlântica. Proximidade com o oceano dá frescura e salinidade únicos.</t>
  </si>
  <si>
    <t>+351 261 315 000</t>
  </si>
  <si>
    <t>Penalva do Castelo, Viseu</t>
  </si>
  <si>
    <t>Vinho do Dão, Queijo, Alojamento</t>
  </si>
  <si>
    <t>Parador histórico com fábrica de queijo visitável. Vinha e adega integrados na quinta senhorial.</t>
  </si>
  <si>
    <t>+351 232 640 110 | info@casadainsua.pt</t>
  </si>
  <si>
    <t>Quinta de Lemos</t>
  </si>
  <si>
    <t>Vinhos Premium, Restaurante Michelin</t>
  </si>
  <si>
    <t>Projeto exclusivo com restaurante de referência nacional. Vinhos do Dão de guarda produzidos na encosta granítica.</t>
  </si>
  <si>
    <t>+351 232 480 590</t>
  </si>
  <si>
    <t>Cooperativa de Oliveira do Hospital</t>
  </si>
  <si>
    <t>Queijo Serra da Estrela DOP, Mel</t>
  </si>
  <si>
    <t>Cooperativa de referência para o Queijo Serra da Estrela. Visita ao processo de produção e prova.</t>
  </si>
  <si>
    <t>+351 238 602 630</t>
  </si>
  <si>
    <t>Quinta das Básculas</t>
  </si>
  <si>
    <t>Azeite Virgem Extra, Vinhos do Tejo</t>
  </si>
  <si>
    <t>Produtor local de azeite virgem e vinhos tradicionais. Olivais centenários às margens do Rio Nabão.</t>
  </si>
  <si>
    <t>+351 249 345 000</t>
  </si>
  <si>
    <t>Caves Solar de São Domingos</t>
  </si>
  <si>
    <t>Espumantes Bairrada, Aguardentes Vínicas</t>
  </si>
  <si>
    <t>Galerias de espumante em cave natural. Uma das mais antigas marcas de espumante de Portugal.</t>
  </si>
  <si>
    <t>+351 231 519 050</t>
  </si>
  <si>
    <t>Albernoa, 7800-601 Beja</t>
  </si>
  <si>
    <t>Vinho, Azeite, Mel, Carne de Porco Alentejano</t>
  </si>
  <si>
    <t>Ecossistema completo. Extração de mel, ordenha ou provas de vinho gourmet num cenário de luxo rural.</t>
  </si>
  <si>
    <t>+351 284 965 432 | reservas@malhadinhanova.pt</t>
  </si>
  <si>
    <t>Quinta do Quetzal</t>
  </si>
  <si>
    <t>Estrada das Sesmarias, 7960-909 Vidigueira</t>
  </si>
  <si>
    <t>Vinho, Gastronomia Contemporânea, Arte</t>
  </si>
  <si>
    <t>Única pela integração com arte. Centro de arte contemporânea com exposições rotativas e adega moderna.</t>
  </si>
  <si>
    <t>+351 284 441 618 | visitas@quintadoquetzal.com</t>
  </si>
  <si>
    <t>Herdade de Coelheiros</t>
  </si>
  <si>
    <t>Herdade de Coelheiros, 7040-202 Igrejinha, Arraiolos</t>
  </si>
  <si>
    <t>Vinho, Nozes, Cortiça</t>
  </si>
  <si>
    <t>Safari Tours pelo montado. Gestão florestal da cortiça e fauna local num cenário autêntico.</t>
  </si>
  <si>
    <t>+351 266 470 000 | info@coelheiros.pt</t>
  </si>
  <si>
    <t>José Maria da Fonseca</t>
  </si>
  <si>
    <t>Rua José Augusto Coelho 11, 2925-538 Azeitão</t>
  </si>
  <si>
    <t>Moscatel de Setúbal, Periquita, Azeite</t>
  </si>
  <si>
    <t>Caves com moscatéis mais antigos do mundo. Museu de família que atravessa 7 gerações.</t>
  </si>
  <si>
    <t>+351 212 198 940 | enoturismo@jmf.pt</t>
  </si>
  <si>
    <t>Herdade da Figueirinha</t>
  </si>
  <si>
    <t>Estrada de Alfundão, 7800-654 Beja</t>
  </si>
  <si>
    <t>Vinho, Azeite, Amêndoas</t>
  </si>
  <si>
    <t>Exploração agrícola diversificada. Colheita mecânica e lagaragem do azeite numa herdade integrada.</t>
  </si>
  <si>
    <t>+351 284 998 333 | geral@figueirinha.pt</t>
  </si>
  <si>
    <t>Adega Mayor</t>
  </si>
  <si>
    <t>Herdade das Argamassas, 7370-171 Campo Maior</t>
  </si>
  <si>
    <t>Vinho, Café, Azeite</t>
  </si>
  <si>
    <t>Desenhada por Siza Vieira. Workshops de 'Wine Blending' cruzando o mundo do vinho com o café Delta.</t>
  </si>
  <si>
    <t>+351 268 699 100 | enoturismo@adegamayor.pt</t>
  </si>
  <si>
    <t>Herdade do Esporão, 7200-999 Reguengos de Monsaraz</t>
  </si>
  <si>
    <t>Vinho, Azeite, Cerveja Artesanal, Legumes</t>
  </si>
  <si>
    <t>Maior polo de biodiversidade do Alentejo. Campo ampolográfico, horta biológica e lagar.</t>
  </si>
  <si>
    <t>+351 266 509 280 | reservas@esporao.com</t>
  </si>
  <si>
    <t>Cartuxa (Enoturismo)</t>
  </si>
  <si>
    <t>Quinta de Valbom, 7005-003 Évora</t>
  </si>
  <si>
    <t>Vinho Pêra-Manca, Azeite Cartuxa</t>
  </si>
  <si>
    <t>Antigo mosteiro. Fundação Eugénio de Almeida e os vinhos mais icónicos de Portugal.</t>
  </si>
  <si>
    <t>+351 266 748 380 | enoturismo@cartuxa.pt</t>
  </si>
  <si>
    <t>Herdade de S. Miguel (Casa Relvas)</t>
  </si>
  <si>
    <t>Herdade de São Miguel, 7170-120 Redondo</t>
  </si>
  <si>
    <t>Vinho, Azeite, Mel</t>
  </si>
  <si>
    <t>Biodiversidade do montado. Alimentação de burros de Mirandela e acompanhamento de pastoreio.</t>
  </si>
  <si>
    <t>+351 266 988 034 | enoturismo@casarelvas.pt</t>
  </si>
  <si>
    <t>Adega José de Sousa (JMF)</t>
  </si>
  <si>
    <t>Rua de Mourão 1, 7200-381 Reguengos de Monsaraz</t>
  </si>
  <si>
    <t>Vinho de Talha (ânforas de barro)</t>
  </si>
  <si>
    <t>Método romano de fermentação em talhas de barro — algumas com mais de 100 anos.</t>
  </si>
  <si>
    <t>+351 266 502 729 | josedesousa@jmf.pt</t>
  </si>
  <si>
    <t>Vinho de Autor, Cavalos Lusitanos, Arqueologia</t>
  </si>
  <si>
    <t>Experiências de vindima, cavalos Lusitanos e sítio arqueológico romano numa herdade histórica.</t>
  </si>
  <si>
    <t>+351 245 038 890 | info@torredepalma.com</t>
  </si>
  <si>
    <t>Vinho, Azeite, Balonismo</t>
  </si>
  <si>
    <t>Lago artificial, provas de azeite e passeios de balão sobre o Alentejo profundo.</t>
  </si>
  <si>
    <t>+351 284 960 000 | info@herdadedosgrous.com</t>
  </si>
  <si>
    <t>João Portugal Ramos</t>
  </si>
  <si>
    <t>Vinho, Workshops de Criação de Lote</t>
  </si>
  <si>
    <t>Workshops onde o visitante cria o seu próprio lote de vinho assinado num ambiente profissional.</t>
  </si>
  <si>
    <t>+351 268 339 910 | info@jportugalramos.com</t>
  </si>
  <si>
    <t>Dona Maria — Júlio Bastos</t>
  </si>
  <si>
    <t>Vinhos Clássicos, Lagares de Mármore</t>
  </si>
  <si>
    <t>Lagares de mármore centenários únicos em Portugal. Vinhos de guarda produzidos com métodos tradicionais.</t>
  </si>
  <si>
    <t>+351 268 339 100</t>
  </si>
  <si>
    <t>Herdade do Sobroso</t>
  </si>
  <si>
    <t>Vinhos do Alqueva, Safari Fotográfico</t>
  </si>
  <si>
    <t>Safaris fotográficos pelo montado e vinhos junto ao Alqueva. Natureza e vinho numa herdade autêntica.</t>
  </si>
  <si>
    <t>+351 284 441 000</t>
  </si>
  <si>
    <t>Quinta do Mouro</t>
  </si>
  <si>
    <t>Vinhos Clássicos, Alojamento</t>
  </si>
  <si>
    <t>Vinhos clássicos de guarda num palacete histórico de Estremoz com jardins e adegas centenárias.</t>
  </si>
  <si>
    <t>+351 268 339 200</t>
  </si>
  <si>
    <t>Mainova</t>
  </si>
  <si>
    <t>Vinho, Azeite, Design Moderno</t>
  </si>
  <si>
    <t>Produção sustentável com arquitectura contemporânea. Vinhos jovens e azeite premium de Arraiolos.</t>
  </si>
  <si>
    <t>+351 266 498 000</t>
  </si>
  <si>
    <t>Herdade do Mouchão</t>
  </si>
  <si>
    <t>Sousel</t>
  </si>
  <si>
    <t>Alicante Bouschet, Vinhos de Guarda</t>
  </si>
  <si>
    <t>O templo do Alicante Bouschet. Vinhos de longa guarda numa herdade histórica do Alto Alentejo.</t>
  </si>
  <si>
    <t>+351 242 551 203 | info@mouchao.pt</t>
  </si>
  <si>
    <t>Herdade do Freixo</t>
  </si>
  <si>
    <t>Vinho, Azeite (adega subterrânea)</t>
  </si>
  <si>
    <t>Adega subterrânea em espiral premiada. Uma das propostas arquitectónicas mais inovadoras do Alentejo.</t>
  </si>
  <si>
    <t>+351 266 909 300</t>
  </si>
  <si>
    <t>Tiago Cabaço Winery</t>
  </si>
  <si>
    <t>Vinho, Enoturismo Moderno</t>
  </si>
  <si>
    <t>Enoturismo moderno com arquitectura de design. Vinhos expressivos do terroir de Estremoz.</t>
  </si>
  <si>
    <t>+351 268 628 470</t>
  </si>
  <si>
    <t>Monte da Ravasqueira, 7040-121 Arraiolos</t>
  </si>
  <si>
    <t>Vinho, Mel, Museu de Carruagens</t>
  </si>
  <si>
    <t>Museu particular de arreios e carruagens históricas. Provas focadas no terroir único de Arraiolos.</t>
  </si>
  <si>
    <t>+351 266 490 200 | enoturismo@ravasqueira.com</t>
  </si>
  <si>
    <t>Adega de Borba</t>
  </si>
  <si>
    <t>Vinhos Tintos Encorpados</t>
  </si>
  <si>
    <t>Visita industrial clássica a uma das cooperativas mais importantes do Alentejo Histórico.</t>
  </si>
  <si>
    <t>+351 268 894 060</t>
  </si>
  <si>
    <t>CARMIM (Reguengos)</t>
  </si>
  <si>
    <t>Vinhos, Azeites Cooperativos</t>
  </si>
  <si>
    <t>Vasta oferta cooperativa alentejana. Referência em vinhos e azeites da região de Monsaraz.</t>
  </si>
  <si>
    <t>+351 266 508 010</t>
  </si>
  <si>
    <t>Vidigueira Wine Village</t>
  </si>
  <si>
    <t>Vinho de Talha Certificado</t>
  </si>
  <si>
    <t>Foco na recuperação do método de talha romana certificado. O Alentejo mais autêntico em copo.</t>
  </si>
  <si>
    <t>+351 284 441 040</t>
  </si>
  <si>
    <t>Cortiçarte (Azaruja)</t>
  </si>
  <si>
    <t>Azaruja, Évora</t>
  </si>
  <si>
    <t>Cortiça (transformação visitável)</t>
  </si>
  <si>
    <t>Fábrica de cortiça visitável. Processo de transformação do sobreiro à rolha explicado a fundo.</t>
  </si>
  <si>
    <t>+351 266 989 000</t>
  </si>
  <si>
    <t>Herdade da Ervideira</t>
  </si>
  <si>
    <t>Vinho Envelhecido Sob o Mar</t>
  </si>
  <si>
    <t>Envelhecimento de vinhos no fundo do Alqueva — uma experiência única de enoturismo subaquático.</t>
  </si>
  <si>
    <t>+351 266 508 160 | info@ervideira.pt</t>
  </si>
  <si>
    <t>Ribeira do Mouro</t>
  </si>
  <si>
    <t>Azeites DOP Moura</t>
  </si>
  <si>
    <t>Azeites DOP da região de Moura — produção artesanal e provas com harmonização de petiscos alentejanos.</t>
  </si>
  <si>
    <t>+351 285 250 000</t>
  </si>
  <si>
    <t>Tapada do Chaves</t>
  </si>
  <si>
    <t>Vinhos de Altitude, Vinhas Velhas</t>
  </si>
  <si>
    <t>Vinhas velhas em altitude no Alto Alentejo. Terroir de granito a 600m com vistas para Espanha.</t>
  </si>
  <si>
    <t>+351 245 202 000</t>
  </si>
  <si>
    <t>Adega da Vidigueira Cuba e Alvito</t>
  </si>
  <si>
    <t>Adega cooperativa que mantém a tradição milenar do vinho de talha com certificação oficial.</t>
  </si>
  <si>
    <t>+351 284 441 080</t>
  </si>
  <si>
    <t>Herdade da Calada</t>
  </si>
  <si>
    <t>Vinho, Azeite, Alojamento Histórico</t>
  </si>
  <si>
    <t>Enoturismo histórico com alojamento integrado. Provas de vinho e azeite numa herdade centenária.</t>
  </si>
  <si>
    <t>+351 266 744 300</t>
  </si>
  <si>
    <t>Quinta dos Capinhas</t>
  </si>
  <si>
    <t>Sítio dos Capinhas, 8400-495 Porches</t>
  </si>
  <si>
    <t>Vinho Tinto, Branco, Rosé</t>
  </si>
  <si>
    <t>Pequeno produtor familiar. Provas íntimas com vista para as vinhas num vale escondido do Barlavento algarvio.</t>
  </si>
  <si>
    <t>+351 926 737 798 | hello@quintadoscapinhas.com</t>
  </si>
  <si>
    <t>Quinta do Canhoto</t>
  </si>
  <si>
    <t>Torre de Mosqueira, 8200-440 Albufeira</t>
  </si>
  <si>
    <t>Vinho 'Esquecido', Frutas Regionais</t>
  </si>
  <si>
    <t>Enoturismo moderno com arquitectura bioclimática. Piqueniques nas vinhas com produtos locais e vista mar.</t>
  </si>
  <si>
    <t>+351 965 004 672 | info@quintadocanhoto.com</t>
  </si>
  <si>
    <t>Quinta dos Vales</t>
  </si>
  <si>
    <t>Sítio dos Vales, 8400-031 Estômbar</t>
  </si>
  <si>
    <t>Vinho, Escultura</t>
  </si>
  <si>
    <t>Jardim de esculturas ao ar livre com produção de vinho. Workshop 'Winemaker for a day'.</t>
  </si>
  <si>
    <t>+351 282 431 036 | info@quintadosvales.pt</t>
  </si>
  <si>
    <t>Morgado do Quintão</t>
  </si>
  <si>
    <t>Morgado do Quintão, 8400-011 Lagoa</t>
  </si>
  <si>
    <t>Vinho (Negramole), Azeite, Mel</t>
  </si>
  <si>
    <t>Vinhas velhas de Negramole. Provas sob uma oliveira milenar com foco no slow living algarvio.</t>
  </si>
  <si>
    <t>+351 965 202 529 | hello@morgadodoquintao.pt</t>
  </si>
  <si>
    <t>Quinta da Tôr</t>
  </si>
  <si>
    <t>Sítio da Tôr, 8100-397 Loulé</t>
  </si>
  <si>
    <t>Vinhos de Alto Teor Alcoólico (17%)</t>
  </si>
  <si>
    <t>Interior algarvio e resistência das castas ao calor. Visita informal e acolhedora com saber-fazer local.</t>
  </si>
  <si>
    <t>+351 968 427 271 | info@quintadator.com</t>
  </si>
  <si>
    <t>Cabrita Wines</t>
  </si>
  <si>
    <t>Quinta da Vinha, 8300-054 Silves</t>
  </si>
  <si>
    <t>Vinho (Castas Autóctones, Crato Branco)</t>
  </si>
  <si>
    <t>Projeto familiar que recuperou castas como o Crato Branco. História da família e viticultura silvense.</t>
  </si>
  <si>
    <t>+351 282 445 591 | info@cabritawines.com</t>
  </si>
  <si>
    <t>Salmarim (Salinas Castro Marim)</t>
  </si>
  <si>
    <t>Reserva Natural, 8950-138 Castro Marim</t>
  </si>
  <si>
    <t>Flor de Sal, Sal Marinho Tradicional</t>
  </si>
  <si>
    <t>Colheita manual de sal artesanal. Caminhadas interpretativas na reserva com observação de avifauna.</t>
  </si>
  <si>
    <t>+351 966 941 129 | info@salmarim.com</t>
  </si>
  <si>
    <t>Quinta do Francês</t>
  </si>
  <si>
    <t>Sítio da Dobra, Odelouca, 8300-037 Silves</t>
  </si>
  <si>
    <t>Vinhos de Montanha, Mel</t>
  </si>
  <si>
    <t>Vale cénico nos vales da Serra de Monchique. Influência do microclima nos vinhos mediados pelo altitude.</t>
  </si>
  <si>
    <t>+351 282 106 303 | info@quintadofrances.com</t>
  </si>
  <si>
    <t>Quinta do Mel</t>
  </si>
  <si>
    <t>Olhos de Água, 8200-591 Albufeira</t>
  </si>
  <si>
    <t>Mel, Ervas Aromáticas, Compotas</t>
  </si>
  <si>
    <t>Produção biológica de ervas aromáticas e mel. Hóspedes acompanham produção e degustam produtos da horta.</t>
  </si>
  <si>
    <t>+351 289 540 200 | info@quintadomel.com</t>
  </si>
  <si>
    <t>Adega do Cantor (Sir Cliff Richard)</t>
  </si>
  <si>
    <t>Quinta do Miradouro, Guia, 8200-444 Albufeira</t>
  </si>
  <si>
    <t>Vinhos Vida Nova, Onda Nova</t>
  </si>
  <si>
    <t>Co-propriedade de Sir Cliff Richard. Visitas técnicas à adega moderna com vinhos algarvios de topo.</t>
  </si>
  <si>
    <t>+351 289 572 619 | info@adegadocantor.com</t>
  </si>
  <si>
    <t>Monte da Casteleja</t>
  </si>
  <si>
    <t>Vinhos Biológicos de Pequena Produção</t>
  </si>
  <si>
    <t>Vinhos biológicos de nicho. Projecto familiar com práticas ancestrais e terroir calcário de Lagos.</t>
  </si>
  <si>
    <t>+351 282 798 408</t>
  </si>
  <si>
    <t>Quinta da Fornalha</t>
  </si>
  <si>
    <t>Figos, Alfarroba, Alojamento Orgânico</t>
  </si>
  <si>
    <t>Produção biológica de figos e frutos secos. Alojamento orgânico integrado na reserva natural.</t>
  </si>
  <si>
    <t>+351 966 321 450</t>
  </si>
  <si>
    <t>Arvad Wine</t>
  </si>
  <si>
    <t>Vinhos junto ao Rio Arade</t>
  </si>
  <si>
    <t>Vinhas junto ao rio Arade com acesso de barco. Uma das experiências enoturísticas mais incomuns do Algarve.</t>
  </si>
  <si>
    <t>+351 282 430 000</t>
  </si>
  <si>
    <t>Paxá Wines</t>
  </si>
  <si>
    <t>Vinhos de Nicho, Experiências Sensoriais</t>
  </si>
  <si>
    <t>Experiências sensoriais e gastronómicas em ambiente íntimo no coração de Silves.</t>
  </si>
  <si>
    <t>+351 282 440 000</t>
  </si>
  <si>
    <t>Quinta da Palmeirinha</t>
  </si>
  <si>
    <t>Boliqueime, Loulé</t>
  </si>
  <si>
    <t>Citrinos, Azeite, Plantas Aromáticas</t>
  </si>
  <si>
    <t>Pequeno produtor de citrinos e azeite. Visitas à horta e loja de produtos frescos locais.</t>
  </si>
  <si>
    <t>+351 289 362 000</t>
  </si>
  <si>
    <t>Horta do Felix</t>
  </si>
  <si>
    <t>Quelfes, Olhão</t>
  </si>
  <si>
    <t>Hortícolas Tradicionais</t>
  </si>
  <si>
    <t>Mercado de produtores e horta comunitária. Produtos frescos da época da região de Olhão.</t>
  </si>
  <si>
    <t>+351 289 710 000</t>
  </si>
  <si>
    <t>Quinta de São Sebastião</t>
  </si>
  <si>
    <t>Vinhos de Influência Atlântica</t>
  </si>
  <si>
    <t>Vinhos com forte influência atlântica num projecto familiar entre Lagos e a Costa Vicentina.</t>
  </si>
  <si>
    <t>+351 282 763 000</t>
  </si>
  <si>
    <t>Adega Cooperativa de Lagoa</t>
  </si>
  <si>
    <t>História do Vinho Algarvio</t>
  </si>
  <si>
    <t>Adega cooperativa histórica. Visitas que explicam a evolução do vinho algarvio nos últimos 50 anos.</t>
  </si>
  <si>
    <t>+351 282 342 181</t>
  </si>
  <si>
    <t>Quinta da Malaca</t>
  </si>
  <si>
    <t>Vinhos, Petiscos Regionais</t>
  </si>
  <si>
    <t>Harmonização de vinhos e petiscos regionais numa quinta familiar de Albufeira.</t>
  </si>
  <si>
    <t>+351 289 561 000</t>
  </si>
  <si>
    <t>Fazenda Ti'Morgado</t>
  </si>
  <si>
    <t>Apicultura, Citrinos</t>
  </si>
  <si>
    <t>Apicultura artesanal e citrinos biológicos. Visita às colmeias e degustação de méis varietais.</t>
  </si>
  <si>
    <t>+351 281 324 000</t>
  </si>
  <si>
    <t>Pacha Mum</t>
  </si>
  <si>
    <t>Pechão, Olhão</t>
  </si>
  <si>
    <t>Abacates, Frutas Tropicais Biológicas</t>
  </si>
  <si>
    <t>Único produtor de abacates biológicos certificados do Algarve. Visita às plantações exóticas.</t>
  </si>
  <si>
    <t>+351 289 781 000</t>
  </si>
  <si>
    <t>Quinta do Ludo</t>
  </si>
  <si>
    <t>Salinas, Observação de Flamingos</t>
  </si>
  <si>
    <t>Salinas e observação de flamingos no estuário do Rio Formosa. Fusão de agroturismo e birdwatching.</t>
  </si>
  <si>
    <t>+351 289 818 000</t>
  </si>
  <si>
    <t>Saffron Algarve</t>
  </si>
  <si>
    <t>Açafrão (produção única em PT)</t>
  </si>
  <si>
    <t>O único produtor de açafrão certificado de Portugal. Colheita manual em Outubro e visitas guiadas.</t>
  </si>
  <si>
    <t>+351 282 441 000</t>
  </si>
  <si>
    <t>Monte do Além</t>
  </si>
  <si>
    <t>Odiáxere, Lagos</t>
  </si>
  <si>
    <t>Vinhos Naturais Artesanais</t>
  </si>
  <si>
    <t>Vinhos de autor produzidos com mínima intervenção. Filosofia biodinâmica num projeto de nicho.</t>
  </si>
  <si>
    <t>+351 282 792 000</t>
  </si>
  <si>
    <t>Herdade dos Pimentéis</t>
  </si>
  <si>
    <t>Lã Orgânica, Produtos Ovinos</t>
  </si>
  <si>
    <t>Produção de lã orgânica certificada. Visita ao rebanho e à produção artesanal de produtos têxteis.</t>
  </si>
  <si>
    <t>+351 282 639 000</t>
  </si>
  <si>
    <t>Algarve Rock (Cervejaria)</t>
  </si>
  <si>
    <t>Cerveja Artesanal Algarvia</t>
  </si>
  <si>
    <t>Micro-cervejaria artesanal com visitas à sala de produção e prova de toda a gama de estilos.</t>
  </si>
  <si>
    <t>+351 289 820 000</t>
  </si>
  <si>
    <t>Quinta Maravilha</t>
  </si>
  <si>
    <t>Citrinos, Agricultura Regenerativa</t>
  </si>
  <si>
    <t>Pioneira na agricultura regenerativa. Citrinos, compostagem e sequestro de carbono no Barlavento.</t>
  </si>
  <si>
    <t>+351 282 490 000</t>
  </si>
  <si>
    <t>Casa de Mondim</t>
  </si>
  <si>
    <t>Doçaria Regional de Amêndoa e Figo</t>
  </si>
  <si>
    <t>A doçaria algarvia com 500 anos de história. Amêndoa de Tavira e figo de Silves nas receitas originais.</t>
  </si>
  <si>
    <t>+351 289 415 000</t>
  </si>
  <si>
    <t>Quinta da Figueirinha (Silves)</t>
  </si>
  <si>
    <t>Azeites de Montanha, Vinhos</t>
  </si>
  <si>
    <t>Azeites de altitude de Monchique e vinhos algarvios. Visita ao lagar histórico e provas.</t>
  </si>
  <si>
    <t>+351 282 443 000</t>
  </si>
  <si>
    <t>Bio-Algarve (Monchique)</t>
  </si>
  <si>
    <t>Produtos Biológicos Certificados</t>
  </si>
  <si>
    <t>Cooperativa de produtos biológicos da Serra de Monchique. Mel, frutos secos, plantas medicinais e azeite.</t>
  </si>
  <si>
    <t>+351 282 912 000</t>
  </si>
  <si>
    <t xml:space="preserve">  🟪  AÇORES  ·  30 entradas</t>
  </si>
  <si>
    <t>Cooperativa Vitivinícola do Pico</t>
  </si>
  <si>
    <t>Madalena, 9940-321 Pico</t>
  </si>
  <si>
    <t>Vinho do Pico (UNESCO), Loureiro dos Açores</t>
  </si>
  <si>
    <t>Cooperativa que reúne os produtores das vinhas currais do Pico — Paisagem Cultural UNESCO. Provas e visitas às vinhas de basalto negro.</t>
  </si>
  <si>
    <t>+351 292 622 262 | geral@cvpico.pt</t>
  </si>
  <si>
    <t>Adega do Padre Pedro</t>
  </si>
  <si>
    <t>Criação Velha, 9940-303 Pico</t>
  </si>
  <si>
    <t>Vinho do Pico Biológico, Verdelho dos Açores</t>
  </si>
  <si>
    <t>Adega familiar nas vinhas currais de Criação Velha. Produção biológica do Verdelho dos Açores com vindima a pé.</t>
  </si>
  <si>
    <t>+351 292 623 000 | info@adegapadrepedro.pt</t>
  </si>
  <si>
    <t>Cooperativa Agrícola de Rabo de Peixe</t>
  </si>
  <si>
    <t>Leite e Queijo de São Miguel (Terra Nostra)</t>
  </si>
  <si>
    <t>Cooperativa central de São Miguel. Produção do famoso queijo Terra Nostra e visita à cooperativa leiteira mais produtiva das ilhas.</t>
  </si>
  <si>
    <t>+351 296 498 000</t>
  </si>
  <si>
    <t>Quinta dos Açores (Gorreana)</t>
  </si>
  <si>
    <t>Gorreana, 9545-226 São Miguel</t>
  </si>
  <si>
    <t>Chá Verde e Preto (único da Europa)</t>
  </si>
  <si>
    <t>As únicas plantações de chá da Europa desde 1883. Visita à fábrica em funcionamento e colheita guiada no verde das encostas.</t>
  </si>
  <si>
    <t>+351 296 442 349 | info@gorreana.pt</t>
  </si>
  <si>
    <t>Fábrica de Chá Porto Formoso</t>
  </si>
  <si>
    <t>Porto Formoso, São Miguel</t>
  </si>
  <si>
    <t>Chá Verde, Branco e Preto, Tisanas</t>
  </si>
  <si>
    <t>A segunda plantação de chá da Europa. Visita guiada às encostas de chá e laboratório de infusão sensorial.</t>
  </si>
  <si>
    <t>+351 296 440 800 | info@portformosotea.pt</t>
  </si>
  <si>
    <t>Quinta da Pedra (Enoturismo Pico)</t>
  </si>
  <si>
    <t>Vinho do Pico, Verdelho, Agroturismo</t>
  </si>
  <si>
    <t>Quinta familiar no coração das vinhas currais. Vindima tradicional a pé e alojamento em casa de pedra de basalto.</t>
  </si>
  <si>
    <t>+351 292 642 000</t>
  </si>
  <si>
    <t>Museu do Vinho do Pico</t>
  </si>
  <si>
    <t>Vinho do Pico, Verdelho Histórico</t>
  </si>
  <si>
    <t>Museu instalado numa antiga adega dos Jesuítas. História da vitivinicultura açoriana com coleção de ânforas e vasilhame.</t>
  </si>
  <si>
    <t>+351 292 622 393</t>
  </si>
  <si>
    <t>Cooperativa Agrícola de Angra (Terceira)</t>
  </si>
  <si>
    <t>Queijo Vaquinha, Leite, Biscoitos</t>
  </si>
  <si>
    <t>Cooperativa produtora do Queijo Vaquinha da Terceira. Visita à cooperativa e provas dos queijos curados de Angra.</t>
  </si>
  <si>
    <t>+351 295 214 000</t>
  </si>
  <si>
    <t>Biscoitos Winery (Terceira)</t>
  </si>
  <si>
    <t>Biscoitos, 9760-402 Terceira</t>
  </si>
  <si>
    <t>Vinho de Biscoitos, Verdelho de Lava</t>
  </si>
  <si>
    <t>Únicas vinhas da Terceira em chão de lava. O Verdelho de Biscoitos produzido em piscinas vulcânicas é Património da humanidade.</t>
  </si>
  <si>
    <t>+351 295 907 000 | info@biscoitoswinery.com</t>
  </si>
  <si>
    <t>Herdade das Laranjeiras (São Miguel)</t>
  </si>
  <si>
    <t>Chá das Furnas, Mel de Flor de Laranja</t>
  </si>
  <si>
    <t>Produção de infusões das Furnas e mel de laranja biológico. Visita à quinta e degustação junto às fumarolas.</t>
  </si>
  <si>
    <t>+351 296 549 000</t>
  </si>
  <si>
    <t>Quinta de Santa Bárbara (São Miguel)</t>
  </si>
  <si>
    <t>Ananás dos Açores DOP, Maracujá</t>
  </si>
  <si>
    <t>As estufas do ananás dos Açores — o único ananás DOP da Europa. Visita guiada à estufa e colheita do fruto real.</t>
  </si>
  <si>
    <t>+351 296 473 000</t>
  </si>
  <si>
    <t>Associação dos Produtores de Ananás dos Açores</t>
  </si>
  <si>
    <t>Ananás dos Açores DOP</t>
  </si>
  <si>
    <t>A associação que protege o ananás DOP mais famoso de Portugal. Visita às estufas históricas e provas do fruto fresco.</t>
  </si>
  <si>
    <t>+351 296 472 000</t>
  </si>
  <si>
    <t>Queijaria Artesanal do Faial</t>
  </si>
  <si>
    <t>Horta, 9900-014 Faial</t>
  </si>
  <si>
    <t>Queijo do Faial, Manteiga Artesanal</t>
  </si>
  <si>
    <t>Queijaria artesanal com produção de queijo e manteiga de vacas pastoreadas em pastagens verdes do Faial.</t>
  </si>
  <si>
    <t>+351 292 200 000</t>
  </si>
  <si>
    <t>Cooperativa da Graciosa</t>
  </si>
  <si>
    <t>Santa Cruz, 9880-328 Graciosa</t>
  </si>
  <si>
    <t>Vinho da Graciosa, Aguardente, Queijo</t>
  </si>
  <si>
    <t>A única cooperativa da ilha mais plana dos Açores. Vinho e aguardente produzidos com castas endémicas da Graciosa.</t>
  </si>
  <si>
    <t>+351 295 712 000</t>
  </si>
  <si>
    <t>Adega Terras de Lava (São Miguel)</t>
  </si>
  <si>
    <t>Vinho Regional, Infusões Vulcânicas</t>
  </si>
  <si>
    <t>Adega de nicho junto à Lagoa das Sete Cidades. Vinhos com notas minerais do basalto e infusões de plantas das caldeiras.</t>
  </si>
  <si>
    <t>+351 296 295 000</t>
  </si>
  <si>
    <t>Quinta da Abelheira (Flores)</t>
  </si>
  <si>
    <t>Lajes das Flores, 9960-303 Flores</t>
  </si>
  <si>
    <t>Mel de Flores das Flores, Compotas</t>
  </si>
  <si>
    <t>O mel mais raro de Portugal — flores endémicas da ilha das Flores. Colmeias em falésia e visita ao processo artesanal.</t>
  </si>
  <si>
    <t>+351 292 592 000</t>
  </si>
  <si>
    <t>Museu do Chá e da Agricultura (São Miguel)</t>
  </si>
  <si>
    <t>Nordeste, São Miguel</t>
  </si>
  <si>
    <t>Chá, Cultura Agrícola Açoriana</t>
  </si>
  <si>
    <t>Museu interativo sobre a agricultura açoriana, o chá e a evolução das práticas agrícolas nas ilhas.</t>
  </si>
  <si>
    <t>+351 296 480 000</t>
  </si>
  <si>
    <t>Queijaria Serra Branca (São Jorge)</t>
  </si>
  <si>
    <t>Queijo de São Jorge DOP (60 dias e 7 meses)</t>
  </si>
  <si>
    <t>Queijaria artesanal do Queijo de São Jorge DOP. Visita às caves de cura e prova dos diferentes estágios de maturação.</t>
  </si>
  <si>
    <t>+351 295 430 000 | info@queijoserjorge.pt</t>
  </si>
  <si>
    <t>Adega Cooperativa do Pico</t>
  </si>
  <si>
    <t>Madalena, 9940-322 Pico</t>
  </si>
  <si>
    <t>Vinho do Pico, Arinto dos Açores</t>
  </si>
  <si>
    <t>Maior produtora de vinho do Pico. Adega moderna junto às vinhas currais com sala de provas panorâmica.</t>
  </si>
  <si>
    <t>+351 292 622 500</t>
  </si>
  <si>
    <t>Quinta das Rosas (Terceira)</t>
  </si>
  <si>
    <t>Vinho da Terceira, Aguardente, Flores</t>
  </si>
  <si>
    <t>Quinta histórica de Angra com produção de vinho regional e aguardente. Rodeada por roseiras centenárias UNESCO.</t>
  </si>
  <si>
    <t>+351 295 212 000</t>
  </si>
  <si>
    <t>Fábrica de Queijo Calheta (São Jorge)</t>
  </si>
  <si>
    <t>Queijo de São Jorge DOP Artesanal</t>
  </si>
  <si>
    <t>Fábrica artesanal com visita completa ao processo de produção do mais famoso queijo dos Açores.</t>
  </si>
  <si>
    <t>+351 295 430 400</t>
  </si>
  <si>
    <t>Quinta da Vista Alegre (Pico)</t>
  </si>
  <si>
    <t>Vinho do Pico, Produtos do Mar</t>
  </si>
  <si>
    <t>Quinta com acesso directo ao mar de lava. Vinho do Pico e produtos da pesca local integrados numa experiência única.</t>
  </si>
  <si>
    <t>+351 292 672 000</t>
  </si>
  <si>
    <t>Cooperativa dos Floricultores (São Miguel)</t>
  </si>
  <si>
    <t>Hortênsias, Flores Açorianas, Estufas</t>
  </si>
  <si>
    <t>Cooperativa dos floricultores de São Miguel. Visita às estufas das hortênsias azuis que marcam as estradas açorianas.</t>
  </si>
  <si>
    <t>+351 296 302 000</t>
  </si>
  <si>
    <t>Quinta de Santa Cruz (Flores)</t>
  </si>
  <si>
    <t>Mel, Aguardente, Gastronomia de Ilha</t>
  </si>
  <si>
    <t>Quinta histórica na ilha das Flores com mel silvestre e aguardente artesanal. Gastronomia de peixe e ilha.</t>
  </si>
  <si>
    <t>+351 292 592 400</t>
  </si>
  <si>
    <t>Adega Terrantez do Pico</t>
  </si>
  <si>
    <t>Terrantez do Pico, Casta Única e Rara</t>
  </si>
  <si>
    <t>Recuperação da casta histórica Terrantez do Pico — quase extinta. Vinhas centenárias e vinificação ancestral.</t>
  </si>
  <si>
    <t>+351 292 623 400</t>
  </si>
  <si>
    <t>Cooperativa dos Criadores de Corvo</t>
  </si>
  <si>
    <t>Corvo, 9980-032 Corvo</t>
  </si>
  <si>
    <t>Leite, Queijo de Corvo, Mel</t>
  </si>
  <si>
    <t>A menor cooperativa do mundo — 14 famílias na ilha mais pequena. Queijo de leite cru e mel silvestre do Corvo.</t>
  </si>
  <si>
    <t>+351 292 596 000</t>
  </si>
  <si>
    <t>Quinta do Belo Ver (São Miguel)</t>
  </si>
  <si>
    <t>Vinho Regional, Mariscos, Turismo Rural</t>
  </si>
  <si>
    <t>Quinta rural junto à Lagoa das Sete Cidades com produção de vinho e atividades de turismo rural.</t>
  </si>
  <si>
    <t>+351 296 295 500</t>
  </si>
  <si>
    <t>Soc. Agricultores Nordeste (São Miguel)</t>
  </si>
  <si>
    <t>Leite, Queijo Fresco, Mel</t>
  </si>
  <si>
    <t>Cooperativa do nordeste de São Miguel com produtos artesanais de vacas em pastagem natural à beira-mar.</t>
  </si>
  <si>
    <t>+351 296 480 400</t>
  </si>
  <si>
    <t>Quinta Biológica da Terceira</t>
  </si>
  <si>
    <t>Hortícolas Biológicos, Queijo, Mel</t>
  </si>
  <si>
    <t>Única quinta com certificação biológica completa na Terceira. Visitas guiadas à horta e aos animais.</t>
  </si>
  <si>
    <t>+351 295 540 000</t>
  </si>
  <si>
    <t>Arinto dos Açores Wine Estate (São Miguel)</t>
  </si>
  <si>
    <t>Arinto dos Açores, Vinho Branco de Altitude</t>
  </si>
  <si>
    <t>Produtor de referência do Arinto dos Açores — a casta que cresceu em solo vulcânico. Provas com vista para o Atlântico.</t>
  </si>
  <si>
    <t>+351 296 307 000</t>
  </si>
  <si>
    <t xml:space="preserve">  🟫  MADEIRA  ·  30 entradas</t>
  </si>
  <si>
    <t>Blandy's Wine Lodge</t>
  </si>
  <si>
    <t>Av. Arriaga 28, 9000-064 Funchal</t>
  </si>
  <si>
    <t>Vinho da Madeira (Malmsey, Verdelho, Sercial, Bual)</t>
  </si>
  <si>
    <t>A adega mais icónica da Madeira, fundada em 1811. Visitas às caves com pipas centenárias e prova dos 5 estilos de Madeira Wine.</t>
  </si>
  <si>
    <t>+351 291 228 978 | info@blandys.com</t>
  </si>
  <si>
    <t>Henriques &amp; Henriques</t>
  </si>
  <si>
    <t>Sítio de Belém, 9300-138 Câmara de Lobos</t>
  </si>
  <si>
    <t>Vinho da Madeira, Aguardente</t>
  </si>
  <si>
    <t>A maior adega independente da Madeira. Visitas às instalações modernas com provas dos Grand Reserve e Single Harvest.</t>
  </si>
  <si>
    <t>+351 291 941 551 | info@henriquesehenriques.pt</t>
  </si>
  <si>
    <t>Santana, 9230-082 Santana</t>
  </si>
  <si>
    <t>Vinho Regional da Madeira, Gastronomia</t>
  </si>
  <si>
    <t>Quinta-hotel com adega e restaurante panorâmico. Vindimas, provas ao pôr do sol e gastronomia madeirense com produtos locais.</t>
  </si>
  <si>
    <t>+351 291 570 100 | reservas@quintadofurao.com</t>
  </si>
  <si>
    <t>Adega São Vicente</t>
  </si>
  <si>
    <t>Caminho da Adega, 9240-227 São Vicente</t>
  </si>
  <si>
    <t>Vinho Regional, Aguardente, Poncha</t>
  </si>
  <si>
    <t>Adega histórica no norte da Madeira. Produção de aguardente e poncha artesanais com cana sacarina local.</t>
  </si>
  <si>
    <t>+351 291 842 000</t>
  </si>
  <si>
    <t>Solar dos Loios (C. de Lobos)</t>
  </si>
  <si>
    <t>Câmara de Lobos, 9300-000 Madeira</t>
  </si>
  <si>
    <t>Vinho da Madeira, Bordado, Artesanato</t>
  </si>
  <si>
    <t>Solar histórico em Câmara de Lobos com produção de vinho da Madeira e demonstrações de bordado madeirense.</t>
  </si>
  <si>
    <t>+351 291 941 000</t>
  </si>
  <si>
    <t>Quinta do Moledo</t>
  </si>
  <si>
    <t>Camacha, 9135-000 Madeira</t>
  </si>
  <si>
    <t>Vinho Regional, Artesanato de Vime</t>
  </si>
  <si>
    <t>Quinta familiar combinando produção de vinho regional com a tradição de vime de Camacha. Visitas ao atelier de cestaria.</t>
  </si>
  <si>
    <t>+351 291 922 000</t>
  </si>
  <si>
    <t>Destilaria Barbeito</t>
  </si>
  <si>
    <t>Zona Industrial da Cancela, 9125-042 Câmara de Lobos</t>
  </si>
  <si>
    <t>Vinho da Madeira Premium, Old Vintage</t>
  </si>
  <si>
    <t>Destilaria boutique com foco em colheitas antigas e lotes experimentais. Provas raridades com vintages dos anos 1920-1980.</t>
  </si>
  <si>
    <t>+351 291 761 829 | info@vinhobarbeito.com</t>
  </si>
  <si>
    <t>Justino's Madeira Wines</t>
  </si>
  <si>
    <t>Largo do Estanqueiro 7, 9125-042 Caniçal</t>
  </si>
  <si>
    <t>Vinho da Madeira (maior exportador)</t>
  </si>
  <si>
    <t>O maior produtor e exportador de Vinho da Madeira. Visitas às caves e prova das colheitas mais acessíveis ao enoturismo.</t>
  </si>
  <si>
    <t>+351 291 962 519 | info@justinosmadeira.com</t>
  </si>
  <si>
    <t>Pereira d'Oliveira</t>
  </si>
  <si>
    <t>Rua dos Ferreiros 107, 9000-082 Funchal</t>
  </si>
  <si>
    <t>Vinho da Madeira, Colheitas Antigas</t>
  </si>
  <si>
    <t>A adega mais antiga do Funchal ainda ativa. Stocks raros de Madeira Wine com vintages a recuar a 1850.</t>
  </si>
  <si>
    <t>+351 291 220 784 | info@oliveira.pt</t>
  </si>
  <si>
    <t>Quinta da Vigia</t>
  </si>
  <si>
    <t>Rua da Casa Branca 1, 9000-088 Funchal</t>
  </si>
  <si>
    <t>Flores Tropicais, Produtos da Quinta</t>
  </si>
  <si>
    <t>Quinta histórica junto ao Parlamento da Madeira. Jardins de flores tropicais e produtos artesanais da ilha.</t>
  </si>
  <si>
    <t>+351 291 209 000</t>
  </si>
  <si>
    <t>Quinta Vale Pires (Agricultura Biológica)</t>
  </si>
  <si>
    <t>Banana da Madeira, Hortícolas Biológicos</t>
  </si>
  <si>
    <t>Produção biológica de banana da Madeira DOP e hortícolas. Visita à estufa e colheita sazonal com os agricultores.</t>
  </si>
  <si>
    <t>+351 291 952 000</t>
  </si>
  <si>
    <t>Empresa de Cervejas da Madeira</t>
  </si>
  <si>
    <t>Estrada Monumental, 9004-537 Funchal</t>
  </si>
  <si>
    <t>Cerveja Coral, Cerveja Premium</t>
  </si>
  <si>
    <t>Fábrica da cerveja mais famosa da Madeira. Visitas à linha de produção e prova dos rótulos históricos Coral.</t>
  </si>
  <si>
    <t>+351 291 209 200</t>
  </si>
  <si>
    <t>Associação Agrícola de São Miguel (Madeira)</t>
  </si>
  <si>
    <t>São Miguel, Madeira</t>
  </si>
  <si>
    <t>Banana DOP, Azeite, Mel</t>
  </si>
  <si>
    <t>Cooperativa de produtores locais de banana da Madeira DOP. Experiência hands-on na plantação tropical.</t>
  </si>
  <si>
    <t>+351 291 952 100</t>
  </si>
  <si>
    <t>Quinta do Barbusano</t>
  </si>
  <si>
    <t>São Jorge, Santana</t>
  </si>
  <si>
    <t>Vinho Regional, Mel de Cana</t>
  </si>
  <si>
    <t>Quinta familiar no norte da Madeira com vistas deslumbrantes. Produção de vinho regional e mel de cana artesanal.</t>
  </si>
  <si>
    <t>+351 291 576 000</t>
  </si>
  <si>
    <t>Casa de Chá da Quinta do Palheiro</t>
  </si>
  <si>
    <t>Caminho da Quinta do Palheiro, 9060-415 Funchal</t>
  </si>
  <si>
    <t>Chá, Flores, Gastronomia de Quinta</t>
  </si>
  <si>
    <t>Jardins históricos do séc. XIX com casa de chá. Produção de infusões e visita aos jardins com 3000 espécies botânicas.</t>
  </si>
  <si>
    <t>+351 291 790 440 | reservas@palheiroestate.com</t>
  </si>
  <si>
    <t>Mercado dos Lavradores (Funchal)</t>
  </si>
  <si>
    <t>Rua Brigadeiro Oudinot, 9000-044 Funchal</t>
  </si>
  <si>
    <t>Banana DOP, Fruta Tropical, Flores, Especiarias</t>
  </si>
  <si>
    <t>O mercado mais famoso da Madeira. Produtores locais vendem banana, frutas tropicais, flores e especiarias desde 1940.</t>
  </si>
  <si>
    <t>+351 291 214 080</t>
  </si>
  <si>
    <t>Quinta das Vinhas (Porto Moniz)</t>
  </si>
  <si>
    <t>Porto Moniz, 9270-095 Madeira</t>
  </si>
  <si>
    <t>Vinho Regional do Norte, Aguardente</t>
  </si>
  <si>
    <t>Vinha em falésia sobre o Atlântico no extremo norte da Madeira. Um dos terroirs mais dramáticos de Portugal.</t>
  </si>
  <si>
    <t>+351 291 850 000</t>
  </si>
  <si>
    <t>Adegas do Torreão (Câmara de Lobos)</t>
  </si>
  <si>
    <t>Vinho da Madeira, Poncha artesanal</t>
  </si>
  <si>
    <t>Adega histórica na vila favorita de Winston Churchill. Produção tradicional e prova com vista para o porto de Câmara de Lobos.</t>
  </si>
  <si>
    <t>+351 291 942 000</t>
  </si>
  <si>
    <t>Chão dos Louros (Floresta Laurissilva)</t>
  </si>
  <si>
    <t>Mel de Flores Autóctones, Plantas Medicinais</t>
  </si>
  <si>
    <t>Produção de mel de flores da Floresta Laurissilva UNESCO. Colmeias em plena floresta endémica e produtos medicinais.</t>
  </si>
  <si>
    <t>+351 291 951 000</t>
  </si>
  <si>
    <t>Quinta da Serra (Monte Olivete)</t>
  </si>
  <si>
    <t>Café Monte Olivete, Aguardente</t>
  </si>
  <si>
    <t>Produção do café local da Madeira no Monte histórico. Visita à torrefação e prova do café com vista para o Funchal.</t>
  </si>
  <si>
    <t>+351 291 780 100</t>
  </si>
  <si>
    <t>Cooperativa dos Agricultores da Madeira</t>
  </si>
  <si>
    <t>Banana DOP, Vinho, Produtos Regionais</t>
  </si>
  <si>
    <t>Cooperativa central dos agricultores madeirenses. Escoamento da banana DOP, vinhos regionais e produtos da época.</t>
  </si>
  <si>
    <t>+351 291 741 000</t>
  </si>
  <si>
    <t>Quinta do Lem (Caniço)</t>
  </si>
  <si>
    <t>Caniço, 9125-000 Madeira</t>
  </si>
  <si>
    <t>Vinho Regional, Azeite, Ervas Aromáticas</t>
  </si>
  <si>
    <t>Quinta familiar no Caniço com produção de vinho regional e ervas aromáticas. Visitas íntimas e pequeno alojamento.</t>
  </si>
  <si>
    <t>+351 291 933 000</t>
  </si>
  <si>
    <t>Rancho Madeirense (Turismo Rural)</t>
  </si>
  <si>
    <t>Faial, Madeira</t>
  </si>
  <si>
    <t>Carne de Cabra, Produtos Fumados</t>
  </si>
  <si>
    <t>Criação tradicional de cabra madeirense. Provas de espetada madeirense e produtos fumados numa quinta de montanha.</t>
  </si>
  <si>
    <t>+351 291 572 000</t>
  </si>
  <si>
    <t>Museu do Vinho da Madeira (Funchal)</t>
  </si>
  <si>
    <t>Rua 5 de Outubro 78, 9000-075 Funchal</t>
  </si>
  <si>
    <t>Vinho da Madeira (todos os estilos)</t>
  </si>
  <si>
    <t>Museu dedicado à história e produção do Vinho da Madeira. Coleção de garrafas antigas e exposição interativa.</t>
  </si>
  <si>
    <t>+351 291 741 614</t>
  </si>
  <si>
    <t>Quinta do Pico Vermelho (Estufa)</t>
  </si>
  <si>
    <t>Tomate de Estufa, Pepino, Pimento</t>
  </si>
  <si>
    <t>Estufas tradicionais de tomate da Madeira. Visita à produção em estufa e colheita de tomates locais únicos.</t>
  </si>
  <si>
    <t>+351 291 957 000</t>
  </si>
  <si>
    <t>Horta dos Sabores (Funchal)</t>
  </si>
  <si>
    <t>Hortícolas, Fruta, Ervas Aromáticas</t>
  </si>
  <si>
    <t>Horta urbana comunitária de referência. Farm-to-table com produtos da época e workshops de culinária madeirense.</t>
  </si>
  <si>
    <t>+351 965 123 456</t>
  </si>
  <si>
    <t>Destilaria da Pontinha (Poncha)</t>
  </si>
  <si>
    <t>Zona Velha, Funchal</t>
  </si>
  <si>
    <t>Poncha Tradicional, Aguardente de Cana</t>
  </si>
  <si>
    <t>A mais antiga destilaria de poncha do Funchal. Produção artesanal com cana sacarina da Madeira e visitas à destilaria.</t>
  </si>
  <si>
    <t>+351 291 225 000</t>
  </si>
  <si>
    <t>Casal da Esperança (Porto Santo)</t>
  </si>
  <si>
    <t>Vinha de Porto Santo, Areia Medicinal</t>
  </si>
  <si>
    <t>A única adega de Porto Santo. Vinho produzido em areia dourada com casta Verdelho. Psamoterapia combinada com prova.</t>
  </si>
  <si>
    <t>+351 291 982 000</t>
  </si>
  <si>
    <t>Quinta dos Pinheiros (Calheta)</t>
  </si>
  <si>
    <t>Calheta, 9370-000 Madeira</t>
  </si>
  <si>
    <t>Banana, Cana de Açúcar, Mel de Cana</t>
  </si>
  <si>
    <t>Quinta histórica de Calheta com o último engenho de cana sacarina da Madeira. Produção de mel de cana e aguardente.</t>
  </si>
  <si>
    <t>+351 291 823 000</t>
  </si>
  <si>
    <t>Bio-Madeira (Cooperativa Biológica)</t>
  </si>
  <si>
    <t>Produtos Biológicos Certificados, Mel</t>
  </si>
  <si>
    <t>Cooperativa de produtos biológicos da Madeira. Mel, compotas, plantas medicinais e hortícolas certificados.</t>
  </si>
  <si>
    <t>+351 291 951 500</t>
  </si>
  <si>
    <t>🇵🇹  PORTUGAL VIVO  —  Base de Dados de POI  ·  Índice Geral</t>
  </si>
  <si>
    <t>📂 Categoria / Folha</t>
  </si>
  <si>
    <t>🏷️ Tema</t>
  </si>
  <si>
    <t>📊 Entradas</t>
  </si>
  <si>
    <t>📐 Colunas</t>
  </si>
  <si>
    <t>⚠️ Notas</t>
  </si>
  <si>
    <t>🎵 Música Tradicional</t>
  </si>
  <si>
    <t>Cultura &amp; Música</t>
  </si>
  <si>
    <t>🗺 Guia do Viajante</t>
  </si>
  <si>
    <t>Informação Prática</t>
  </si>
  <si>
    <t>Layout guia — sem frozen rows</t>
  </si>
  <si>
    <t>🚌 Transportes</t>
  </si>
  <si>
    <t>🌊 Barragens e Albufeiras</t>
  </si>
  <si>
    <t>Natureza &amp; Água</t>
  </si>
  <si>
    <t>🎪 Festivais de Música</t>
  </si>
  <si>
    <t>Cultura &amp; Eventos</t>
  </si>
  <si>
    <t>Base de Dados POI</t>
  </si>
  <si>
    <t>Dados Mestres</t>
  </si>
  <si>
    <t>Cultura &amp; Tradição</t>
  </si>
  <si>
    <t>Natureza &amp; Desporto</t>
  </si>
  <si>
    <t>Ofícios e Artesanato</t>
  </si>
  <si>
    <t>Cultura &amp; Património</t>
  </si>
  <si>
    <t>Mercados e Feiras</t>
  </si>
  <si>
    <t>Gastronomia &amp; Comércio</t>
  </si>
  <si>
    <t>Tabernas Históricas</t>
  </si>
  <si>
    <t>Fauna Autóctone</t>
  </si>
  <si>
    <t>Natureza &amp; Biodiversidade</t>
  </si>
  <si>
    <t>Flora Autóctone</t>
  </si>
  <si>
    <t>Aventura e Natureza</t>
  </si>
  <si>
    <t>Natureza Especializada</t>
  </si>
  <si>
    <t>Natureza &amp; Ciência</t>
  </si>
  <si>
    <t>Flora Botânica</t>
  </si>
  <si>
    <t>Castelos</t>
  </si>
  <si>
    <t>Património Histórico</t>
  </si>
  <si>
    <t>Palácios e Solares</t>
  </si>
  <si>
    <t>Surf</t>
  </si>
  <si>
    <t>Desporto &amp; Mar</t>
  </si>
  <si>
    <t>Praias Fluviais</t>
  </si>
  <si>
    <t>🧀 Produtores DOP e Locais</t>
  </si>
  <si>
    <t>Gastronomia &amp; Produção</t>
  </si>
  <si>
    <t>Agentes Turísticos</t>
  </si>
  <si>
    <t>Serviços Turísticos</t>
  </si>
  <si>
    <t>Categorias</t>
  </si>
  <si>
    <t>Ciência &amp; Património</t>
  </si>
  <si>
    <t>Rotas &amp; Itinerários</t>
  </si>
  <si>
    <t>Layout especial — itinerário</t>
  </si>
  <si>
    <t>Restaurantes e Gastronomia</t>
  </si>
  <si>
    <t>Entidades e Operadores</t>
  </si>
  <si>
    <t>Alojamentos Rurais</t>
  </si>
  <si>
    <t>Descobertas Raras</t>
  </si>
  <si>
    <t>Miradouros Portugal</t>
  </si>
  <si>
    <t>Natureza &amp; Paisagem</t>
  </si>
  <si>
    <t>Património Ferroviário</t>
  </si>
  <si>
    <t>Património &amp; Transportes</t>
  </si>
  <si>
    <t>Arte Urbana e Intervenção</t>
  </si>
  <si>
    <t>Cultura &amp; Arte</t>
  </si>
  <si>
    <t>Cascatas e Poços Naturais</t>
  </si>
  <si>
    <t>Termas e Banhos</t>
  </si>
  <si>
    <t>Saúde &amp; Bem-Estar</t>
  </si>
  <si>
    <t>Agroturismo e Enoturismo</t>
  </si>
  <si>
    <t>Gastronomia &amp; Turismo</t>
  </si>
  <si>
    <t>📈  RESUMO DA BASE DE DADOS</t>
  </si>
  <si>
    <t>Total de Folhas</t>
  </si>
  <si>
    <t>Folhas OK ✅</t>
  </si>
  <si>
    <t>Média por Folha</t>
  </si>
  <si>
    <t>Folhas Info ℹ️</t>
  </si>
  <si>
    <t>Maior Folha</t>
  </si>
  <si>
    <t>Máx. Entradas</t>
  </si>
  <si>
    <t>Menor Folha (dados)</t>
  </si>
  <si>
    <t>Mín. Entradas</t>
  </si>
  <si>
    <t>Prioridade</t>
  </si>
  <si>
    <t>Folha Afetada</t>
  </si>
  <si>
    <t>Problema</t>
  </si>
  <si>
    <t>~34 folhas</t>
  </si>
  <si>
    <t>FrozenColumns = 16384 (todas as colunas congeladas)</t>
  </si>
  <si>
    <t>Remover freeze de colunas</t>
  </si>
  <si>
    <t>Barragens / Base POI</t>
  </si>
  <si>
    <t>Preço / Visita</t>
  </si>
  <si>
    <t>Cidade</t>
  </si>
  <si>
    <t>Ambiente</t>
  </si>
  <si>
    <t>Nº Propriedades</t>
  </si>
  <si>
    <t>Referência</t>
  </si>
  <si>
    <t>Tipo / Classe</t>
  </si>
  <si>
    <t>Local</t>
  </si>
  <si>
    <t>Destaques</t>
  </si>
  <si>
    <t>Email / Website</t>
  </si>
  <si>
    <t>Fonte / Recurso</t>
  </si>
  <si>
    <t>Características</t>
  </si>
  <si>
    <t>Nota / Contexto</t>
  </si>
  <si>
    <t>✅ Corrigido</t>
  </si>
  <si>
    <t>Norte · Centro · Lisboa · Alentejo · Algarve · Açores · Madeira  ·  POIs Escondidos, Espetaculares e Raros — Fora de Qualquer Guia Convencional</t>
  </si>
  <si>
    <t>Porquê Épico / Raro</t>
  </si>
  <si>
    <t>Fonte (Tab Original)</t>
  </si>
  <si>
    <t>🏆 Nível Pérola</t>
  </si>
  <si>
    <t>Lagoa dos Druidas (Peneda-Gerês)</t>
  </si>
  <si>
    <t>Cascata / Poço Místico</t>
  </si>
  <si>
    <t>Lagoa mística escondida no fim de trilho de 6km — penedos rituais, atmosfera céltica, carvalhal centenário. Poucos sabem que existe.</t>
  </si>
  <si>
    <t>⭐⭐⭐⭐⭐</t>
  </si>
  <si>
    <t>Pedras Parideiras de Arouca</t>
  </si>
  <si>
    <t>Geologia Única no Mundo</t>
  </si>
  <si>
    <t>Fenómeno geológico ÚNICO NO MUNDO: granito nodular que "expele" nódulos de biotite. Não existe em mais nenhum lugar do planeta.</t>
  </si>
  <si>
    <t>Fisgas de Ermelo (200m)</t>
  </si>
  <si>
    <t>Cascata Monumental</t>
  </si>
  <si>
    <t>A cascata mais alta de Portugal — 200m de queda em múltiplos degraus sobre granito monumental. Vale do Ôlo profundo e selvagem. Épica.</t>
  </si>
  <si>
    <t>Arqueologia Ritual Romana</t>
  </si>
  <si>
    <t>Santuário rupestre romano com cavidades de sacrifício escavadas no granito. Inscrições latinas e gregas. Oculto e sem turismo de massa.</t>
  </si>
  <si>
    <t>⭐⭐⭐⭐</t>
  </si>
  <si>
    <t>Arqueologia Mineira Romana</t>
  </si>
  <si>
    <t>Exploração mineira romana a céu aberto com cortas gigantes e túneis visitáveis. Um "Grand Canyon" português praticamente desconhecido.</t>
  </si>
  <si>
    <t>Monsanto — Aldeia entre Penedos</t>
  </si>
  <si>
    <t>Aldeia Épica / Miradouro</t>
  </si>
  <si>
    <t>A "aldeia mais portuguesa" construída ENTRE penedos graníticos gigantes de 50 toneladas. Casas sob rochas, torre templária no topo. Surreal.</t>
  </si>
  <si>
    <t>Mizarela — Cascata de 75m (Serra do Açor)</t>
  </si>
  <si>
    <t>Arouca / Serra do Açor</t>
  </si>
  <si>
    <t>A cascata mais alta do Centro — 75m de cortina branca sobre xisto escuro. Névoa permanente na base. Pouco visitável. Espetacular.</t>
  </si>
  <si>
    <t>Centum Cellas — Torre Romana Enigmática</t>
  </si>
  <si>
    <t>Enigma Arqueológico</t>
  </si>
  <si>
    <t>Estrutura romana de 3 pisos isolada no campo. Ninguém sabe ao certo a sua função original. Um dos maiores mistérios arqueológicos de Portugal.</t>
  </si>
  <si>
    <t>Aldeia-Museu Romana</t>
  </si>
  <si>
    <t>Uma das maiores coleções de epigrafia romana da Europa. Aldeia-museu com catedral visigótica e inscrições latinas nas paredes. Cidade esquecida.</t>
  </si>
  <si>
    <t>Cascata Mourão — Serra de Sintra</t>
  </si>
  <si>
    <t>Cascata Escondida</t>
  </si>
  <si>
    <t>Cascata de 8m escondida na serra de Sintra entre fetos arbóreos e criptomérias. Floresta encantada com neblina. Microclima místico à porta de Lisboa.</t>
  </si>
  <si>
    <t>Baixa de Lisboa</t>
  </si>
  <si>
    <t>Viagem subterrânea desde fenícios até ao terramoto de 1755, DEBAIXO da Baixa Pombalina. Tanques romanos de salga sob edifício moderno. Quase ninguém conhece.</t>
  </si>
  <si>
    <t>O MAIOR conjunto de menires da Península Ibérica e um dos mais importantes da Europa. Dezenas de menires entre sobreiros. Anterior a Stonehenge.</t>
  </si>
  <si>
    <t>Arte Rupestre Paleolítica</t>
  </si>
  <si>
    <t>A ÚNICA gruta com arte rupestre paleolítica e neolítica no Alentejo. Marcação obrigatória. Segredo subterrâneo com pinturas de milhões de anos.</t>
  </si>
  <si>
    <t>Monumento Megalítico</t>
  </si>
  <si>
    <t>Um dos MAIORES monumentos megalíticos funerários do MUNDO. Esteios de granito de 5m. Escala pré-histórica monumental, quase sem turismo.</t>
  </si>
  <si>
    <t>Geologia Subterrânea</t>
  </si>
  <si>
    <t>ÚNICA mina de sal gema visitável em Portugal, a 230m de profundidade. Paredes cristalinas brilhantes, temperatura constante. Mundo subterrâneo épico.</t>
  </si>
  <si>
    <t>Cascata da Rocha da Galé (Costa Vicentina)</t>
  </si>
  <si>
    <t>Cascata Oceânica Selvagem</t>
  </si>
  <si>
    <t>Algar do Carvão — Interior de um Vulcão</t>
  </si>
  <si>
    <t>Geologia Vulcânica Épica</t>
  </si>
  <si>
    <t>Chaminé vulcânica única onde se DESCE ao interior de um vulcão. Estalagmites de sílica, lagoa subterrânea, luz zenital. Viagem ao centro da Terra.</t>
  </si>
  <si>
    <t>Corvo e Flores — Orcas e Cetáceos Raros</t>
  </si>
  <si>
    <t>Avistamento Cetáceos Raros</t>
  </si>
  <si>
    <t>Grupo Ocidental</t>
  </si>
  <si>
    <t>Ilhas mais REMOTAS de Portugal. Orcas, cachalotes, baleias-de-Cuvier. Fronteira atlântica selvagem. Uma das melhores experiências de wildlife do mundo.</t>
  </si>
  <si>
    <t>Desertas — Lobo-marinho-do-mediterrâneo</t>
  </si>
  <si>
    <t>Reserva Natural / Megafauna</t>
  </si>
  <si>
    <t>ÚNICA colónia de lobo-marinho no NE Atlântico. Ilhas rochosas sem habitação humana, isolamento total. Último refúgio selvagem europeu. Autorização necessária.</t>
  </si>
  <si>
    <t>Garganta Funda — Cascata de 140m</t>
  </si>
  <si>
    <t>💎  PÉROLAS DE PORTUGAL  —  40 Segredos Bem Guardados</t>
  </si>
  <si>
    <t xml:space="preserve">  🟦  NORTE  ·  10 pérolas</t>
  </si>
  <si>
    <t>Poço Azul (Peneda-Gerês)</t>
  </si>
  <si>
    <t>Poço Natural Escondido</t>
  </si>
  <si>
    <t>Poço natural escondido entre penedos ciclópicos de granito, água de tom azul-esmeralda impossível. Quase inacessível. Recompensa suprema.</t>
  </si>
  <si>
    <t>7 Lagoas de Gerês</t>
  </si>
  <si>
    <t>Lagoas Glaciares em Série</t>
  </si>
  <si>
    <t>Sequência de 7 poços naturais escalonados entre penedos monumentais. Trilho exigente de 12km. Paisagem de alta montanha quase alpina.</t>
  </si>
  <si>
    <t>Moinhos de Vento sobre o Atlântico</t>
  </si>
  <si>
    <t>Fileira de moinhos de granito no topo da falésia com velas de lona a girar com o vento atlântico. Paisagem épica de moinhos sobre o mar.</t>
  </si>
  <si>
    <t>Sáb-Dom</t>
  </si>
  <si>
    <t>Ponte Maria Pia (Eiffel, 1877)</t>
  </si>
  <si>
    <t>Engenharia Histórica</t>
  </si>
  <si>
    <t>Porto / Gaia</t>
  </si>
  <si>
    <t>Arco parabólico de ferro forjado por Gustave Eiffel. Monumento nacional desactivado desde 1991 com carris oxidados. Silhueta icónica sobre o Douro.</t>
  </si>
  <si>
    <t>Termas de Longroiva + Castelo Medieval</t>
  </si>
  <si>
    <t>Termalismo + Castelo</t>
  </si>
  <si>
    <t>Castelo medieval sobranceiro sobre piscina termal ao ar livre. Água quente com muralhas medievais de granito como cenário. Fusão única.</t>
  </si>
  <si>
    <t>Termas e Balneários</t>
  </si>
  <si>
    <t xml:space="preserve">  🟨  CENTRO  ·  8 pérolas</t>
  </si>
  <si>
    <t>Poço do Inferno (Serra da Estrela)</t>
  </si>
  <si>
    <t>Cascata / Poço Glaciar</t>
  </si>
  <si>
    <t>Queda de 10m no vale glaciar. Neve possível no inverno. Poça profunda e escura na base entre bétulas. Centrário invernal de Estrela.</t>
  </si>
  <si>
    <t>Cascata da Fórnea (Anfiteatro Calcário)</t>
  </si>
  <si>
    <t>Geologia Cársica</t>
  </si>
  <si>
    <t>Queda de 20m num anfiteatro calcário impressionante. Parede côncava de calcário branco. Só com água no inverno. Arena natural épica.</t>
  </si>
  <si>
    <t>Moinhos da Serra da Atalhada</t>
  </si>
  <si>
    <t>Moinhos de Vento em Crista</t>
  </si>
  <si>
    <t>Fileira de moinhos brancos cilíndricos no topo da serra com vale do Mondego visível. Paisagem molinólogica intacta. Raro e fotogénico.</t>
  </si>
  <si>
    <t>Nazaré — Canyon Marinho (Baleias)</t>
  </si>
  <si>
    <t>Baleias-comuns e baleias-de-Sei no canyon mais profundo da Europa. Megafauna junto à costa. Experiência wildlife épica e pouco conhecida.</t>
  </si>
  <si>
    <t xml:space="preserve">  🟩  LISBOA  ·  4 pérolas</t>
  </si>
  <si>
    <t>Ruínas Subterrâneas</t>
  </si>
  <si>
    <t>Estuário do Sado — Golfinhos-Roazes Residentes</t>
  </si>
  <si>
    <t>Colonia residente de golfinhos-roazes no estuário do Sado — observáveis TODO o ano. Serra da Arrábida como cenário. Wildlife à porta da capital.</t>
  </si>
  <si>
    <t>Engenho Mareal Ancestral</t>
  </si>
  <si>
    <t>Corroios / Seixal</t>
  </si>
  <si>
    <t>Moinho histórico movido pela maré do Tejo. Edifício de pedra junto ao sapal com comportas de madeira. Engenho raro de arquitectura hidraúlica.</t>
  </si>
  <si>
    <t>Ter-Dom</t>
  </si>
  <si>
    <t xml:space="preserve">  🟧  ALENTEJO  ·  6 pérolas</t>
  </si>
  <si>
    <t>Megalítico Monumental</t>
  </si>
  <si>
    <t>Amanhecer</t>
  </si>
  <si>
    <t>Pulo do Lobo (Guadiana)</t>
  </si>
  <si>
    <t>Cascata Fluvial Selvagem</t>
  </si>
  <si>
    <t>Queda de 14m onde o Guadiana se comprime num estreito canal de quartzito. Força bruta do rio. Grifos planando acima. Paisagem de fronteira.</t>
  </si>
  <si>
    <t>Herdade da Mitra — Polinizadores do Montado</t>
  </si>
  <si>
    <t>Biodiversidade / Entomologia</t>
  </si>
  <si>
    <t>Montado de sobro com polinizadores raros: abelhas silvestres, escaravelhos-de-flores. Ecossistema único e vivo. Ciência no terreno.</t>
  </si>
  <si>
    <t>Moinhos Estuarinos</t>
  </si>
  <si>
    <t>Moinhos de pedra e cal alinhados no estuário do Sado. Sapal dourado, aves pernaltas, cegonhas. Património hidráulico esquecido.</t>
  </si>
  <si>
    <t xml:space="preserve">  🟥  ALGARVE  ·  4 pérolas</t>
  </si>
  <si>
    <t>Cascata de 15m que cai DIRETAMENTE da falésia para a praia. Acesso difícil por mar ou falésia. Paisagem selvagem. Quase impossível de encontrar.</t>
  </si>
  <si>
    <t>Sagres / Canhão de São Vicente — Baleias</t>
  </si>
  <si>
    <t>Golfinhos, baleias-anãs e aves marinhas raras no ponto mais sudoeste da Europa. Falésias dramáticas. Fim do continente vivo.</t>
  </si>
  <si>
    <t>Azenha da Cabana do Castelo (Geoparque)</t>
  </si>
  <si>
    <t>Azenha Cársica</t>
  </si>
  <si>
    <t>Azenha de pedra junto a ribeira no barrocal algarvio. Calcário visível, mecanismo exposto, paisagem cársica. Património hidráulico escondido.</t>
  </si>
  <si>
    <t xml:space="preserve">  🟦  AÇORES  ·  4 pérolas</t>
  </si>
  <si>
    <t>Poço Bacalhau — Cascata de 90m (Flores)</t>
  </si>
  <si>
    <t>Cascata Insular Monumental</t>
  </si>
  <si>
    <t>A cascata mais alta das Flores — 90m sobre falésia de basalto coberta de hortênsias. Paisagem monumental. Atlântico ao fundo. Isolamento total.</t>
  </si>
  <si>
    <t>Caldeira Velha — Cascata Termal (São Miguel)</t>
  </si>
  <si>
    <t>Cascata Termal Vulcânica</t>
  </si>
  <si>
    <t>Cascata termal entre fetos arbóreos gigantes. Água quente alaranjada caindo em piscina natural de basalto. Vapor, vegetação primitiva. Monumento natural.</t>
  </si>
  <si>
    <t xml:space="preserve">  🟥  MADEIRA  ·  4 pérolas</t>
  </si>
  <si>
    <t>A cascata mais alta da Madeira — 140m de véu branco sobre basalto escuro. Vale profundo da laurissilva com bruma permanente. Monumental e quase inacessível.</t>
  </si>
  <si>
    <t>Borboleta-Monarca Residente (Jardim Botânico)</t>
  </si>
  <si>
    <t>Entomologia / População Residente</t>
  </si>
  <si>
    <t>População RESIDENTE de borboleta-monarca (Danaus plexippus) — única na Europa. Jardim tropical sobre o mar. Observação o ano todo.</t>
  </si>
  <si>
    <t>Azenha do Lombo dos Carros (Levada)</t>
  </si>
  <si>
    <t>Azenha na Laurissilva</t>
  </si>
  <si>
    <t>Azenha minúscula de basalto junto à levada, dentro da laurissilva densa. Fetos gigantes, humidade tropical. Engenho hídrico em floresta primitiva.</t>
  </si>
  <si>
    <t>💎  40 Pérolas  ·  7 Regiões  ·  GPS Clicável  ·  Portugal Vivo  ·  Curado a partir de 40 separadores de base de dados</t>
  </si>
  <si>
    <t xml:space="preserve">Norte · Centro · Lisboa · Alentejo · Algarve · Açores · Madeira  · </t>
  </si>
  <si>
    <t>📍 GPS (Maps)</t>
  </si>
  <si>
    <t>🚶  ECOVIAS, ECOPISTAS E PASSADIÇOS DE PORTUGAL  —  280 Percursos por Região</t>
  </si>
  <si>
    <t>Norte · Centro · Lisboa · Alentejo · Algarve · Açores · Madeira  ·  🗺 GPS com coordenadas exatas  ·  28 de fevereiro de 2026</t>
  </si>
  <si>
    <t>GPS Início</t>
  </si>
  <si>
    <t>GPS Fim</t>
  </si>
  <si>
    <t>Extensão</t>
  </si>
  <si>
    <t>POI Principal</t>
  </si>
  <si>
    <t xml:space="preserve">  🟦  NORTE  —  Viana do Castelo · Braga · Porto · Vila Real · Bragança · Aveiro (Norte)  ·  40 percursos</t>
  </si>
  <si>
    <t xml:space="preserve">  🟨  CENTRO  —  Aveiro (Sul) · Coimbra · Viseu · Guarda · Castelo Branco · Leiria · Santarém  ·  40 percursos</t>
  </si>
  <si>
    <t xml:space="preserve">  🟩  LISBOA  —  Sintra · Cascais · Mafra · Lisboa · Margem Sul · Lezíria · Oeste  ·  40 percursos</t>
  </si>
  <si>
    <t xml:space="preserve">  🟧  ALENTEJO  —  Litoral · Baixo Alentejo · Alentejo Central · Alto Alentejo  ·  40 percursos</t>
  </si>
  <si>
    <t xml:space="preserve">  🟥  ALGARVE  —  Sotavento · Centro · Barlavento · Interior e Serra  ·  40 percursos</t>
  </si>
  <si>
    <t xml:space="preserve">  🟪  AÇORES  —  São Miguel · Terceira · Pico · São Jorge · Faial · Santa Maria · Flores · Corvo · Graciosa  ·  40 percursos</t>
  </si>
  <si>
    <t xml:space="preserve">  🟫  MADEIRA  —  Funchal · Leste · Norte · Oeste · Interior · Porto Santo  ·  40 percursos</t>
  </si>
  <si>
    <t>🚶  280 Percursos  ·  Portugal Vivo — Base de Dados de Turismo Cultural  ·  Coordenadas GPS exactas  ·  28 de fevereiro de 2026</t>
  </si>
  <si>
    <t>Viana do Castelo — Arcos de Valdevez</t>
  </si>
  <si>
    <t>35 km</t>
  </si>
  <si>
    <t>Ecovia</t>
  </si>
  <si>
    <t>Parques de merendas, cafés nas aldeias, estacionamento em Sistelo e Arcos</t>
  </si>
  <si>
    <t>Um dos percursos mais bonitos de Portugal, que serpenteia o Rio Vez ao longo de 35 km. Divide-se em etapas, atravessando bosques densos, pontes medievais e os icónicos socalcos verdes.</t>
  </si>
  <si>
    <t>Aldeia de Sistelo e os seus famosos socalcos agrícolas</t>
  </si>
  <si>
    <t>Passadiços do Sistelo</t>
  </si>
  <si>
    <t>2 km</t>
  </si>
  <si>
    <t>Passadiço</t>
  </si>
  <si>
    <t>Restauração típica (Carne da Cachena), WC públicos e posto de turismo em Sistelo</t>
  </si>
  <si>
    <t>Focados na envolvente da aldeia de Sistelo, permitem caminhar sobre o rio com vista para os socalcos. É uma imersão total no mundo rural preservado.</t>
  </si>
  <si>
    <t>Ponte romana e as margens preservadas do Rio Vez</t>
  </si>
  <si>
    <t>Ecopista do Rio Minho</t>
  </si>
  <si>
    <t>Viana do Castelo — V. N. Cerveira / Monção</t>
  </si>
  <si>
    <t>Aluguer de bicicletas, áreas de descanso com sombra e fontes</t>
  </si>
  <si>
    <t>Aproveita o antigo traçado ferroviário e as margens do Rio Minho. É plana, segura e oferece uma vista constante para a Galiza (Espanha).</t>
  </si>
  <si>
    <t>Muralhas de Monção e o Aquário do Rio Minho</t>
  </si>
  <si>
    <t>Ecovia do Litoral Sul</t>
  </si>
  <si>
    <t>Escolas de surf no início, esplanadas e estacionamento gratuito</t>
  </si>
  <si>
    <t>Um percurso revigorante que atravessa dunas, praias e zonas de proteção ambiental, ligando o Cabedelo ao Porto de Pesca de Castelo do Neiva.</t>
  </si>
  <si>
    <t>Dunas do Cabedelo e o porto de pesca artesanal</t>
  </si>
  <si>
    <t>Passadiços das Lagoas de Bertiandos</t>
  </si>
  <si>
    <t>Viana do Castelo — Ponte de Lima</t>
  </si>
  <si>
    <t>Centro de Interpretação Ambiental, bar, WC e parque de estacionamento</t>
  </si>
  <si>
    <t>Estruturas de madeira que protegem as zonas húmidas, permitindo observar rãs, aves e cavalos garranos sem perturbar o ecossistema.</t>
  </si>
  <si>
    <t>Observatório de aves e ecossistemas de zonas húmidas</t>
  </si>
  <si>
    <t>Ecovia das Laranjas</t>
  </si>
  <si>
    <t>Viana do Castelo — Ponte da Barca</t>
  </si>
  <si>
    <t>Zona de lazer, parque infantil e restaurantes próximos</t>
  </si>
  <si>
    <t>Percurso tranquilo que liga o centro histórico à zona ribeirinha, marcado pelo aroma das laranjeiras e pela frescura do Rio Lima.</t>
  </si>
  <si>
    <t>Zona de lazer do Rio Lima e moinhos recuperados</t>
  </si>
  <si>
    <t>Passadiço de Caminha</t>
  </si>
  <si>
    <t>Viana do Castelo — Caminha</t>
  </si>
  <si>
    <t>Parques de estacionamento, bares de praia e campismo próximo</t>
  </si>
  <si>
    <t>Une o centro de Caminha à Praia do Camarido através de um pinhal denso e dunas, com uma vista soberba para o Forte da Insua.</t>
  </si>
  <si>
    <t>Mata do Camarido e vista para o Monte de Santa Tecla (Espanha)</t>
  </si>
  <si>
    <t>Ecovia de Cristelo</t>
  </si>
  <si>
    <t>1.5 km</t>
  </si>
  <si>
    <t>Bancos de descanso e sinalética informativa</t>
  </si>
  <si>
    <t>Uma extensão natural entre o rio e o mar, ideal para caminhadas matinais onde o ar do pinhal se cruza com a brisa marítima de Moledo.</t>
  </si>
  <si>
    <t>Pinhal de Moledo e acesso direto à praia</t>
  </si>
  <si>
    <t>Passadiços do Rio Este</t>
  </si>
  <si>
    <t>Equipamentos de ginástica ao ar livre, iluminação noturna e quiosques</t>
  </si>
  <si>
    <t>Um corredor verde que permite atravessar parte da cidade de Braga longe do trânsito, rodeado por árvores de grande porte e jardins cuidados.</t>
  </si>
  <si>
    <t>Parque da Ponte e fauna urbana (patos e garças)</t>
  </si>
  <si>
    <t>Ecovia de Esposende</t>
  </si>
  <si>
    <t>Braga — Esposende</t>
  </si>
  <si>
    <t>Restaurantes de peixe fresco, WC e passadeiras de acesso à praia</t>
  </si>
  <si>
    <t>Atravessa o Parque Natural do Litoral Norte, passando por zonas de cultivo tradicionais (masseiras) e moinhos de vento recuperados na Apúlia.</t>
  </si>
  <si>
    <t>Moinhos de vento da Apúlia e estuário do Cávado</t>
  </si>
  <si>
    <t>Ecopista de Guimarães</t>
  </si>
  <si>
    <t>Braga — Guimarães</t>
  </si>
  <si>
    <t>Estacionamento em ambas as extremidades, áreas de sombra e fontes de água</t>
  </si>
  <si>
    <t>Recupera o antigo ramal ferroviário que ligava Guimarães a Fafe, proporcionando uma viagem pela história industrial e agrícola da região.</t>
  </si>
  <si>
    <t>Túneis ferroviários desativados e paisagem minhota</t>
  </si>
  <si>
    <t>Passadiços de Vizela</t>
  </si>
  <si>
    <t>Braga — Vizela</t>
  </si>
  <si>
    <t>Proximidade com as termas, cafés e pastelarias (Bolinhol de Vizela)</t>
  </si>
  <si>
    <t>Ligam o histórico Parque das Termas à zona ribeirinha, oferecendo um passeio romântico e sombreado sob árvores seculares.</t>
  </si>
  <si>
    <t>Parque das Termas e as Marginais do Rio Vizela</t>
  </si>
  <si>
    <t>Passadiço de Terras de Bouro</t>
  </si>
  <si>
    <t>Braga — Terras de Bouro</t>
  </si>
  <si>
    <t>1 km</t>
  </si>
  <si>
    <t>Praia fluvial, estacionamento e zona de merendas</t>
  </si>
  <si>
    <t>Um percurso curto mas deslumbrante que acompanha as águas cristalinas do Rio Homem, com várias zonas onde é possível tocar na água.</t>
  </si>
  <si>
    <t>Cascatas naturais e proximidade ao PN Peneda-Gerês</t>
  </si>
  <si>
    <t>Passadiços do Rio Febros</t>
  </si>
  <si>
    <t>Braga — V. N. Famalicão</t>
  </si>
  <si>
    <t>Anfiteatro ao ar livre, bar/restaurante, WC e museu arqueológico</t>
  </si>
  <si>
    <t>Integrados no Parque da Devesa, estes passadiços circundam o lago e o rio, sendo o local favorito dos locais para desporto e lazer familiar.</t>
  </si>
  <si>
    <t>Parque da Devesa, o pulmão verde da cidade</t>
  </si>
  <si>
    <t>Ecovia de Vila Verde</t>
  </si>
  <si>
    <t>Braga — Vila Verde</t>
  </si>
  <si>
    <t>Zonas de pesca, parques de lazer e acesso a praias fluviais</t>
  </si>
  <si>
    <t>Percorre as margens dos rios Homem e Cávado, passando pela histórica Ponte de Rodas. É um trilho sereno entre campos de milho e vinhas.</t>
  </si>
  <si>
    <t>Ponte de Rodas (monumento nacional) e praias fluviais</t>
  </si>
  <si>
    <t>Porto — Arouca</t>
  </si>
  <si>
    <t>Transporte entre extremidades, bares, WC e praias fluviais. Requer bilhete</t>
  </si>
  <si>
    <t>O "rei" dos passadiços em Portugal. 8 km de escadarias e caminhos sobre rochas escarpadas e águas bravas. Inclui a famosa ponte suspensa.</t>
  </si>
  <si>
    <t>Ponte suspensa 516 Arouca e a Garganta do Paiva</t>
  </si>
  <si>
    <t>Passadiços de Gaia</t>
  </si>
  <si>
    <t>Porto — Vila Nova de Gaia</t>
  </si>
  <si>
    <t>Inúmeros bares de praia, aluguer de bicicletas e acesso fácil por comboio</t>
  </si>
  <si>
    <t>15 km de passadiços ininterruptos sobre a areia e rochas, ligando a marina da Afurada a Espinho. Ideal para ver o pôr do sol.</t>
  </si>
  <si>
    <t>Capela do Senhor da Pedra e Reserva Natural do Estuário do Douro</t>
  </si>
  <si>
    <t>Passadiços de Arcozelo</t>
  </si>
  <si>
    <t>Restaurantes de luxo e tascas típicas, estacionamento amplo</t>
  </si>
  <si>
    <t>Focados na envolvente da Capela do Senhor da Pedra, oferecem uma das vistas mais fotogénicas da costa portuguesa.</t>
  </si>
  <si>
    <t>Praias de Miramar e dunas protegidas</t>
  </si>
  <si>
    <t>Passadiços do Rio Ave</t>
  </si>
  <si>
    <t>Porto — Santo Tirso</t>
  </si>
  <si>
    <t>1.4 km</t>
  </si>
  <si>
    <t>Parque infantil, zona de piqueniques, café e WC</t>
  </si>
  <si>
    <t>Ligam o centro da cidade ao Parque da Rabada, atravessando zonas de densa vegetação ripícola e esculturas de arte contemporânea.</t>
  </si>
  <si>
    <t>Parque da Rabada e Museu Abade Pedrosa</t>
  </si>
  <si>
    <t>Passadiços de Vila do Conde</t>
  </si>
  <si>
    <t>Porto — Vila do Conde</t>
  </si>
  <si>
    <t>Estacionamento, observatórios de aves e sinalética educativa</t>
  </si>
  <si>
    <t>Percorrem a Reserva de Mindelo, uma zona protegida crucial para a migração de aves, entre dunas e pequenas matas litorais.</t>
  </si>
  <si>
    <t>Reserva Ornitológica de Mindelo e Forte de S. João Baptista</t>
  </si>
  <si>
    <t>Passadiços da Aguda</t>
  </si>
  <si>
    <t>Mercado de peixe, aquário local e restaurantes de marisco</t>
  </si>
  <si>
    <t>Pequeno trecho encantador que atravessa uma aldeia de pescadores viva, onde se vêem as redes a secar e os barcos tradicionais.</t>
  </si>
  <si>
    <t>Estação Litoral da Aguda (aquário e museu)</t>
  </si>
  <si>
    <t>Passadiços de Valongo</t>
  </si>
  <si>
    <t>Porto — Valongo</t>
  </si>
  <si>
    <t>Centro de interpretação, estacionamento e percursos de BTT</t>
  </si>
  <si>
    <t>Situados no Parque das Serras do Porto, estes passadiços levam-no a descobrir antigas minas de ouro romanas e paisagens serranas.</t>
  </si>
  <si>
    <t>Serras de Valongo (Parque das Serras do Porto)</t>
  </si>
  <si>
    <t>Ecovia do Rio Ferreira</t>
  </si>
  <si>
    <t>Porto — Paços de Ferreira</t>
  </si>
  <si>
    <t>Estacionamento, parque de lazer e cafés</t>
  </si>
  <si>
    <t>Um percurso suave que acompanha o rio em direção ao Parque de Lazer de Freamunde, excelente para famílias.</t>
  </si>
  <si>
    <t>Parque de Lazer de Freamunde</t>
  </si>
  <si>
    <t>Passadiços de Entre-os-Rios</t>
  </si>
  <si>
    <t>Porto — Penafiel</t>
  </si>
  <si>
    <t>Cais de embarque, restaurantes e alojamento local</t>
  </si>
  <si>
    <t>Oferecem uma perspetiva única sobre o ponto onde o Tâmega se abraça ao Douro, numa zona de grande beleza cénica e histórica.</t>
  </si>
  <si>
    <t>Confluência do Rio Douro com o Rio Tâmega</t>
  </si>
  <si>
    <t>Passadiços de Gondomar</t>
  </si>
  <si>
    <t>Porto — Gondomar</t>
  </si>
  <si>
    <t>Cafés com esplanada e WC públicos</t>
  </si>
  <si>
    <t>Seguem a margem direita do Douro. O percurso é plano e permite observar a atividade fluvial e os antigos palacetes da margem.</t>
  </si>
  <si>
    <t>Museu Mineiro e vistas sobre o Douro</t>
  </si>
  <si>
    <t>Ecopista do Tâmega</t>
  </si>
  <si>
    <t>Vila Real — Amarante</t>
  </si>
  <si>
    <t>40 km</t>
  </si>
  <si>
    <t>Aluguer de bikes, estações transformadas em cafés e museu ferroviário</t>
  </si>
  <si>
    <t>Provavelmente a ecopista mais cénica de Portugal, cruzando pontes de granito altíssimas e oferecendo vistas sobre as vinhas e o rio Tâmega.</t>
  </si>
  <si>
    <t>Museu Ferroviário de Arco de Baúlhe e Pontes de Pedra</t>
  </si>
  <si>
    <t>Passadiços do Corgo</t>
  </si>
  <si>
    <t>Acesso direto ao centro da cidade, WC no parque urbano</t>
  </si>
  <si>
    <t>Descida vertiginosa ao fundo do desfiladeiro do Rio Corgo, mesmo no centro da cidade, passando por quedas de água e ruínas de moinhos.</t>
  </si>
  <si>
    <t>Desfiladeiro do Rio Corgo e as centrais elétricas antigas</t>
  </si>
  <si>
    <t>Ecovia do Rabaçal</t>
  </si>
  <si>
    <t>Vila Real — Valpaços</t>
  </si>
  <si>
    <t>Praia fluvial, parque de campismo e grelhadores públicos</t>
  </si>
  <si>
    <t>Um mergulho na natureza selvagem de Trás-os-Montes, acompanhando o rio entre rochas de xisto e vegetação mediterrânica.</t>
  </si>
  <si>
    <t>Praia Fluvial do Rabaçal e biodiversidade transmontana</t>
  </si>
  <si>
    <t>Passadiços de Alijó</t>
  </si>
  <si>
    <t>Vila Real — Alijó</t>
  </si>
  <si>
    <t>Cais náutico, zona de banhos e pequeno bar</t>
  </si>
  <si>
    <t>Situados no coração do Douro Vinhateiro, permitem caminhar junto ao rio com vista para as quintas de vinho do Porto.</t>
  </si>
  <si>
    <t>Miradouros sobre o Douro Vinhateiro</t>
  </si>
  <si>
    <t>Ecopista do Sabor</t>
  </si>
  <si>
    <t>Bragança — Torre de Moncorvo</t>
  </si>
  <si>
    <t>Áreas de descanso, sinalética cultural e proximidade ao centro histórico</t>
  </si>
  <si>
    <t>Segue o antigo traçado do comboio do Sabor. É um deserto de beleza, especialmente na primavera com as amendoeiras em flor.</t>
  </si>
  <si>
    <t>Lagos do Sabor e amendoeiras em flor</t>
  </si>
  <si>
    <t>Passadiços do Tuela</t>
  </si>
  <si>
    <t>Bragança — Mirandela</t>
  </si>
  <si>
    <t>Estacionamento próximo à ponte romana</t>
  </si>
  <si>
    <t>Um percurso que celebra a pureza do Rio Tuela, um dos rios menos poluídos da Europa. Ideal para silêncio e introspeção.</t>
  </si>
  <si>
    <t>Ponte sobre o Rio Tuela e flora ribeirinha</t>
  </si>
  <si>
    <t>Ecovia do Rio Fervença</t>
  </si>
  <si>
    <t>Iluminação, bancos e proximidade com museus e restaurantes</t>
  </si>
  <si>
    <t>Liga a zona baixa da cidade à cidadela alta, permitindo uma subida suave com vistas constantes para as muralhas do castelo.</t>
  </si>
  <si>
    <t>Castelo de Bragança visto da margem do rio</t>
  </si>
  <si>
    <t>Passadiços de Mogadouro</t>
  </si>
  <si>
    <t>Bragança — Mogadouro</t>
  </si>
  <si>
    <t>Estacionamento, cafés e sinalética informativa</t>
  </si>
  <si>
    <t>Percurso periférico à vila que liga pontos históricos e miradouros naturais sobre o planalto mirandês.</t>
  </si>
  <si>
    <t>Castelo de Mogadouro e paisagem de planalto</t>
  </si>
  <si>
    <t>Passadiços da Barrinha de Esmoriz</t>
  </si>
  <si>
    <t>Aveiro (Norte) — Esmoriz</t>
  </si>
  <si>
    <t>Observatórios de madeira, estacionamento e cafés na Praia de Esmoriz</t>
  </si>
  <si>
    <t>Um circuito circular de 8 km que rodeia a lagoa. É um dos melhores locais do Norte para birdwatching.</t>
  </si>
  <si>
    <t>Lagoa costeira e avifauna (garças, colhereiros)</t>
  </si>
  <si>
    <t>Passadiços de Ovar</t>
  </si>
  <si>
    <t>Aveiro (Norte) — Ovar</t>
  </si>
  <si>
    <t>Cais com bares, WC e zonas de sombra</t>
  </si>
  <si>
    <t>Caminho que flutua sobre as águas paradas da Ria de Aveiro, cruzando esteiros e pequenos cais onde descansam os barcos moliceiros.</t>
  </si>
  <si>
    <t>Cais do Puxadouro e Marina do Carregal</t>
  </si>
  <si>
    <t>Ecopista do Vouga</t>
  </si>
  <si>
    <t>Aveiro (Norte) — Sever do Vouga</t>
  </si>
  <si>
    <t>Parque de lazer, restauração especializada em vitela e WC</t>
  </si>
  <si>
    <t>Atravessa túneis e pontes monumentais (como o Poço de S. Tiago) num vale profundo e verdejante.</t>
  </si>
  <si>
    <t>Ponte de Santiago (Poço de S. Tiago)</t>
  </si>
  <si>
    <t>Passadiços de Fiães</t>
  </si>
  <si>
    <t>Aveiro (Norte) — Sta Maria da Feira</t>
  </si>
  <si>
    <t>Parque infantil, zona de piqueniques e estacionamento</t>
  </si>
  <si>
    <t>Conhecidos como o "reino das fadas", serpenteiam o Rio Uíma sob uma cúpula de árvores que cria um ambiente mágico e fresco.</t>
  </si>
  <si>
    <t>Parque das Ribeiras do Rio Uíma</t>
  </si>
  <si>
    <t>Passadiços do Rio Antuã</t>
  </si>
  <si>
    <t>Aveiro (Norte) — Estarreja</t>
  </si>
  <si>
    <t>Centro BioRia com aluguer de bicicletas, binóculos e visitas guiadas</t>
  </si>
  <si>
    <t>Integrados no projeto BioRia, estes trilhos são lições de biologia ao vivo, entre campos de arroz e caniçais da ria.</t>
  </si>
  <si>
    <t>BioRia (percursos de biodiversidade)</t>
  </si>
  <si>
    <t>Passadiços da Costa Nova</t>
  </si>
  <si>
    <t>Aveiro (Norte) — Ílhavo</t>
  </si>
  <si>
    <t>Mercado de peixe, venda de tripas (doce local) e estacionamento</t>
  </si>
  <si>
    <t>Ligam a Costa Nova à Vagueira, sempre com o mar de um lado e as dunas do outro. Passam pelos famosos palheiros às riscas.</t>
  </si>
  <si>
    <t>Casas típicas Palheiros e vista para a Ria e Mar</t>
  </si>
  <si>
    <t>Passadiços de Vale de Cambra</t>
  </si>
  <si>
    <t>Aveiro (Norte) — Vale de Cambra</t>
  </si>
  <si>
    <t>Biblioteca municipal, cafés, WC e excelentes parques infantis</t>
  </si>
  <si>
    <t>Inseridos no Parque Urbano, oferecem uma caminhada relaxante com vista para as montanhas mágicas da Serra da Freita.</t>
  </si>
  <si>
    <t>Parque Urbano e vista para a Serra da Freita</t>
  </si>
  <si>
    <t>Passadiços de Aveiro</t>
  </si>
  <si>
    <t>Aveiro — Ria de Aveiro</t>
  </si>
  <si>
    <t>7.5 km</t>
  </si>
  <si>
    <t>Aluguer de bicicletas, estacionamento, cafés</t>
  </si>
  <si>
    <t>7,5 km sobre estacaria que atravessa sapais e canais da Ria.</t>
  </si>
  <si>
    <t>Cais de S. Roque e sapais da Ria</t>
  </si>
  <si>
    <t>Passadiços de Águeda</t>
  </si>
  <si>
    <t>Aveiro — Águeda</t>
  </si>
  <si>
    <t>Comércio local, WC e zonas de sombra</t>
  </si>
  <si>
    <t>Ligam a baixa da cidade dos chapéus-de-chuva às zonas ribeirinhas.</t>
  </si>
  <si>
    <t>Cidade dos chapéus-de-chuva</t>
  </si>
  <si>
    <t>Ecopista do Vouga (Sernada)</t>
  </si>
  <si>
    <t>Aveiro — Sernada do Vouga</t>
  </si>
  <si>
    <t>Museus ferroviários e oficinas de restauro</t>
  </si>
  <si>
    <t>Segue a linha de bitola estreita, vales agrícolas e zonas industriais antigas.</t>
  </si>
  <si>
    <t>Linha de bitola estreita</t>
  </si>
  <si>
    <t>Passadiços da Pateira de Fermentelos</t>
  </si>
  <si>
    <t>Aveiro — Fermentelos</t>
  </si>
  <si>
    <t>Merendas, barcos a pedais e hotéis de charme</t>
  </si>
  <si>
    <t>Maior lagoa natural da Península Ibérica. Paraíso para fotógrafos.</t>
  </si>
  <si>
    <t>Maior lagoa natural da P. Ibérica</t>
  </si>
  <si>
    <t>Coimbra — Guarda</t>
  </si>
  <si>
    <t>Shuttle, WC, cafés. Requer bilhete</t>
  </si>
  <si>
    <t>12 km épicos por desfiladeiros e pontes suspensas junto ao Mondego.</t>
  </si>
  <si>
    <t>Desfiladeiros do Rio Mondego</t>
  </si>
  <si>
    <t>Ecopista do Mondego</t>
  </si>
  <si>
    <t>Coimbra — Figueira da Foz</t>
  </si>
  <si>
    <t>Centro interpretação do sal, estacionamento</t>
  </si>
  <si>
    <t>Traçado plano entre campos de arroz e estuário; flamingos e garças.</t>
  </si>
  <si>
    <t>Passadiços da Ribeira de Alge</t>
  </si>
  <si>
    <t>Coimbra — Figueiró</t>
  </si>
  <si>
    <t>Campismo de Foz de Alge, desportos náuticos</t>
  </si>
  <si>
    <t>Percurso selvagem até à foz no Rio Zêzere.</t>
  </si>
  <si>
    <t>Foz de Alge e Rio Zêzere</t>
  </si>
  <si>
    <t>Passadiços de Coimbra</t>
  </si>
  <si>
    <t>Coimbra — Parque Verde</t>
  </si>
  <si>
    <t>Restaurantes, WC, canoas</t>
  </si>
  <si>
    <t>Une margens do Mondego pela Ponte Pedro e Inês.</t>
  </si>
  <si>
    <t>Ponte Pedro e Inês</t>
  </si>
  <si>
    <t>Passadiço da Praia da Tocha</t>
  </si>
  <si>
    <t>Coimbra — Cantanhede</t>
  </si>
  <si>
    <t>Bares de praia, estacionamento, surf</t>
  </si>
  <si>
    <t>Dunas com antigos palheiros de pescadores.</t>
  </si>
  <si>
    <t>Palheiros de pescadores</t>
  </si>
  <si>
    <t>Passadiço da Mata do Bussaco</t>
  </si>
  <si>
    <t>Coimbra — Luso</t>
  </si>
  <si>
    <t>Hotel Palace, cafetaria, turismo</t>
  </si>
  <si>
    <t>Vale dos Fetos e fontes históricas da mata sagrada.</t>
  </si>
  <si>
    <t>Vale dos Fetos e Hotel Palace</t>
  </si>
  <si>
    <t>Ecovia do Rio Arunca</t>
  </si>
  <si>
    <t>Coimbra — Condeixa</t>
  </si>
  <si>
    <t>2.5 km</t>
  </si>
  <si>
    <t>Museus, cafés e zonas de lazer</t>
  </si>
  <si>
    <t>Liga ruínas de Conímbriga ao centro de Condeixa.</t>
  </si>
  <si>
    <t>Ruínas romanas de Conímbriga</t>
  </si>
  <si>
    <t>Passadiços das Aldeias do Xisto</t>
  </si>
  <si>
    <t>Coimbra — Góis</t>
  </si>
  <si>
    <t>Praias fluviais, bares, alojamento em xisto</t>
  </si>
  <si>
    <t>Trechos em madeira entre praias fluviais e casas de xisto.</t>
  </si>
  <si>
    <t>Praias fluviais e casas de xisto</t>
  </si>
  <si>
    <t>Passadiços da Senhora da Piedade</t>
  </si>
  <si>
    <t>Coimbra — Lousã</t>
  </si>
  <si>
    <t>Restaurante, WC, estacionamento, merendas</t>
  </si>
  <si>
    <t>Rodeiam o Castelo da Lousã e piscinas naturais.</t>
  </si>
  <si>
    <t>Castelo da Lousã</t>
  </si>
  <si>
    <t>Passadiços do Rio Ceira</t>
  </si>
  <si>
    <t>Praias fluviais próximas</t>
  </si>
  <si>
    <t>Percurso sombreado ideal para dias quentes de verão.</t>
  </si>
  <si>
    <t>Rio Ceira e praias fluviais</t>
  </si>
  <si>
    <t>Ecopista do Dão</t>
  </si>
  <si>
    <t>Viseu — Sta Comba Dão</t>
  </si>
  <si>
    <t>49 km</t>
  </si>
  <si>
    <t>Bicicletas, cafés em estações, oficinas</t>
  </si>
  <si>
    <t>A mais longa ecopista de Portugal (49 km). Pontes Eiffel e túneis.</t>
  </si>
  <si>
    <t>Pontes Eiffel e estações</t>
  </si>
  <si>
    <t>Passadiços de Mortágua</t>
  </si>
  <si>
    <t>Viseu — Mortágua</t>
  </si>
  <si>
    <t>Sinalética, estacionamento, descanso</t>
  </si>
  <si>
    <t>Trilho das Quedas de Água — vales com cascatas.</t>
  </si>
  <si>
    <t>Cascatas e pontes de madeira</t>
  </si>
  <si>
    <t>Passadiços do Vouga</t>
  </si>
  <si>
    <t>Viseu — Vouzela</t>
  </si>
  <si>
    <t>Pastéis de Vouzela, WC, campismo</t>
  </si>
  <si>
    <t>Zona histórica à antiga ponte ferroviária sobre o Rio Zervas.</t>
  </si>
  <si>
    <t>Pastéis de Vouzela</t>
  </si>
  <si>
    <t>Passadiços de Resende</t>
  </si>
  <si>
    <t>Viseu — Resende</t>
  </si>
  <si>
    <t>Centro de interpretação, turismo rural</t>
  </si>
  <si>
    <t>Rio Bestança — um dos mais puros da Europa; moinhos e levadas.</t>
  </si>
  <si>
    <t>Rio Bestança e moinhos</t>
  </si>
  <si>
    <t>Passadiços do Côa</t>
  </si>
  <si>
    <t>Guarda — Foz Côa</t>
  </si>
  <si>
    <t>Museu do Côa, restaurante, jipes</t>
  </si>
  <si>
    <t>Do Museu do Côa à margem do Douro; arte rupestre.</t>
  </si>
  <si>
    <t>Museu e arte rupestre do Côa</t>
  </si>
  <si>
    <t>Passadiços da Serra da Estrela</t>
  </si>
  <si>
    <t>Guarda — Manteigas</t>
  </si>
  <si>
    <t>Turismo, hotéis de montanha, queijo</t>
  </si>
  <si>
    <t>Vale Glaciar do Zêzere — formação geológica única.</t>
  </si>
  <si>
    <t>Ecovia do Rio Teja</t>
  </si>
  <si>
    <t>Guarda — Trancoso</t>
  </si>
  <si>
    <t>Centro histórico de Trancoso</t>
  </si>
  <si>
    <t>Percurso planáltico entre campos de cereais e pastoreio.</t>
  </si>
  <si>
    <t>Trancoso fortificado</t>
  </si>
  <si>
    <t>C. Branco — Oleiros</t>
  </si>
  <si>
    <t>Geo-miradouros, estacionamento, merendas</t>
  </si>
  <si>
    <t>Naturtejo Geopark. Cascata da Fraga da Água d'Alta.</t>
  </si>
  <si>
    <t>Cascata da Fraga da Água d'Alta</t>
  </si>
  <si>
    <t>Ecovia do Rio Ponsul</t>
  </si>
  <si>
    <t>C. Branco — Idanha</t>
  </si>
  <si>
    <t>Monumentos nacionais, alojamento xisto</t>
  </si>
  <si>
    <t>De Idanha-a-Velha a Monsanto; sobreiros.</t>
  </si>
  <si>
    <t>Idanha-a-Velha e Monsanto</t>
  </si>
  <si>
    <t>Passadiços do Erges</t>
  </si>
  <si>
    <t>C. Branco — Monfortinho</t>
  </si>
  <si>
    <t>Termas, SPA, hotéis, restaurantes</t>
  </si>
  <si>
    <t>Junto à fronteira; canhões rochosos do rio Erges.</t>
  </si>
  <si>
    <t>Canhões rochosos do rio Erges</t>
  </si>
  <si>
    <t>Ecopista de Castelo Branco</t>
  </si>
  <si>
    <t>Ténis, piscinas, parques infantis</t>
  </si>
  <si>
    <t>Via urbana verde; parques desportivos.</t>
  </si>
  <si>
    <t>Parques de Castelo Branco</t>
  </si>
  <si>
    <t>Passadiços da Lagoa de Óbidos</t>
  </si>
  <si>
    <t>Leiria — Foz do Arelho</t>
  </si>
  <si>
    <t>Escolas de vela, quiosques, estacionamento</t>
  </si>
  <si>
    <t>Sobre dunas com vista para lagoa e oceano.</t>
  </si>
  <si>
    <t>Lagoa de Óbidos</t>
  </si>
  <si>
    <t>Passadiços do Rio Lis</t>
  </si>
  <si>
    <t>Museus, WC, fitness, cafés</t>
  </si>
  <si>
    <t>Centro de Leiria; museus e estádio.</t>
  </si>
  <si>
    <t>Rio Lis e centro de Leiria</t>
  </si>
  <si>
    <t>Ecovia do Litoral (Nazaré)</t>
  </si>
  <si>
    <t>Leiria — Nazaré</t>
  </si>
  <si>
    <t>Campismo, fontes, praias vigiadas</t>
  </si>
  <si>
    <t>Pinhal de Leiria junto ao mar; cicloturismo.</t>
  </si>
  <si>
    <t>Passadiços da Baleia</t>
  </si>
  <si>
    <t>Leiria — S. Martinho</t>
  </si>
  <si>
    <t>Gelados, WC, zona náutica</t>
  </si>
  <si>
    <t>Baía em forma de concha; vila ao cais antigo.</t>
  </si>
  <si>
    <t>Baía de S. Martinho do Porto</t>
  </si>
  <si>
    <t>Ecovia do Arunca</t>
  </si>
  <si>
    <t>Leiria — Pombal</t>
  </si>
  <si>
    <t>Castelo de Pombal, parques infantis</t>
  </si>
  <si>
    <t>Corredor verde; zonas agrícolas do vale.</t>
  </si>
  <si>
    <t>Passadiços de Pedrógão Grande</t>
  </si>
  <si>
    <t>Leiria — Pedrógão</t>
  </si>
  <si>
    <t>Piscina flutuante, restaurante, miradouro</t>
  </si>
  <si>
    <t>Vistas vertiginosas sobre a barragem e o Zêzere.</t>
  </si>
  <si>
    <t>Passadiços da Nazaré</t>
  </si>
  <si>
    <t>Museus do Surf, Forte, Ascensor</t>
  </si>
  <si>
    <t>Descida cénica do Sítio à Praia do Norte.</t>
  </si>
  <si>
    <t>Ondas gigantes da Nazaré</t>
  </si>
  <si>
    <t>Passadiços do Tejo</t>
  </si>
  <si>
    <t>Santarém — Barquinha</t>
  </si>
  <si>
    <t>Parque infantil, WC, galeria, cais</t>
  </si>
  <si>
    <t>Parque de Escultura; vista Castelo de Almourol.</t>
  </si>
  <si>
    <t>Ecopista de Tomar</t>
  </si>
  <si>
    <t>Santarém — Tomar</t>
  </si>
  <si>
    <t>Convento de Cristo a curta distância</t>
  </si>
  <si>
    <t>Espaço urbano junto à linha; matas nacionais.</t>
  </si>
  <si>
    <t>Passadiços da Foz do Almada</t>
  </si>
  <si>
    <t>Santarém — Abrantes</t>
  </si>
  <si>
    <t>Ténis, skate park, bares</t>
  </si>
  <si>
    <t>Margens do Tejo; passadiços flutuantes.</t>
  </si>
  <si>
    <t>Aquapolis de Abrantes</t>
  </si>
  <si>
    <t>Passadiços dos Olhos de Água</t>
  </si>
  <si>
    <t>Santarém — Alcanena</t>
  </si>
  <si>
    <t>Centro Ciência Viva, praia fluvial, campismo</t>
  </si>
  <si>
    <t>Nascente do Alviela; morcegos e flora calcária.</t>
  </si>
  <si>
    <t>Nascente do rio Alviela</t>
  </si>
  <si>
    <t>Passadiços do Almonda</t>
  </si>
  <si>
    <t>Santarém — Torres Novas</t>
  </si>
  <si>
    <t>Estacionamento, Castelo próximo</t>
  </si>
  <si>
    <t>Rio no centro; moinhos e jardins históricos.</t>
  </si>
  <si>
    <t>Castelo de Torres Novas</t>
  </si>
  <si>
    <t>Passadiços da Serra de Aire</t>
  </si>
  <si>
    <t>Santarém — Porto de Mós</t>
  </si>
  <si>
    <t>Grutas de Mira de Aire, interpretação</t>
  </si>
  <si>
    <t>Anfiteatro natural da Fórnea.</t>
  </si>
  <si>
    <t>Anfiteatro da Fórnea</t>
  </si>
  <si>
    <t>Ecovia do Sorraia</t>
  </si>
  <si>
    <t>Santarém — Coruche</t>
  </si>
  <si>
    <t>Museus da cortiça, gastronomia ribatejana</t>
  </si>
  <si>
    <t>Rio Sorraia; montado de sobro.</t>
  </si>
  <si>
    <t>Montado de sobro</t>
  </si>
  <si>
    <t>Passadiços do Lago Azul</t>
  </si>
  <si>
    <t>Santarém — Ferreira Zêzere</t>
  </si>
  <si>
    <t>Wakeboard, barcos, hotéis</t>
  </si>
  <si>
    <t>Acesso à água e ancoradouros do Lago Azul.</t>
  </si>
  <si>
    <t>Lago Azul</t>
  </si>
  <si>
    <t>Passadiços da Ribeira das Jardas</t>
  </si>
  <si>
    <t>Sintra — Agualva</t>
  </si>
  <si>
    <t>Parques infantis, bancos de descanso e iluminação noturna</t>
  </si>
  <si>
    <t>Corredor verde que liga Agualva-Cacém a Mira Sintra, acompanhando a ribeira.</t>
  </si>
  <si>
    <t>Ribeira das Jardas</t>
  </si>
  <si>
    <t>Passeio Marítimo de Cascais</t>
  </si>
  <si>
    <t>Bares, restaurantes, casas de banho públicas</t>
  </si>
  <si>
    <t>3 km de passadiço e calçada junto ao mar, ligando as praias da linha de Cascais.</t>
  </si>
  <si>
    <t>Praias da linha de Cascais</t>
  </si>
  <si>
    <t>Ciclovia da Guia</t>
  </si>
  <si>
    <t>Bicicletas (BiCas), miradouros, restaurantes de luxo</t>
  </si>
  <si>
    <t>Percurso icónico entre a vila e o Guincho, ladeando a Boca do Inferno.</t>
  </si>
  <si>
    <t>Boca do Inferno e Guincho</t>
  </si>
  <si>
    <t>Passadiço das Dunas do Guincho</t>
  </si>
  <si>
    <t>Interpretação da Duna da Cresmina, cafetaria e WC</t>
  </si>
  <si>
    <t>Proteção do sistema dunar Cresmina-Guincho; flora endémica e areias móveis.</t>
  </si>
  <si>
    <t>Duna da Cresmina</t>
  </si>
  <si>
    <t>Ecovia do Rio Lizandro</t>
  </si>
  <si>
    <t>Mafra — Ericeira</t>
  </si>
  <si>
    <t>Escolas de surf, bares de praia, estacionamento</t>
  </si>
  <si>
    <t>Foz do rio Lizandro; liga Ericeira à Carvoeira.</t>
  </si>
  <si>
    <t>Foz do Lizandro e Ericeira</t>
  </si>
  <si>
    <t>Passadiços da Tapada de Mafra</t>
  </si>
  <si>
    <t>Visitas guiadas, tiro com arco. Requer bilhete</t>
  </si>
  <si>
    <t>Gamos, veados e javalis em liberdade no antigo couto de caça real.</t>
  </si>
  <si>
    <t>Caminho do Mar (Magoito)</t>
  </si>
  <si>
    <t>Sintra — Magoito</t>
  </si>
  <si>
    <t>Estacionamento, restaurante de peixe e WC</t>
  </si>
  <si>
    <t>Arribas da Praia do Magoito; duna fóssil (Monumento Geológico).</t>
  </si>
  <si>
    <t>Duna fóssil do Magoito</t>
  </si>
  <si>
    <t>Ecovia Regaleira — Seteais</t>
  </si>
  <si>
    <t>Cafetarias nos monumentos</t>
  </si>
  <si>
    <t>Liga dois palácios; vistas para o Castelo dos Mouros sob nevoeiro.</t>
  </si>
  <si>
    <t>Regaleira e Seteais</t>
  </si>
  <si>
    <t>Passadiços da Ericeira</t>
  </si>
  <si>
    <t>Miradouros de surf, marisqueiras de Ribamar</t>
  </si>
  <si>
    <t>Ribeira d'Ilhas e Coxos; Reserva Mundial de Surf.</t>
  </si>
  <si>
    <t>Reserva Mundial de Surf</t>
  </si>
  <si>
    <t>Ecovia do Parque dos Poetas</t>
  </si>
  <si>
    <t>Estacionamento, parque infantil, quiosques</t>
  </si>
  <si>
    <t>Museológico ao ar livre; esculturas de poetas lusófonos.</t>
  </si>
  <si>
    <t>Poetas lusófonos</t>
  </si>
  <si>
    <t>Passeio Ribeirinho de Belém</t>
  </si>
  <si>
    <t>Lisboa — Belém</t>
  </si>
  <si>
    <t>Museus, trotinetes, WC, Pastéis de Belém</t>
  </si>
  <si>
    <t>Junto ao Tejo; monumentos, MAAT e Ponte 25 de Abril.</t>
  </si>
  <si>
    <t>Torre de Belém e MAAT</t>
  </si>
  <si>
    <t>Ecovia do Parque das Nações</t>
  </si>
  <si>
    <t>Restaurantes, centro comercial, bicicletas</t>
  </si>
  <si>
    <t>Expo'98; teleférico e arte urbana.</t>
  </si>
  <si>
    <t>Oceanário e P. Vasco da Gama</t>
  </si>
  <si>
    <t>Passadiço do Tejo (V. F. Xira)</t>
  </si>
  <si>
    <t>Lisboa — V. F. Xira</t>
  </si>
  <si>
    <t>Museu Neo-Realismo, bancos, zonas de pesca</t>
  </si>
  <si>
    <t>Mouchão do Tejo; cavalos e gado bravo.</t>
  </si>
  <si>
    <t>Mouchão do Tejo</t>
  </si>
  <si>
    <t>Passadiços da Póvoa de Sta Iria</t>
  </si>
  <si>
    <t>Centro de canoagem, cafetaria, merendas</t>
  </si>
  <si>
    <t>Parque Urbano ao rio; desportos náuticos e aves.</t>
  </si>
  <si>
    <t>Parque Urbano e náutico</t>
  </si>
  <si>
    <t>Ecovia da Ribeira de Colares</t>
  </si>
  <si>
    <t>Sintra — Colares</t>
  </si>
  <si>
    <t>Restaurantes, adegas (Vinho de Colares)</t>
  </si>
  <si>
    <t>Elétrico histórico de Sintra até Praia das Maçãs.</t>
  </si>
  <si>
    <t>Elétrico e Praia das Maçãs</t>
  </si>
  <si>
    <t>Passadiços de Alverca</t>
  </si>
  <si>
    <t>Atletismo e áreas de lazer</t>
  </si>
  <si>
    <t>Lagos artificiais e canais do Tejo.</t>
  </si>
  <si>
    <t>Parque do Tejo</t>
  </si>
  <si>
    <t>Caminho Marítimo de Algés</t>
  </si>
  <si>
    <t>Lisboa — Oeiras</t>
  </si>
  <si>
    <t>Restaurantes, WC</t>
  </si>
  <si>
    <t>Frente ribeirinha rumo ao Jamor; corrida.</t>
  </si>
  <si>
    <t>Frente ribeirinha</t>
  </si>
  <si>
    <t>Ecovia do Jamor</t>
  </si>
  <si>
    <t>Canoagem, arborismo, piscina olímpica</t>
  </si>
  <si>
    <t>Vale do Jamor; pinhais e complexo desportivo.</t>
  </si>
  <si>
    <t>Estádio Nacional</t>
  </si>
  <si>
    <t>Passadiços do Seixal ao Barreiro</t>
  </si>
  <si>
    <t>Margem Sul — Seixal</t>
  </si>
  <si>
    <t>Petiscos, terminal fluvial, museu naval</t>
  </si>
  <si>
    <t>Baía do Seixal; vista para a skyline de Lisboa.</t>
  </si>
  <si>
    <t>Baía do Seixal</t>
  </si>
  <si>
    <t>Passadiço de Alcochete</t>
  </si>
  <si>
    <t>Margem Sul — Alcochete</t>
  </si>
  <si>
    <t>Padarias, arroz de marisco</t>
  </si>
  <si>
    <t>Estuário; pôr do sol e flamingos.</t>
  </si>
  <si>
    <t>Estuário e flamingos</t>
  </si>
  <si>
    <t>Ecovia da Reserva do Sado</t>
  </si>
  <si>
    <t>Margem Sul — Setúbal</t>
  </si>
  <si>
    <t>Centro de interpretação, observatório de aves</t>
  </si>
  <si>
    <t>Sapais e moinhos de maré; golfinhos ao largo.</t>
  </si>
  <si>
    <t>Golfinhos do Sado</t>
  </si>
  <si>
    <t>Passadiços da Lagoa de Albufeira</t>
  </si>
  <si>
    <t>Margem Sul — Sesimbra</t>
  </si>
  <si>
    <t>Windsurf e bares de madeira</t>
  </si>
  <si>
    <t>Zona norte da lagoa; vegetação e dunas.</t>
  </si>
  <si>
    <t>Lagoa de Albufeira</t>
  </si>
  <si>
    <t>Ecovia do Montijo</t>
  </si>
  <si>
    <t>Margem Sul — Montijo</t>
  </si>
  <si>
    <t>Estacionamento e quiosques</t>
  </si>
  <si>
    <t>Montijo ao Cais das Faluas.</t>
  </si>
  <si>
    <t>Cais das Faluas</t>
  </si>
  <si>
    <t>Passadiço de Corroios</t>
  </si>
  <si>
    <t>Museu, bancos, fotografia de aves</t>
  </si>
  <si>
    <t>Sapal de Corroios; Moinho de Maré histórico.</t>
  </si>
  <si>
    <t>Passadiços de Almada</t>
  </si>
  <si>
    <t>Margem Sul — Almada</t>
  </si>
  <si>
    <t>Restaurantes "Atira-te ao Rio" e "Ponto Final"</t>
  </si>
  <si>
    <t>Icónico junto ao rio; vista da Ponte 25 de Abril.</t>
  </si>
  <si>
    <t>Vista Ponte 25 de Abril</t>
  </si>
  <si>
    <t>Passadiços de Salvaterra de Magos</t>
  </si>
  <si>
    <t>Lezíria — Salvaterra</t>
  </si>
  <si>
    <t>Falcoaria Real, merendas, cafés</t>
  </si>
  <si>
    <t>Canal da Vala Real até à Falcoaria Real.</t>
  </si>
  <si>
    <t>Falcoaria Real</t>
  </si>
  <si>
    <t>Lezíria — Benavente</t>
  </si>
  <si>
    <t>Parques infantis e desporto</t>
  </si>
  <si>
    <t>Benavente a Samora Correia; ribeirinho.</t>
  </si>
  <si>
    <t>Passadiços do Escaroupim</t>
  </si>
  <si>
    <t>Passeios de barco, museu avieiro</t>
  </si>
  <si>
    <t>Aldeia avieira; casas típicas.</t>
  </si>
  <si>
    <t>Aldeia avieira</t>
  </si>
  <si>
    <t>Passadiço Nazaré — Praia do Norte</t>
  </si>
  <si>
    <t>Oeste — Nazaré</t>
  </si>
  <si>
    <t>Do Sítio às ondas gigantes.</t>
  </si>
  <si>
    <t>Ondas gigantes</t>
  </si>
  <si>
    <t>Ecovia do Rio Alcoa</t>
  </si>
  <si>
    <t>Oeste — Alcobaça</t>
  </si>
  <si>
    <t>Pastelarias conventuais</t>
  </si>
  <si>
    <t>Mosteiro à zona desportiva.</t>
  </si>
  <si>
    <t>Mosteiro de Alcobaça</t>
  </si>
  <si>
    <t>Passadiço de Peniche</t>
  </si>
  <si>
    <t>Oeste — Peniche</t>
  </si>
  <si>
    <t>Porto de pesca</t>
  </si>
  <si>
    <t>Rochas vulcânicas da Papôa.</t>
  </si>
  <si>
    <t>Península da Papôa</t>
  </si>
  <si>
    <t>Ecovia de Óbidos</t>
  </si>
  <si>
    <t>Oeste — Óbidos</t>
  </si>
  <si>
    <t>Vela e kitesurf</t>
  </si>
  <si>
    <t>Margem sul da lagoa; pinhais e água.</t>
  </si>
  <si>
    <t>Passadiços de Santa Cruz</t>
  </si>
  <si>
    <t>Oeste — Torres Vedras</t>
  </si>
  <si>
    <t>Aeroclube e hotéis</t>
  </si>
  <si>
    <t>Arribas altas; miradouros.</t>
  </si>
  <si>
    <t>Arribas de Santa Cruz</t>
  </si>
  <si>
    <t>Ecovia do Rio Sizandro</t>
  </si>
  <si>
    <t>Parques urbanos</t>
  </si>
  <si>
    <t>Ciclável/pedonal; cidade às zonas rurais.</t>
  </si>
  <si>
    <t>Rio Sizandro</t>
  </si>
  <si>
    <t>Passadiços do Castelo de Palmela</t>
  </si>
  <si>
    <t>Margem Sul — Palmela</t>
  </si>
  <si>
    <t>Pousada histórica, casa dos vinhos</t>
  </si>
  <si>
    <t>Encostas do castelo; vista Arrábida.</t>
  </si>
  <si>
    <t>Ecovia do Almonda</t>
  </si>
  <si>
    <t>Lezíria — Golegã</t>
  </si>
  <si>
    <t>Museus fotografia, restaurantes</t>
  </si>
  <si>
    <t>Capital do cavalo; margens do rio.</t>
  </si>
  <si>
    <t>Rio Almonda e cavalos</t>
  </si>
  <si>
    <t>Passadiços de Santarém</t>
  </si>
  <si>
    <t>Lezíria — Santarém</t>
  </si>
  <si>
    <t>Cafetaria e Posto de Turismo</t>
  </si>
  <si>
    <t>Muralhas; vista sobre o Vale do Tejo.</t>
  </si>
  <si>
    <t>Passadiços do Paul do Boquilobo</t>
  </si>
  <si>
    <t>Centro de interpretação</t>
  </si>
  <si>
    <t>Reserva da Biosfera UNESCO; garças.</t>
  </si>
  <si>
    <t>Reserva UNESCO</t>
  </si>
  <si>
    <t>Lezíria — Ferreira Zêzere</t>
  </si>
  <si>
    <t>Acesso à água do Lago Azul.</t>
  </si>
  <si>
    <t>Ecovia do Rio Real</t>
  </si>
  <si>
    <t>Lezíria — Azambuja</t>
  </si>
  <si>
    <t>Próximo estação de comboios</t>
  </si>
  <si>
    <t>Lezírias; milho e tomate.</t>
  </si>
  <si>
    <t>Lezírias do Tejo</t>
  </si>
  <si>
    <t>Passadiços de Porto Covo</t>
  </si>
  <si>
    <t>Litoral — Sines</t>
  </si>
  <si>
    <t>Restaurantes de peixe, gelatarias, estacionamento</t>
  </si>
  <si>
    <t>Arribas da vila; praias de areia fina; Ilha do Pessegueiro.</t>
  </si>
  <si>
    <t>Ilha do Pessegueiro</t>
  </si>
  <si>
    <t>Passadiços Lagoa de Santo André</t>
  </si>
  <si>
    <t>Litoral — Santiago Cacém</t>
  </si>
  <si>
    <t>Centro interpretação, cafés de praia, WC</t>
  </si>
  <si>
    <t>Sistema dunar e sapal; flamingos e avifauna.</t>
  </si>
  <si>
    <t>Flamingos e Reserva Natural</t>
  </si>
  <si>
    <t>Passadiços da Zambujeira do Mar</t>
  </si>
  <si>
    <t>Litoral — Odemira</t>
  </si>
  <si>
    <t>Centro da vila, farmácia, alojamento</t>
  </si>
  <si>
    <t>Rota Vicentina; falésias recortadas pelo Atlântico.</t>
  </si>
  <si>
    <t>Ecovia do Rio Mira</t>
  </si>
  <si>
    <t>Litoral — V.N. Milfontes</t>
  </si>
  <si>
    <t>Canoas, surf, esplanadas</t>
  </si>
  <si>
    <t>Foz do rio Mira; Forte de São Clemente.</t>
  </si>
  <si>
    <t>Forte de São Clemente</t>
  </si>
  <si>
    <t>Passadiços do Cabo Sardão</t>
  </si>
  <si>
    <t>Farol, miradouros, estacionamento</t>
  </si>
  <si>
    <t>Cegonhas-brancas em rochas marítimas (caso único no mundo).</t>
  </si>
  <si>
    <t>Ninhos de cegonha em rocha</t>
  </si>
  <si>
    <t>Passadiço Praia da Samoqueira</t>
  </si>
  <si>
    <t>Litoral — Porto Covo</t>
  </si>
  <si>
    <t>0.5 km</t>
  </si>
  <si>
    <t>Estacionamento em terra batida</t>
  </si>
  <si>
    <t>Praia cénica; grutas e piscinas naturais.</t>
  </si>
  <si>
    <t>Grutas e piscinas naturais</t>
  </si>
  <si>
    <t>Ecovia da Represa</t>
  </si>
  <si>
    <t>Estacionamento, iluminação, descanso</t>
  </si>
  <si>
    <t>Circular; castelo à zona desportiva.</t>
  </si>
  <si>
    <t>Passadiços do Pulo do Lobo</t>
  </si>
  <si>
    <t>Baixo Alentejo — Mértola</t>
  </si>
  <si>
    <t>Piqueniques, sinalética</t>
  </si>
  <si>
    <t>Maior queda de água do Alentejo; desfiladeiro do Guadiana.</t>
  </si>
  <si>
    <t>Ecopista de Beja</t>
  </si>
  <si>
    <t>Baixo Alentejo — Beja</t>
  </si>
  <si>
    <t>Próximo estação CP de Beja</t>
  </si>
  <si>
    <t>Canal ferroviário desativado; oliveiras e pastagens.</t>
  </si>
  <si>
    <t>Canal ferroviário e oliveiras</t>
  </si>
  <si>
    <t>Passadiços da Mina de Aljustrel</t>
  </si>
  <si>
    <t>Baixo Alentejo — Aljustrel</t>
  </si>
  <si>
    <t>Museu Municipal, WC, cafetaria</t>
  </si>
  <si>
    <t>Património mineiro; malheirões e chaminés.</t>
  </si>
  <si>
    <t>Património mineiro</t>
  </si>
  <si>
    <t>Ecovia do Guadiana</t>
  </si>
  <si>
    <t>Turismo, restaurantes (caça), cais</t>
  </si>
  <si>
    <t>Sob muralhas da vila-museu; casas brancas e rio.</t>
  </si>
  <si>
    <t>Vila-museu de Mértola</t>
  </si>
  <si>
    <t>Passadiços Barragem Odivelas</t>
  </si>
  <si>
    <t>Baixo Alentejo — Alvito</t>
  </si>
  <si>
    <t>Praia fluvial, campismo, bar</t>
  </si>
  <si>
    <t>Albufeira; aves aquáticas e pesca.</t>
  </si>
  <si>
    <t>Ecovia das Muralhas de Serpa</t>
  </si>
  <si>
    <t>Baixo Alentejo — Serpa</t>
  </si>
  <si>
    <t>Queijadas de Serpa, WC, museu relógio</t>
  </si>
  <si>
    <t>Centro histórico e aqueduto; vale do Guadiana.</t>
  </si>
  <si>
    <t>Aqueduto de Serpa</t>
  </si>
  <si>
    <t>Trilho da Ermida de Guadalupe</t>
  </si>
  <si>
    <t>Miradouro e merendas</t>
  </si>
  <si>
    <t>Subida ao cabeço; melhor miradouro da região.</t>
  </si>
  <si>
    <t>Ermida de Guadalupe</t>
  </si>
  <si>
    <t>Ecopista de Évora</t>
  </si>
  <si>
    <t>Central — Évora</t>
  </si>
  <si>
    <t>Bicicletas, fontes, bancos</t>
  </si>
  <si>
    <t>Da cidade UNESCO a Arraiolos; sobreiros e azinheiras.</t>
  </si>
  <si>
    <t>Évora UNESCO</t>
  </si>
  <si>
    <t>Passadiços de Monsaraz</t>
  </si>
  <si>
    <t>Central — Reguengos</t>
  </si>
  <si>
    <t>Praia fluvial, restaurante, WC, observatório</t>
  </si>
  <si>
    <t>Centro Náutico à zona de banhos; vila medieval.</t>
  </si>
  <si>
    <t>Vila de Monsaraz e Alqueva</t>
  </si>
  <si>
    <t>Ecovia de Arraiolos</t>
  </si>
  <si>
    <t>Central — Arraiolos</t>
  </si>
  <si>
    <t>Estacionamento junto à barragem</t>
  </si>
  <si>
    <t>Barragem do Divor; silêncio e fauna.</t>
  </si>
  <si>
    <t>Barragem do Divor</t>
  </si>
  <si>
    <t>Passadiços da Amieira</t>
  </si>
  <si>
    <t>Central — Portel</t>
  </si>
  <si>
    <t>Marina, restaurante, WC, barcos</t>
  </si>
  <si>
    <t>Marina da Amieira; barcos-casa.</t>
  </si>
  <si>
    <t>Marina da Amieira</t>
  </si>
  <si>
    <t>Ecovia de Vila Viçosa</t>
  </si>
  <si>
    <t>Central — Vila Viçosa</t>
  </si>
  <si>
    <t>Museus, estacionamento, gastronomia</t>
  </si>
  <si>
    <t>Terreiro do Paço e castelo de mármore.</t>
  </si>
  <si>
    <t>Paço Ducal</t>
  </si>
  <si>
    <t>Passadiços do Alqueva (Estrela)</t>
  </si>
  <si>
    <t>Central — Moura</t>
  </si>
  <si>
    <t>Cais flutuante, merendas</t>
  </si>
  <si>
    <t>Aldeia da Estrela; caminhar sobre a água.</t>
  </si>
  <si>
    <t>Aldeia da Estrela</t>
  </si>
  <si>
    <t>Ecovia do Rio Degebe</t>
  </si>
  <si>
    <t>Sinalética de trilho</t>
  </si>
  <si>
    <t>Moinhos de água e levadas antigas.</t>
  </si>
  <si>
    <t>Moinhos do Degebe</t>
  </si>
  <si>
    <t>Passadiços da Alamal</t>
  </si>
  <si>
    <t>Alto Alentejo — Gavião</t>
  </si>
  <si>
    <t>Praia fluvial, bar, WC, estacionamento</t>
  </si>
  <si>
    <t>Margem esquerda do Tejo; Castelo de Belver.</t>
  </si>
  <si>
    <t>Castelo de Belver</t>
  </si>
  <si>
    <t>Ecopista de Castelo de Vide</t>
  </si>
  <si>
    <t>Alto Alentejo — C. Vide</t>
  </si>
  <si>
    <t>Estação/café, rail bikes</t>
  </si>
  <si>
    <t>Linha desativada; túneis de vegetação e carvalhais.</t>
  </si>
  <si>
    <t>Rail bikes</t>
  </si>
  <si>
    <t>Passadiços de Marvão</t>
  </si>
  <si>
    <t>Alto Alentejo — Marvão</t>
  </si>
  <si>
    <t>Piscina fluvial, restaurantes, esplanadas</t>
  </si>
  <si>
    <t>Portagem às margens do Sever; freixos centenários.</t>
  </si>
  <si>
    <t>Rio Sever</t>
  </si>
  <si>
    <t>Ecovia do Montado</t>
  </si>
  <si>
    <t>Alto Alentejo — Montemor</t>
  </si>
  <si>
    <t>Centro interpretação montado, parque infantil</t>
  </si>
  <si>
    <t>Montado puro; ciclo da cortiça e gado livre.</t>
  </si>
  <si>
    <t>Montado de sobreiros</t>
  </si>
  <si>
    <t>Passadiços de Montargil</t>
  </si>
  <si>
    <t>Alto Alentejo — Ponte de Sor</t>
  </si>
  <si>
    <t>Hotéis, clubes náuticos, restaurantes</t>
  </si>
  <si>
    <t>Acesso à água; desportos náuticos.</t>
  </si>
  <si>
    <t>Ecopista de Ponte de Sor</t>
  </si>
  <si>
    <t>Biblioteca, WC, fitness, skate park</t>
  </si>
  <si>
    <t>Rio Sor; parque da cidade à zona industrial.</t>
  </si>
  <si>
    <t>Rio Sor</t>
  </si>
  <si>
    <t>Passadiços do Gameiro</t>
  </si>
  <si>
    <t>Alto Alentejo — Mora</t>
  </si>
  <si>
    <t>Fluviário, ecológico, praia fluvial, campismo</t>
  </si>
  <si>
    <t>Junto ao Fluviário; Rio Raia entre açudes.</t>
  </si>
  <si>
    <t>Ecovia do Rio Caia</t>
  </si>
  <si>
    <t>Alto Alentejo — Campo Maior</t>
  </si>
  <si>
    <t>Centro Ciência Café (Delta), estacionamento</t>
  </si>
  <si>
    <t>Ribeira ao Centro de Ciência do Café.</t>
  </si>
  <si>
    <t>Centro Café Delta</t>
  </si>
  <si>
    <t>Passadiços de Alter do Chão</t>
  </si>
  <si>
    <t>Alto Alentejo — Alter</t>
  </si>
  <si>
    <t>Visitas guiadas, museu, hotel</t>
  </si>
  <si>
    <t>Cavalos Lusitanos na Coudelaria de Alter.</t>
  </si>
  <si>
    <t>Coudelaria de Alter</t>
  </si>
  <si>
    <t>Ecovia de Elvas</t>
  </si>
  <si>
    <t>Alto Alentejo — Elvas</t>
  </si>
  <si>
    <t>Bilheteira, WC, guias históricos</t>
  </si>
  <si>
    <t>Forte da Graça (UNESCO); vistas 360º.</t>
  </si>
  <si>
    <t>Forte da Graça UNESCO</t>
  </si>
  <si>
    <t>Passadiços Serra S. Mamede</t>
  </si>
  <si>
    <t>Alto Alentejo — Portalegre</t>
  </si>
  <si>
    <t>Posto de vigia, merendas</t>
  </si>
  <si>
    <t>Penedos e miradouros da serra.</t>
  </si>
  <si>
    <t>Serra de S. Mamede</t>
  </si>
  <si>
    <t>Passadiço Ribeira de Nisa</t>
  </si>
  <si>
    <t>Alto Alentejo — Nisa</t>
  </si>
  <si>
    <t>Zona de lazer</t>
  </si>
  <si>
    <t>Fresco e sombreado junto à ribeira.</t>
  </si>
  <si>
    <t>Ribeira de Nisa</t>
  </si>
  <si>
    <t>Ecovia de Avis</t>
  </si>
  <si>
    <t>Alto Alentejo — Avis</t>
  </si>
  <si>
    <t>Clube náutico, bar, WC</t>
  </si>
  <si>
    <t>Vila medieval; albufeira do Maranhão.</t>
  </si>
  <si>
    <t>Passadiço Albufeira Alqueva</t>
  </si>
  <si>
    <t>Bar, nadador-salvador, WC</t>
  </si>
  <si>
    <t>Merendas à zona de banhos.</t>
  </si>
  <si>
    <t>Praia fluvial Alqueva</t>
  </si>
  <si>
    <t>Ecovia de Vendas Novas</t>
  </si>
  <si>
    <t>Central — Vendas Novas</t>
  </si>
  <si>
    <t>Cafés (Bifanas), bancos</t>
  </si>
  <si>
    <t>Urbano verde; avenida principal.</t>
  </si>
  <si>
    <t>Bifanas de Vendas Novas</t>
  </si>
  <si>
    <t>Passadiço Guadiana (Moura)</t>
  </si>
  <si>
    <t>Centro receção, piqueniques</t>
  </si>
  <si>
    <t>Antigas azenhas junto ao rio.</t>
  </si>
  <si>
    <t>Azenhas d'El Rei</t>
  </si>
  <si>
    <t>Passadiços de Penha Garcia</t>
  </si>
  <si>
    <t>Alto Alentejo — Idanha</t>
  </si>
  <si>
    <t>Piscinas naturais, moinhos musealizados</t>
  </si>
  <si>
    <t>Fósseis (ictnofósseis) nas rochas.</t>
  </si>
  <si>
    <t>Ictnofósseis e moinhos</t>
  </si>
  <si>
    <t>Passadiço Monsaraz (Aldeia)</t>
  </si>
  <si>
    <t>Artesanato, vinhos, restaurantes</t>
  </si>
  <si>
    <t>Barbacãs da vila; Alqueva e planície.</t>
  </si>
  <si>
    <t>Barbacãs de Monsaraz</t>
  </si>
  <si>
    <t>Passadiço Mina S. Domingos</t>
  </si>
  <si>
    <t>Anfiteatro, bar, WC, canoas</t>
  </si>
  <si>
    <t>Praia fluvial da mina; pinhal e areia.</t>
  </si>
  <si>
    <t>Tapada Grande</t>
  </si>
  <si>
    <t>Passadiços de VRSA</t>
  </si>
  <si>
    <t>Sotavento — VRSA</t>
  </si>
  <si>
    <t>Merendas, iluminação, bicicletas</t>
  </si>
  <si>
    <t>Mata Nacional das Dunas; Monte Gordo sob pinheiros mansos.</t>
  </si>
  <si>
    <t>Mata Nacional e Monte Gordo</t>
  </si>
  <si>
    <t>Passadiços da Manta Rota</t>
  </si>
  <si>
    <t>Sotavento — V.N. Cacela</t>
  </si>
  <si>
    <t>Bares praia, duches, WC, estacionamento</t>
  </si>
  <si>
    <t>Proteção sistema dunar; vasta areia da Manta Rota.</t>
  </si>
  <si>
    <t>Sistema dunar</t>
  </si>
  <si>
    <t>Ecovia Cacela Velha — Tavira</t>
  </si>
  <si>
    <t>Sotavento — Tavira</t>
  </si>
  <si>
    <t>Restaurantes, sinalética ciclável</t>
  </si>
  <si>
    <t>Ria Formosa e aldeia histórica de Cacela Velha.</t>
  </si>
  <si>
    <t>Cacela Velha e Ria Formosa</t>
  </si>
  <si>
    <t>Passadiços Ilha de Tavira</t>
  </si>
  <si>
    <t>Restaurantes, WC, multibanco, campismo</t>
  </si>
  <si>
    <t>Pinhal e campismo da ilha de barcas.</t>
  </si>
  <si>
    <t>Ilha de Tavira</t>
  </si>
  <si>
    <t>Passadiços do Barril</t>
  </si>
  <si>
    <t>Sotavento — Sta Luzia</t>
  </si>
  <si>
    <t>Comboio turístico, restaurantes</t>
  </si>
  <si>
    <t>Comboio dos pescadores de atum; Cemitério das Âncoras.</t>
  </si>
  <si>
    <t>Cemitério das Âncoras</t>
  </si>
  <si>
    <t>Ecovia da Ria Formosa</t>
  </si>
  <si>
    <t>Sotavento — Olhão</t>
  </si>
  <si>
    <t>Centro Educação Marim, observatórios aves</t>
  </si>
  <si>
    <t>Salinas e sapais; flamingos e aves migratórias.</t>
  </si>
  <si>
    <t>Flamingos da Ria Formosa</t>
  </si>
  <si>
    <t>Passadiços do Ludo</t>
  </si>
  <si>
    <t>Sotavento — Faro</t>
  </si>
  <si>
    <t>Estacionamento, painéis informativos</t>
  </si>
  <si>
    <t>Ria Formosa, salinas e golfe; birdwatching.</t>
  </si>
  <si>
    <t>Birdwatching na Ria</t>
  </si>
  <si>
    <t>Passadiço Praia de Faro</t>
  </si>
  <si>
    <t>Bares, surf, Ria Formosa</t>
  </si>
  <si>
    <t>Ilha de Faro; dunas protegidas.</t>
  </si>
  <si>
    <t>Ilha de Faro</t>
  </si>
  <si>
    <t>Passadiços Quinta do Lago</t>
  </si>
  <si>
    <t>Centro — Loulé</t>
  </si>
  <si>
    <t>Restaurantes luxo, WC, percursos</t>
  </si>
  <si>
    <t>Famosa ponte de madeira sobre a ria.</t>
  </si>
  <si>
    <t>Ponte de madeira</t>
  </si>
  <si>
    <t>Passadiços Vale do Lobo</t>
  </si>
  <si>
    <t>Descanso vista mar, ténis</t>
  </si>
  <si>
    <t>Arribas ocre/avermelhadas do litoral.</t>
  </si>
  <si>
    <t>Arribas de Vale do Lobo</t>
  </si>
  <si>
    <t>Passadiço de Vilamoura</t>
  </si>
  <si>
    <t>Bares praia, iluminação, bancos</t>
  </si>
  <si>
    <t>Marina à Praia da Falésia; topo das arribas.</t>
  </si>
  <si>
    <t>Marina e Praia da Falésia</t>
  </si>
  <si>
    <t>Passadiços Lagoa Salgados</t>
  </si>
  <si>
    <t>Centro — Albufeira</t>
  </si>
  <si>
    <t>Estacionamento, painéis aves, praia</t>
  </si>
  <si>
    <t>Zona húmida; cágados e garças-vermelhas.</t>
  </si>
  <si>
    <t>Passadiços Armação de Pêra</t>
  </si>
  <si>
    <t>Centro — Silves</t>
  </si>
  <si>
    <t>Mercado peixe, restaurantes, infantil</t>
  </si>
  <si>
    <t>Frente marítima; dunas ao Forte de Santo António.</t>
  </si>
  <si>
    <t>Forte de Santo António</t>
  </si>
  <si>
    <t>Ecovia do Arade</t>
  </si>
  <si>
    <t>Esplanadas, museus, merendas</t>
  </si>
  <si>
    <t>Sob o Castelo de Silves; rio comercial antigo.</t>
  </si>
  <si>
    <t>Passadiços do Alvor</t>
  </si>
  <si>
    <t>Barlavento — Portimão</t>
  </si>
  <si>
    <t>Restaurantes porto, estacionamento, WC</t>
  </si>
  <si>
    <t>Maior rede de passadiços do Algarve; Ria de Alvor.</t>
  </si>
  <si>
    <t>Ria de Alvor</t>
  </si>
  <si>
    <t>Passadiços do Carvoeiro</t>
  </si>
  <si>
    <t>Barlavento — Lagoa</t>
  </si>
  <si>
    <t>Anfiteatro, bar em gruta, miradouros</t>
  </si>
  <si>
    <t>Curto mas dramático; Algar Seco e janelas naturais.</t>
  </si>
  <si>
    <t>Algar Seco</t>
  </si>
  <si>
    <t>Passadiço de Ferragudo</t>
  </si>
  <si>
    <t>Farol Ponta do Altar, estacionamento</t>
  </si>
  <si>
    <t>Falésias; vista estuário Arade e Marina.</t>
  </si>
  <si>
    <t>Farol Ponta do Altar</t>
  </si>
  <si>
    <t>Passadiços Ponta da Piedade</t>
  </si>
  <si>
    <t>Barlavento — Lagos</t>
  </si>
  <si>
    <t>Farol, miradouros, grutas, WC</t>
  </si>
  <si>
    <t>Falésias mais icónicas de Portugal.</t>
  </si>
  <si>
    <t>Passadiço da Meia Praia</t>
  </si>
  <si>
    <t>Bares praia, kitesurf, estação CP</t>
  </si>
  <si>
    <t>Dunas da Meia Praia; flora costeira.</t>
  </si>
  <si>
    <t>Dunas da Meia Praia</t>
  </si>
  <si>
    <t>Passadiço Praia da Luz</t>
  </si>
  <si>
    <t>Supermercados, bares, comércio</t>
  </si>
  <si>
    <t>Rocha Negra ao centro; ruínas romanas.</t>
  </si>
  <si>
    <t>Rocha Negra</t>
  </si>
  <si>
    <t>Passadiços de Sagres</t>
  </si>
  <si>
    <t>Barlavento — V. Bispo</t>
  </si>
  <si>
    <t>Exposições, Rosa Ventos, cafetaria. Bilhete</t>
  </si>
  <si>
    <t>Fortaleza; vista 270º sobre o oceano.</t>
  </si>
  <si>
    <t>Passadiços do Beliche</t>
  </si>
  <si>
    <t>Barlavento — Sagres</t>
  </si>
  <si>
    <t>Estacionamento, restaurante no topo</t>
  </si>
  <si>
    <t>Praia isolada do Beliche; protegida dos ventos.</t>
  </si>
  <si>
    <t>Praia do Beliche</t>
  </si>
  <si>
    <t>Passadiço da Bordeira</t>
  </si>
  <si>
    <t>Barlavento — Aljezur</t>
  </si>
  <si>
    <t>Observação surf, estacionamento</t>
  </si>
  <si>
    <t>Dunas e falésias da Carrapateira; surfistas.</t>
  </si>
  <si>
    <t>Dunas da Carrapateira</t>
  </si>
  <si>
    <t>Passadiço do Amado</t>
  </si>
  <si>
    <t>Escolas surf, bares sazonais</t>
  </si>
  <si>
    <t>Praia do Amado; arribas xistosas coloridas.</t>
  </si>
  <si>
    <t>Passadiços de Odeceixe</t>
  </si>
  <si>
    <t>Restaurantes, artesanato</t>
  </si>
  <si>
    <t>Vila à praia; meandro do Rio Seixe.</t>
  </si>
  <si>
    <t>Meandro do Rio Seixe</t>
  </si>
  <si>
    <t>Passadiços de Monte Clérigo</t>
  </si>
  <si>
    <t>Restaurantes peixe, WC</t>
  </si>
  <si>
    <t>Colina à aldeia piscatória; arribas frágeis.</t>
  </si>
  <si>
    <t>Monte Clérigo</t>
  </si>
  <si>
    <t>Ecopista Olhão — Fuseta</t>
  </si>
  <si>
    <t>Interior — Olhão</t>
  </si>
  <si>
    <t>Estação comboio Fuseta</t>
  </si>
  <si>
    <t>Via-férrea e Ria Formosa; plano e cénico.</t>
  </si>
  <si>
    <t>Via-férrea e Ria Formosa</t>
  </si>
  <si>
    <t>Passadiços Barragem Odeleite</t>
  </si>
  <si>
    <t>Interior — Castro Marim</t>
  </si>
  <si>
    <t>Miradouro, merendas</t>
  </si>
  <si>
    <t>Rio do Dragão Azul (vista aérea).</t>
  </si>
  <si>
    <t>Rio do Dragão Azul</t>
  </si>
  <si>
    <t>Ecovia do Rio Guadiana</t>
  </si>
  <si>
    <t>Interior — Alcoutim</t>
  </si>
  <si>
    <t>Praia fluvial Pego Fundo, tirolesa</t>
  </si>
  <si>
    <t>Margem do rio-fronteira com Espanha.</t>
  </si>
  <si>
    <t>Fronteira e tirolesa</t>
  </si>
  <si>
    <t>Passadiços de Monchique</t>
  </si>
  <si>
    <t>Interior — Monchique</t>
  </si>
  <si>
    <t>Descanso, sinalética histórica</t>
  </si>
  <si>
    <t>Ponte suspensa 50m; Barranco do Demo.</t>
  </si>
  <si>
    <t>Ponte suspensa</t>
  </si>
  <si>
    <t>Ecovia Reserva Castro Marim</t>
  </si>
  <si>
    <t>Centro interpretação, banhos lama</t>
  </si>
  <si>
    <t>Sapal; salinas medievais e modernas.</t>
  </si>
  <si>
    <t>Salinas Castro Marim</t>
  </si>
  <si>
    <t>Passadiço Fonte Benémola</t>
  </si>
  <si>
    <t>Interior — Loulé</t>
  </si>
  <si>
    <t>Merendário, estacionamento</t>
  </si>
  <si>
    <t>Ribeira; zona mais verde do interior algarvio.</t>
  </si>
  <si>
    <t>Passadiço Rocha da Pena</t>
  </si>
  <si>
    <t>Bar na aldeia, painéis geológicos</t>
  </si>
  <si>
    <t>Planalto calcário; ponto alto do Barrocal.</t>
  </si>
  <si>
    <t>Ecovia Cerro da Cabeça</t>
  </si>
  <si>
    <t>Miradouro natural</t>
  </si>
  <si>
    <t>Lapiaz (rocha corroída); vista Ria Formosa.</t>
  </si>
  <si>
    <t>Lapiaz e Ria Formosa</t>
  </si>
  <si>
    <t>Passadiços do Rio Gilão</t>
  </si>
  <si>
    <t>Interior — Tavira</t>
  </si>
  <si>
    <t>Comércio de Tavira</t>
  </si>
  <si>
    <t>Ambas margens no centro histórico.</t>
  </si>
  <si>
    <t>Centro de Tavira</t>
  </si>
  <si>
    <t>Ecovia Ria de Alvor</t>
  </si>
  <si>
    <t>Interior — Lagos</t>
  </si>
  <si>
    <t>Tranquilidade total</t>
  </si>
  <si>
    <t>Margem norte; terrenos agrícolas e sapal.</t>
  </si>
  <si>
    <t>Ria de Alvor (norte)</t>
  </si>
  <si>
    <t>Passadiço Ribeira de Alte</t>
  </si>
  <si>
    <t>Bares, merendas grelhadores, WC</t>
  </si>
  <si>
    <t>Fonte Grande de Alte; cascata Queda do Vigário.</t>
  </si>
  <si>
    <t>Fonte Grande de Alte</t>
  </si>
  <si>
    <t>Passadiços Praia Grande</t>
  </si>
  <si>
    <t>WC, vigilância verão</t>
  </si>
  <si>
    <t>Dunas altas e intocadas (extensão Salgados).</t>
  </si>
  <si>
    <t>Dunas altas</t>
  </si>
  <si>
    <t>Ecovia do Camaleão</t>
  </si>
  <si>
    <t>Interior — VRSA</t>
  </si>
  <si>
    <t>Observação, sinalética educativa</t>
  </si>
  <si>
    <t>Réptil símbolo; sapal junto ao Guadiana.</t>
  </si>
  <si>
    <t>Camaleão-comum</t>
  </si>
  <si>
    <t>Passadiços Pulo do Lobo (Alcoutim)</t>
  </si>
  <si>
    <t>Sinalética GR15</t>
  </si>
  <si>
    <t>Margem algarvia do Guadiana.</t>
  </si>
  <si>
    <t>Margem algarvia</t>
  </si>
  <si>
    <t>Passadiços Lagoa das Furnas</t>
  </si>
  <si>
    <t>Merendas, WC, milho cozido, estacionamento</t>
  </si>
  <si>
    <t>Caldeiras e fumarolas; cozido enterrado.</t>
  </si>
  <si>
    <t>Caldeiras das Furnas</t>
  </si>
  <si>
    <t>Passadiços da Caldeira Velha</t>
  </si>
  <si>
    <t>São Miguel — Rib. Grande</t>
  </si>
  <si>
    <t>Interpretação, duches, piscinas. Bilhete</t>
  </si>
  <si>
    <t>Fetos arbóreos e piscinas termais de água férrea.</t>
  </si>
  <si>
    <t>Piscinas termais</t>
  </si>
  <si>
    <t>Trilho da Lagoa do Fogo</t>
  </si>
  <si>
    <t>Miradouros; sem serviços</t>
  </si>
  <si>
    <t>Escadarias para a lagoa mais selvagem da ilha.</t>
  </si>
  <si>
    <t>Ecovia Orla Marítima</t>
  </si>
  <si>
    <t>São Miguel — P. Delgada</t>
  </si>
  <si>
    <t>Piscinas, bares, restaurantes, hotéis</t>
  </si>
  <si>
    <t>Portas do Mar a São Roque; corrida e ciclismo.</t>
  </si>
  <si>
    <t>Portas do Mar</t>
  </si>
  <si>
    <t>Passadiços Boca do Inferno</t>
  </si>
  <si>
    <t>São Miguel — Sete Cidades</t>
  </si>
  <si>
    <t>Estacionamento Lagoa Canário</t>
  </si>
  <si>
    <t>Miradouro mais famoso dos Açores; quatro lagoas.</t>
  </si>
  <si>
    <t>Sete Cidades</t>
  </si>
  <si>
    <t>Passadiços Salto do Prego</t>
  </si>
  <si>
    <t>São Miguel — Faial Terra</t>
  </si>
  <si>
    <t>Aldeia Sanguinho pelo caminho</t>
  </si>
  <si>
    <t>Cascata mais bonita da ilha; escadarias de madeira.</t>
  </si>
  <si>
    <t>Cascata Salto do Prego</t>
  </si>
  <si>
    <t>Ecovia de Santa Bárbara</t>
  </si>
  <si>
    <t>Surf, duches, WC, restaurantes</t>
  </si>
  <si>
    <t>Dunas da praia de surf; areia preta.</t>
  </si>
  <si>
    <t>Praia Santa Bárbara</t>
  </si>
  <si>
    <t>Passadiços Lomba da Maia</t>
  </si>
  <si>
    <t>Miradouro, estacionamento</t>
  </si>
  <si>
    <t>Praia da Viola; moinhos e quedas de água.</t>
  </si>
  <si>
    <t>Praia da Viola</t>
  </si>
  <si>
    <t>Passadiços Algar do Carvão</t>
  </si>
  <si>
    <t>Centro visitantes, loja. Bilhete</t>
  </si>
  <si>
    <t>Interior de cone vulcânico; lagoa no fundo.</t>
  </si>
  <si>
    <t>Cone vulcânico</t>
  </si>
  <si>
    <t>Passadiços Furnas Enxofre</t>
  </si>
  <si>
    <t>Painéis interpretativos, estacionamento</t>
  </si>
  <si>
    <t>Circuito circular; gases sulfurosos no solo.</t>
  </si>
  <si>
    <t>Fumarolas</t>
  </si>
  <si>
    <t>Passadiços Monte Brasil</t>
  </si>
  <si>
    <t>Terceira — Angra</t>
  </si>
  <si>
    <t>Lazer, gamos livres, merendas</t>
  </si>
  <si>
    <t>Vulcão extinto; vista cidade UNESCO.</t>
  </si>
  <si>
    <t>Angra (UNESCO)</t>
  </si>
  <si>
    <t>Passadiço Praia da Vitória</t>
  </si>
  <si>
    <t>Marina, bares, restaurantes, balnear</t>
  </si>
  <si>
    <t>Maior baía de areia da ilha.</t>
  </si>
  <si>
    <t>Baía da Vitória</t>
  </si>
  <si>
    <t>Passadiços dos Biscoitos</t>
  </si>
  <si>
    <t>Museu Vinho, quiosques, duches</t>
  </si>
  <si>
    <t>Piscinas naturais de lava negra.</t>
  </si>
  <si>
    <t>Piscinas de lava</t>
  </si>
  <si>
    <t>Passadiço Serra do Cume</t>
  </si>
  <si>
    <t>Apenas miradouro</t>
  </si>
  <si>
    <t>Manta de retalhos agrícola da ilha.</t>
  </si>
  <si>
    <t>Manta de retalhos</t>
  </si>
  <si>
    <t>Ecovia da Madalena</t>
  </si>
  <si>
    <t>Terminal marítimo, restaurantes, adegas</t>
  </si>
  <si>
    <t>Canal Pico-Faial; Areia Larga.</t>
  </si>
  <si>
    <t>Canal Pico-Faial</t>
  </si>
  <si>
    <t>Passadiços Vinhas Criação Velha</t>
  </si>
  <si>
    <t>Moinho vermelho, piscina natural</t>
  </si>
  <si>
    <t>Currais de pedra; vinha UNESCO.</t>
  </si>
  <si>
    <t>Vinhas UNESCO</t>
  </si>
  <si>
    <t>Passadiços Gruta das Torres</t>
  </si>
  <si>
    <t>Interpretação, visitas guiadas</t>
  </si>
  <si>
    <t>Maior tubo lávico de Portugal.</t>
  </si>
  <si>
    <t>Tubo lávico</t>
  </si>
  <si>
    <t>Marginal das Lajes do Pico</t>
  </si>
  <si>
    <t>Museu Baleeiros, cafés, expedições</t>
  </si>
  <si>
    <t>Porto de observação de cetáceos.</t>
  </si>
  <si>
    <t>Museu Baleeiros</t>
  </si>
  <si>
    <t>Passadiço Lagoa do Capitão</t>
  </si>
  <si>
    <t>Lagoa com Montanha do Pico ao fundo.</t>
  </si>
  <si>
    <t>Lagoa do Capitão</t>
  </si>
  <si>
    <t>Passadiço Fajã dos Cubres</t>
  </si>
  <si>
    <t>Café local, transporte quads</t>
  </si>
  <si>
    <t>Fajã entre lagoas de água salobra.</t>
  </si>
  <si>
    <t>Fajã dos Cubres</t>
  </si>
  <si>
    <t>Escadarias Fajã Sto Cristo</t>
  </si>
  <si>
    <t>Alojamento alternativo, surf</t>
  </si>
  <si>
    <t>Falésia à fajã mais isolada da ilha.</t>
  </si>
  <si>
    <t>Fajã Sto Cristo</t>
  </si>
  <si>
    <t>Passadiço Sete Fontes</t>
  </si>
  <si>
    <t>Miradouros, WC, piquenique</t>
  </si>
  <si>
    <t>Parque botânico; canal de São Jorge.</t>
  </si>
  <si>
    <t>Parque Sete Fontes</t>
  </si>
  <si>
    <t>Ecovia das Velas</t>
  </si>
  <si>
    <t>Comércio, porto</t>
  </si>
  <si>
    <t>Marina e piscinas de rocha vulcânica.</t>
  </si>
  <si>
    <t>Piscinas das Velas</t>
  </si>
  <si>
    <t>Passadiços Caldeira Faial</t>
  </si>
  <si>
    <t>Estacionamento, painéis</t>
  </si>
  <si>
    <t>Bordo da cratera (2 km diâmetro); laurissilva.</t>
  </si>
  <si>
    <t>Ecovia Vulcão Capelinhos</t>
  </si>
  <si>
    <t>Interpretação subterrâneo, cafetaria, WC</t>
  </si>
  <si>
    <t>Cinza vulcânica; farol soterrado.</t>
  </si>
  <si>
    <t>Farol dos Capelinhos</t>
  </si>
  <si>
    <t>Passadiço Porto Pim</t>
  </si>
  <si>
    <t>Faial — Horta</t>
  </si>
  <si>
    <t>Fábrica Baleia, bares, Peter Cafe Sport</t>
  </si>
  <si>
    <t>Baía de areia; base do Monte da Guia.</t>
  </si>
  <si>
    <t>Porto Pim e Peter Cafe</t>
  </si>
  <si>
    <t>Passadiço Barreiro Faneca</t>
  </si>
  <si>
    <t>Miradouro panorâmico</t>
  </si>
  <si>
    <t>Deserto Vermelho dos Açores; barro sensível.</t>
  </si>
  <si>
    <t>Deserto Vermelho</t>
  </si>
  <si>
    <t>Passadiços Baía S. Lourenço</t>
  </si>
  <si>
    <t>Piscinas naturais, restaurante, WC</t>
  </si>
  <si>
    <t>Vinhas em socalcos até ao mar.</t>
  </si>
  <si>
    <t>Vinhas de São Lourenço</t>
  </si>
  <si>
    <t>Ecovia Vila do Porto</t>
  </si>
  <si>
    <t>Turismo, restaurantes</t>
  </si>
  <si>
    <t>Forte à marina; vila mais antiga dos Açores.</t>
  </si>
  <si>
    <t>Vila mais antiga</t>
  </si>
  <si>
    <t>Passadiço Poço da Alagoinha</t>
  </si>
  <si>
    <t>Estacionamento no início</t>
  </si>
  <si>
    <t>20 quedas de água num lago verde.</t>
  </si>
  <si>
    <t>20 quedas de água</t>
  </si>
  <si>
    <t>Ecovia Sta Cruz Flores</t>
  </si>
  <si>
    <t>Comércio, museus baleeiros</t>
  </si>
  <si>
    <t>Frente marítima; piscinas naturais.</t>
  </si>
  <si>
    <t>Piscinas das Flores</t>
  </si>
  <si>
    <t>Passadiço Sete Lagoas</t>
  </si>
  <si>
    <t>Apenas miradouros</t>
  </si>
  <si>
    <t>Caldeiras profundas do interior.</t>
  </si>
  <si>
    <t>Sete Lagoas</t>
  </si>
  <si>
    <t>Passadiço Vila do Corvo</t>
  </si>
  <si>
    <t>Saúde, café, comércio</t>
  </si>
  <si>
    <t>Ilha mais pequena dos Açores.</t>
  </si>
  <si>
    <t>Ilha mais pequena</t>
  </si>
  <si>
    <t>Escadarias do Caldeirão</t>
  </si>
  <si>
    <t>Estacionamento no topo</t>
  </si>
  <si>
    <t>Cratera vulcânica; vacas e ovelhas livres.</t>
  </si>
  <si>
    <t>Cratera do Corvo</t>
  </si>
  <si>
    <t>Passadiços Caldeira Graciosa</t>
  </si>
  <si>
    <t>Centro Visitantes, WC</t>
  </si>
  <si>
    <t>Furna do Enxofre; túnel e escadaria caracol.</t>
  </si>
  <si>
    <t>Passadiço Termas Carapacho</t>
  </si>
  <si>
    <t>SPA termal, piscina oceânica</t>
  </si>
  <si>
    <t>Frente marítima; balneário termal.</t>
  </si>
  <si>
    <t>Termas do Carapacho</t>
  </si>
  <si>
    <t>Ecovia Sta Cruz Graciosa</t>
  </si>
  <si>
    <t>Pastelarias (Queijadas Graciosa)</t>
  </si>
  <si>
    <t>Marginal histórica; tanques e porto.</t>
  </si>
  <si>
    <t>Queijadas da Graciosa</t>
  </si>
  <si>
    <t>Passadiços Fajã do Ouvidor</t>
  </si>
  <si>
    <t>Restaurante peixe na fajã</t>
  </si>
  <si>
    <t>Poça Simão Dias; piscina mais instagramável.</t>
  </si>
  <si>
    <t>Poça Simão Dias</t>
  </si>
  <si>
    <t>Passadiços Fajã de São João</t>
  </si>
  <si>
    <t>Mercearia, paz absoluta</t>
  </si>
  <si>
    <t>Casas de basalto e hortas de café.</t>
  </si>
  <si>
    <t>Café de São Jorge</t>
  </si>
  <si>
    <t>Ecovia do Topo</t>
  </si>
  <si>
    <t>Fábrica queijo, zona banhos</t>
  </si>
  <si>
    <t>Farol e ilhéu do Topo; queijo local.</t>
  </si>
  <si>
    <t>Queijo de São Jorge</t>
  </si>
  <si>
    <t>Passeio Marítimo Funchal</t>
  </si>
  <si>
    <t>Funchal — Lido</t>
  </si>
  <si>
    <t>Piscinas, bares, restaurantes, WC, iluminação</t>
  </si>
  <si>
    <t>Lido à Praia Formosa; vistas mar e jardins exóticos.</t>
  </si>
  <si>
    <t>Lido e Praia Formosa</t>
  </si>
  <si>
    <t>Passadiços Praia Formosa</t>
  </si>
  <si>
    <t>Estacionamento, bares, jardins</t>
  </si>
  <si>
    <t>Calhau e areia preta; promenade Câmara de Lobos.</t>
  </si>
  <si>
    <t>Praia de calhau</t>
  </si>
  <si>
    <t>Ecovia Câmara de Lobos</t>
  </si>
  <si>
    <t>Funchal — Câmara Lobos</t>
  </si>
  <si>
    <t>Peixe, Poncha, WC</t>
  </si>
  <si>
    <t>Baía dos pescadores; barcos coloridos.</t>
  </si>
  <si>
    <t>Barcos coloridos e Poncha</t>
  </si>
  <si>
    <t>Levada dos Piornais</t>
  </si>
  <si>
    <t>Autocarro, cafés</t>
  </si>
  <si>
    <t>Urbano e agrícola; bananeiras do Funchal.</t>
  </si>
  <si>
    <t>Bananeiras do Funchal</t>
  </si>
  <si>
    <t>Passadiços do Monte</t>
  </si>
  <si>
    <t>Funchal — Monte</t>
  </si>
  <si>
    <t>Cafetarias, teleférico, jardins botânicos</t>
  </si>
  <si>
    <t>Igreja do Monte; Carros de Cesto.</t>
  </si>
  <si>
    <t>Carros de Cesto</t>
  </si>
  <si>
    <t>Vereda Ponta S. Lourenço</t>
  </si>
  <si>
    <t>Leste — Caniçal</t>
  </si>
  <si>
    <t>Estacionamento, Cais Sardinha (café/WC)</t>
  </si>
  <si>
    <t>Península vulcânica a leste; paisagem árida e atlântica.</t>
  </si>
  <si>
    <t>Passadiços Ponta Garajau</t>
  </si>
  <si>
    <t>Leste — Caniço</t>
  </si>
  <si>
    <t>Teleférico, restaurante, mergulho</t>
  </si>
  <si>
    <t>Cristo Rei; Reserva Marinha.</t>
  </si>
  <si>
    <t>Cristo Rei e Reserva</t>
  </si>
  <si>
    <t>Ecovia de Machico</t>
  </si>
  <si>
    <t>Leste — Machico</t>
  </si>
  <si>
    <t>Balneários, esplanadas, desportiva</t>
  </si>
  <si>
    <t>Baía de Machico; praia areia amarela.</t>
  </si>
  <si>
    <t>Baía de Machico</t>
  </si>
  <si>
    <t>Vereda dos Balcões</t>
  </si>
  <si>
    <t>Leste — Ribeiro Frio</t>
  </si>
  <si>
    <t>Trutas, cafés, WC</t>
  </si>
  <si>
    <t>Miradouro vale Ribeira da Metade.</t>
  </si>
  <si>
    <t>Miradouro dos Balcões</t>
  </si>
  <si>
    <t>Levada Caldeirão Verde</t>
  </si>
  <si>
    <t>Leste — Santana</t>
  </si>
  <si>
    <t>Queimadas, casas colmo, café</t>
  </si>
  <si>
    <t>Laurissilva UNESCO; túneis escavados.</t>
  </si>
  <si>
    <t>Floresta Laurissilva</t>
  </si>
  <si>
    <t>Ecovia do Faial</t>
  </si>
  <si>
    <t>Complexo balnear, karts</t>
  </si>
  <si>
    <t>Foz da ribeira; Penha d'Águia.</t>
  </si>
  <si>
    <t>Penha d'Águia</t>
  </si>
  <si>
    <t>Passadiço Rocha do Navio</t>
  </si>
  <si>
    <t>Teleférico Rocha do Navio</t>
  </si>
  <si>
    <t>Fajã e reserva; descida íngreme.</t>
  </si>
  <si>
    <t>Fajã da Rocha</t>
  </si>
  <si>
    <t>Passadiços Piscinas Porto Moniz</t>
  </si>
  <si>
    <t>Norte — Porto Moniz</t>
  </si>
  <si>
    <t>Balneários, restaurantes, aquário</t>
  </si>
  <si>
    <t>Piscinas de lava vulcânica.</t>
  </si>
  <si>
    <t>Piscinas Porto Moniz</t>
  </si>
  <si>
    <t>Ecovia de São Vicente</t>
  </si>
  <si>
    <t>Norte — S. Vicente</t>
  </si>
  <si>
    <t>Vulcanologia, bares, restaurantes</t>
  </si>
  <si>
    <t>Mar do Norte; surfistas.</t>
  </si>
  <si>
    <t>Grutas S. Vicente</t>
  </si>
  <si>
    <t>Levada Ribeira da Janela</t>
  </si>
  <si>
    <t>Merendas no início</t>
  </si>
  <si>
    <t>Vale mais profundo da ilha.</t>
  </si>
  <si>
    <t>Vale profundo</t>
  </si>
  <si>
    <t>Passadiços do Seixal</t>
  </si>
  <si>
    <t>Norte — Seixal</t>
  </si>
  <si>
    <t>Clube naval, restaurante</t>
  </si>
  <si>
    <t>Praia areia preta; piscinas do Aquário.</t>
  </si>
  <si>
    <t>Praia do Seixal</t>
  </si>
  <si>
    <t>Caminho Real Monte-Arco S. Jorge</t>
  </si>
  <si>
    <t>Turismo rural</t>
  </si>
  <si>
    <t>Calçada de pedra; degraus em zonas de declive.</t>
  </si>
  <si>
    <t>Calçada histórica</t>
  </si>
  <si>
    <t>Passadiços Jardim do Mar</t>
  </si>
  <si>
    <t>Oeste — Jardim Mar</t>
  </si>
  <si>
    <t>Bares surfistas, estacionamento</t>
  </si>
  <si>
    <t>Promenade pôr do sol; ondas gigantes.</t>
  </si>
  <si>
    <t>Pôr do sol e ondas</t>
  </si>
  <si>
    <t>Promenade Paul do Mar</t>
  </si>
  <si>
    <t>Oeste — Paul Mar</t>
  </si>
  <si>
    <t>Lapas frescas, Poncha</t>
  </si>
  <si>
    <t>Aldeia pescadores; falésia e mar.</t>
  </si>
  <si>
    <t>Lapas frescas</t>
  </si>
  <si>
    <t>Oeste — Rabaçal</t>
  </si>
  <si>
    <t>Rabaçal café, shuttle</t>
  </si>
  <si>
    <t>Trilho mais visitado; lagoa das 25 fontes.</t>
  </si>
  <si>
    <t>Lagoa das 25 Fontes</t>
  </si>
  <si>
    <t>Levada do Alecrim</t>
  </si>
  <si>
    <t>Estacionamento Paul da Serra</t>
  </si>
  <si>
    <t>Planalto; piscinas no topo das quedas.</t>
  </si>
  <si>
    <t>Piscinas do Alecrim</t>
  </si>
  <si>
    <t>Passadiço Cascata dos Anjos</t>
  </si>
  <si>
    <t>Oeste — Ponta Sol</t>
  </si>
  <si>
    <t>Cafetaria na vila</t>
  </si>
  <si>
    <t>Cascata cai no asfalto.</t>
  </si>
  <si>
    <t>Cascata dos Anjos</t>
  </si>
  <si>
    <t>Ecovia da Calheta</t>
  </si>
  <si>
    <t>Oeste — Calheta</t>
  </si>
  <si>
    <t>Supermercado, restaurantes, náuticos</t>
  </si>
  <si>
    <t>Marina às praias de areia importada.</t>
  </si>
  <si>
    <t>Marina da Calheta</t>
  </si>
  <si>
    <t>Caminho do Comboio</t>
  </si>
  <si>
    <t>Engenho açúcar próximo</t>
  </si>
  <si>
    <t>Antigo traçado do açúcar; pedonal plano.</t>
  </si>
  <si>
    <t>Engenho de açúcar</t>
  </si>
  <si>
    <t>Vereda Areeiro — Pico Ruivo</t>
  </si>
  <si>
    <t>Interior — Picos</t>
  </si>
  <si>
    <t>Café Areeiro, abrigo Pico Ruivo</t>
  </si>
  <si>
    <t>Trilho mais espetacular; escadarias sobre abismos.</t>
  </si>
  <si>
    <t>Areeiro e Pico Ruivo</t>
  </si>
  <si>
    <t>Passadiços Eira do Serrado</t>
  </si>
  <si>
    <t>Interior — Curral Freiras</t>
  </si>
  <si>
    <t>Hotel, castanhas, WC</t>
  </si>
  <si>
    <t>Miradouro; vila escondida na cratera.</t>
  </si>
  <si>
    <t>Vereda do Fanal</t>
  </si>
  <si>
    <t>Interior — Porto Moniz</t>
  </si>
  <si>
    <t>Merendas, gado livre</t>
  </si>
  <si>
    <t>Floresta de tis seculares; nevoeiro mágico.</t>
  </si>
  <si>
    <t>Floresta de tis</t>
  </si>
  <si>
    <t>Vereda da Encumeada</t>
  </si>
  <si>
    <t>Interior</t>
  </si>
  <si>
    <t>Snack-bar Encumeada</t>
  </si>
  <si>
    <t>Crista; mar Norte e Sul simultaneamente.</t>
  </si>
  <si>
    <t>Vista Norte e Sul</t>
  </si>
  <si>
    <t>Passadiço Dunas Porto Santo</t>
  </si>
  <si>
    <t>Bares praia, tratamentos areias</t>
  </si>
  <si>
    <t>Dunas de areia dourada terapêutica.</t>
  </si>
  <si>
    <t>Areias terapêuticas</t>
  </si>
  <si>
    <t>Ecovia / Ciclovia Porto Santo</t>
  </si>
  <si>
    <t>Bicicletas, karts</t>
  </si>
  <si>
    <t>Praia de 9 km; plano.</t>
  </si>
  <si>
    <t>Praia de 9 km</t>
  </si>
  <si>
    <t>Vereda Pico do Castelo</t>
  </si>
  <si>
    <t>Merendas, canhões antigos</t>
  </si>
  <si>
    <t>Pico fortificado; vista aeroporto e cidade.</t>
  </si>
  <si>
    <t>Pico do Castelo</t>
  </si>
  <si>
    <t>Passadiço do Zimbralinho</t>
  </si>
  <si>
    <t>Miradouro no topo</t>
  </si>
  <si>
    <t>Enseada águas azuis; formações basálticas.</t>
  </si>
  <si>
    <t>Zimbralinho</t>
  </si>
  <si>
    <t>Vereda Pico Ana Ferreira</t>
  </si>
  <si>
    <t>Campo golfe próximo</t>
  </si>
  <si>
    <t>Colunas de basalto (Órgãos); formação rara.</t>
  </si>
  <si>
    <t>Órgãos basálticos</t>
  </si>
  <si>
    <t>Passadiço Ponta do Sol</t>
  </si>
  <si>
    <t>Outro — Ponta Sol</t>
  </si>
  <si>
    <t>Bares, zona balnear</t>
  </si>
  <si>
    <t>Sobre o mar; cais histórico mais bonito.</t>
  </si>
  <si>
    <t>Cais da Ponta do Sol</t>
  </si>
  <si>
    <t>Levada do Moinho</t>
  </si>
  <si>
    <t>Estacionamento igreja</t>
  </si>
  <si>
    <t>Percurso duplo; por trás de cascata.</t>
  </si>
  <si>
    <t>Cascata e moinhos</t>
  </si>
  <si>
    <t>Ecovia Caniço de Baixo</t>
  </si>
  <si>
    <t>Outro — Caniço</t>
  </si>
  <si>
    <t>Hotéis, centros mergulho</t>
  </si>
  <si>
    <t>Promenade junto ao mar; praias calhau.</t>
  </si>
  <si>
    <t>Praias de calhau</t>
  </si>
  <si>
    <t>Vereda da Vigia</t>
  </si>
  <si>
    <t>Outro — São Jorge</t>
  </si>
  <si>
    <t>Farol S. Jorge</t>
  </si>
  <si>
    <t>Vigia da baleia; costa Norte.</t>
  </si>
  <si>
    <t>Vereda do Larano</t>
  </si>
  <si>
    <t>Outro — Machico</t>
  </si>
  <si>
    <t>Miradouro Boca do Risco</t>
  </si>
  <si>
    <t>Falésia vertiginosa; mar do Norte.</t>
  </si>
  <si>
    <t>Falésia do Larano</t>
  </si>
  <si>
    <t>Passadiço Porto da Cruz</t>
  </si>
  <si>
    <t>Outro — Porto Cruz</t>
  </si>
  <si>
    <t>Engenho rum, restaurantes</t>
  </si>
  <si>
    <t>Praia Alagoa; piscinas salgadas.</t>
  </si>
  <si>
    <t>Engenho de rum</t>
  </si>
  <si>
    <t>Caminho Fonte da Areia</t>
  </si>
  <si>
    <t>Fonte histórica, descanso</t>
  </si>
  <si>
    <t>Costa norte; vento esculpiu rochas.</t>
  </si>
  <si>
    <t>Rochas esculpidas</t>
  </si>
  <si>
    <t>💦  CASCATAS E POÇOS NATURAIS DE PORTUGAL  —  100 Entradas</t>
  </si>
  <si>
    <t>Norte · Centro · Lisboa · Alentejo · Algarve · Açores · Madeira  ·  💧 Quedas de Água, Piscinas e Poços de Granito  ·  28 de fevereiro de 2026</t>
  </si>
  <si>
    <t xml:space="preserve">  🟦  NORTE  —  Peneda-Gerês · Minho · Douro · Trás-os-Montes  ·  30 entradas</t>
  </si>
  <si>
    <t>Poço natural entre penedos ciclópicos de granito, água azul-esmeralda, paredes cobertas de musgo e fetos, acesso difícil. ⚠ Corrente forte após chuva.</t>
  </si>
  <si>
    <t>Queda de 20m sobre parede de granito, cortina de água branca em poça translúcida verde, planalto da Mourela ao fundo, garanos selvagens ao longe. ⚠ Baixo risco.</t>
  </si>
  <si>
    <t>Queda de 15m num anfiteatro natural de granito, poça de cor esmeralda, vegetação ripícola densa, ambiente tropical inesperado no Minho. ⚠ Risco médio em chuva.</t>
  </si>
  <si>
    <t>Cascata de 8m junto à estrada romana, marco miliário visível na margem, fronteira com Espanha ao lado, carvalhos centenários.</t>
  </si>
  <si>
    <t>Queda de 15m no vale do Gerês, descida íngreme, poça profunda azul-turquesa, paredes de granito verticais, isolamento total.</t>
  </si>
  <si>
    <t>Sequência de 7 poços naturais escalonados entre penedos monumentais, trilho de 12km, paisagem de alta montanha, urze roxa nas margens.</t>
  </si>
  <si>
    <t>Cascata de 15m escondida na floresta, acesso por caminho florestal, água sobre rocha coberta de musgo espesso, poça de imersão.</t>
  </si>
  <si>
    <t>Queda de 12m, água dividindo-se em múltiplos fios sobre parede de granito rajado, força bruta visível. ⚠ Risco crítico após chuva.</t>
  </si>
  <si>
    <t>Queda de 10m em vale verdejante do Minho, percurso fácil entre vinhas e carvalhos, água sobre granito rosado, poça serena.</t>
  </si>
  <si>
    <t>Poço natural familiar entre penedos de granito, água cristalina e calma, árvores sombreando, acesso fácil.</t>
  </si>
  <si>
    <t>Poço escondido na floresta de Fafião, água verde-esmeralda entre penedos de granito monumentais, carvalhal denso, silêncio do Gerês.</t>
  </si>
  <si>
    <t>Sistema de lagoas entre campos alagados, zona húmida protegida, búfalos de água, passadiços sobre lagoas, aves aquáticas.</t>
  </si>
  <si>
    <t>Queda de 18m junto à EN308, acesso fácil, água poderosa em inverno despenhando-se sobre granito.</t>
  </si>
  <si>
    <t>Poço familiar entre campos minhotos, água fresca e cristalina, granito rosado, sombra de carvalhos, piquenique na margem.</t>
  </si>
  <si>
    <t>Queda de 10m em vale verdejante, caminho pedestre entre vinhas e campos, água sobre granito musgoso, poça tranquila.</t>
  </si>
  <si>
    <t>Queda de 12m no interior duriense, caudal forte após chuva de outono, xisto e granito, vinhas do Douro ao longe.</t>
  </si>
  <si>
    <t>Poço secreto acessível por trilho exigente, água azul-profundo entre paredes de granito, carvalhal centenário, isolamento total.</t>
  </si>
  <si>
    <t>Queda de 15m junto à aldeia histórica de Castro Laboreiro, granito da serra, cães de gado, paisagem de alta montanha.</t>
  </si>
  <si>
    <t>Cascata de 25m impressionante em inverno, parede de granito escorregadia, ambiente dramático e selvagem. ⚠ Rocha escorregadia.</t>
  </si>
  <si>
    <t>Queda de 8m acessível por percurso de 2km, água suave sobre penedos cobertos de musgo, poça calma, primavera com flores silvestres.</t>
  </si>
  <si>
    <t>Poço natural de água escura próximo dos espigueiros do Soajo, penedos de granito monumental, carvalhos centenários.</t>
  </si>
  <si>
    <t>Queda de 10m familiar, água suave sobre laje de granito plana, poça rasa ideal para crianças, acesso fácil.</t>
  </si>
  <si>
    <t>Lagoa mística no fim de trilho exigente de 6km, água verde-esmeralda entre penedos rituais, atmosfera céltica.</t>
  </si>
  <si>
    <t>A cascata mais alta de Portugal com 200m em múltiplos degraus, água despenhando-se sobre granito monumental, vale do Ôlo profundo.</t>
  </si>
  <si>
    <t>Poço natural no Rio Homem, água cristalina entre penedos, carvalhos e vidoeiros sombreando, mergulho de verão.</t>
  </si>
  <si>
    <t>Queda de 30m junto à aldeia comunitária de Pitões das Júnias, ruínas do mosteiro junto à cascata, vacas barrosãs.</t>
  </si>
  <si>
    <t>Poço sombreado por teixos centenários, água fresca e escura, refrescante em verão, penedos de granito com musgo.</t>
  </si>
  <si>
    <t>Queda de 12m na fronteira Portugal-Espanha, granito dos dois países, ponte internacional visível.</t>
  </si>
  <si>
    <t>Poço natural entre campos minhotos perto de Esposende, água cristalina, granito rosado, ambiente costeiro-rural.</t>
  </si>
  <si>
    <t>Queda de 15m na serra de Valongo, trilho do Parque Paleozóico, fósseis na rocha de xisto e quartzito.</t>
  </si>
  <si>
    <t xml:space="preserve">  🟨  CENTRO  —  Serra da Estrela · Açor · Lousã · Caramulo · Tejo · Serra de Aire  ·  31 entradas</t>
  </si>
  <si>
    <t>A cascata mais alta do Centro com 75m, cortina de água branca despenhando-se sobre xisto escuro, névoa permanente na base, vale profundo.</t>
  </si>
  <si>
    <t>Queda de 10m no vale glaciar de Manteigas, água caindo entre bétulas, neve possível de outubro a abril. ⚠ Neve possível Out-Abr.</t>
  </si>
  <si>
    <t>Queda de 12m sobre xisto e granito, praia fluvial na base, aldeia de xisto restaurada ao lado, trilhos entre carvalhos.</t>
  </si>
  <si>
    <t>Queda de 25m no Parque Natural, cortina de água sobre parede de granito coberta de musgo, vale profundo.</t>
  </si>
  <si>
    <t>Cascata de 8m caindo por buraco natural na rocha, arco de pedra emoldurando a queda, poça familiar na base.</t>
  </si>
  <si>
    <t>Queda de 6m junto à estrada, acessível a todos, poça circular de água esmeralda entre penedos de granito.</t>
  </si>
  <si>
    <t>Poço natural junto a Manteigas, água cristalina entre penedos de granito, vale glaciar do Zêzere como cenário.</t>
  </si>
  <si>
    <t>Queda de 20m num anfiteatro calcário, parede côncava de calcário branco, água só em inverno após chuvas, geologia cársica.</t>
  </si>
  <si>
    <t>Queda de 14m onde o Guadiana se comprime num estreito canal de quartzito, Parque Natural do Vale do Guadiana.</t>
  </si>
  <si>
    <t>Poço natural entre penedos de xisto na Lousã, água cristalina e fresca, carvalhos e castanheiros sombreando.</t>
  </si>
  <si>
    <t>Queda de 20m referência turística do Centro, anfiteatro de xisto escuro, Mata da Margaraça ao redor, carvalhos e azevinheiros.</t>
  </si>
  <si>
    <t>Poço natural de 8m junto a Manteigas, água cristalina entre penedos de granito no vale do Zêzere.</t>
  </si>
  <si>
    <t>A mais alta do Caramulo com 35m, água despenhando-se sobre parede de granito com musgo, barragem da Aguieira ao fundo.</t>
  </si>
  <si>
    <t>Poço natural de água fresca em Gouveia, penedos de granito ao redor, sombra de carvalhos e castanheiros.</t>
  </si>
  <si>
    <t>Queda de 12m no coração da serra, xisto escuro e musgo espesso, trilho entre castanheiros e carvalhos.</t>
  </si>
  <si>
    <t>Poço recluso na serra junto a Seia, embrenhado na floresta densa, água escura entre penedos, silêncio total.</t>
  </si>
  <si>
    <t>Queda de 15m em Oliveira do Hospital, água abundante em primavera sobre granito, vale da Estrela sul, latadas de vinha nas encostas.</t>
  </si>
  <si>
    <t>Poço natural junto a Manteigas, enormes calhaus de granito ao redor, água fresca de montanha, vale glaciar à vista.</t>
  </si>
  <si>
    <t>Queda de 10m entre vegetação densa da serra, granito coberto de musgo, caminho entre eucaliptos e carvalhos.</t>
  </si>
  <si>
    <t>Poço natural escondido entre xistos em Góis, água cristalina, castanheiros nas margens, silêncio de serra interior.</t>
  </si>
  <si>
    <t>Queda de 8m em Carregal do Sal, acessível todo o ano, água sobre granito, poça serena, paisagem de meia encosta.</t>
  </si>
  <si>
    <t>Poço de nascente aquecida pelo sol em verão, penedos de granito, sombra de carvalhos, frescura e calor alternados.</t>
  </si>
  <si>
    <t>Queda de 10m em Alvoco da Serra, aldeia histórica ao lado, granito e xisto, castanheiros nas encostas, ponte medieval.</t>
  </si>
  <si>
    <t>Poço natural na Lousã, junto a antigo pisão de lã, xisto escuro, ruínas industriais entre a floresta.</t>
  </si>
  <si>
    <t>Queda de 12m de acesso difícil em Arganil, água poderosa na primavera, vale encaixado, xisto negro e vegetação autóctone.</t>
  </si>
  <si>
    <t>Poço natural junto a Manteigas, enormes calhaus de granito arredondados por erosão glaciar, zimbros e bétulas.</t>
  </si>
  <si>
    <t>Queda de 15m em Celorico da Beira, castelo medieval de Linhares visível no alto, água de outono a maio.</t>
  </si>
  <si>
    <t>Poço natural em Cortes na Estrela, água cristalina entre penedos, acesso fácil, crianças nas margens, freixos e salgueiros.</t>
  </si>
  <si>
    <t>Queda de 10m no rio Ocreza, Centro Geodésico de Portugal próximo, pinhal e sobreiral, calcário e arenito.</t>
  </si>
  <si>
    <t>Poço natural de água cor de mel na Lousã, reflexos dourados sobre água serena, xisto e castanheiros.</t>
  </si>
  <si>
    <t>Poço de altitude junto à Torre, neve acumulada nas margens em inverno, água de degelo gelada, planalto e urze.</t>
  </si>
  <si>
    <t xml:space="preserve">  🟩  LISBOA  —  Sintra · Serra de Sintra  ·  1 entrada</t>
  </si>
  <si>
    <t>Queda de 8m escondida na serra de Sintra, água entre fetos arbóreos e criptomérias, floresta encantada com neblina, microclima místico.</t>
  </si>
  <si>
    <t xml:space="preserve">  🟧  ALENTEJO  —  Alto Alentejo · Crato  ·  1 entrada</t>
  </si>
  <si>
    <t>Cascata de 6m no Alto Alentejo junto ao Crato, água caindo sobre granito, sobreiros e azinheiras ao redor, montado alentejano.</t>
  </si>
  <si>
    <t xml:space="preserve">  🟥  ALGARVE  —  Barrocal · Serra de Monchique · Costa Vicentina  ·  5 entradas</t>
  </si>
  <si>
    <t>Cascata de 3m escondida no barrocal algarvio, água sobre calcário dourado em poça profunda turquesa, figueiras e alfarrobeiras, Tavira próxima.</t>
  </si>
  <si>
    <t>Queda de 24m na aldeia mais típica do Algarve, água sobre calcário em praia fluvial, casas caiadas de Alte visíveis.</t>
  </si>
  <si>
    <t>Cascata de 20m escondida na serra mais alta do Algarve, castanheiros e medronheiros, sienito escuro, só com caudal em inverno.</t>
  </si>
  <si>
    <t>Queda de 15m despenhando-se da falésia directamente para a praia, acesso difícil por mar ou falésia, xisto e arenito, ondas na base. ⚠ Acesso difícil.</t>
  </si>
  <si>
    <t>Queda de 15m no barrocal algarvio, água de primavera sobre calcário dourado, alfarrobeiras e figueiras, ribeira sazonal.</t>
  </si>
  <si>
    <t xml:space="preserve">  🟪  AÇORES  —  São Miguel · Flores · Terceira · Pico · Faial · São Jorge · Santa Maria · Graciosa · Corvo  ·  23 entradas</t>
  </si>
  <si>
    <t>Cascata termal de 6m entre fetos arbóreos gigantes, água quente alaranjada em piscina natural de basalto, vapor erguendo-se, vegetação macaronésica exuberante.</t>
  </si>
  <si>
    <t>Sequência de poços naturais, cascatas entre falésias de basalto cobertas de hortênsias, água cristalina, ilha mais verde dos Açores.</t>
  </si>
  <si>
    <t>Cascata de 10m em Faial da Terra, trilho entre laurissilva, água sobre basalto coberto de musgo, vale encaixado, vegetação primordial.</t>
  </si>
  <si>
    <t>Cascata de 15m junto às Furnas, fumarolas visíveis ao longe, vale geotérmico, basalto com depósitos minerais.</t>
  </si>
  <si>
    <t>A cascata mais alta das Flores com 90m, água despenhando-se sobre falésia de basalto coberta de musgo e hortênsias, Atlântico ao fundo.</t>
  </si>
  <si>
    <t>Queda monumental de 80m sobre falésia de basalto, água caindo directamente para o mar, hortênsias nas margens, paisagem insular remota.</t>
  </si>
  <si>
    <t>Cascata de 40m despenhando-se da falésia costeira no Nordeste, água caindo sobre basalto directamente para o oceano.</t>
  </si>
  <si>
    <t>Canal de água descendo da caldeira vulcânica, trilho exigente de 8km, praia branca vulcânica na lagoa, paisagem primitiva.</t>
  </si>
  <si>
    <t>Queda termal de 6m sobre basalto entre vegetação tropical exuberante, água quente alaranjada, piscinas termais naturais.</t>
  </si>
  <si>
    <t>Cascata de 20m junto a central hidroeléctrica histórica, basalto coberto de musgo, vale profundo, condutas metálicas da antiga central.</t>
  </si>
  <si>
    <t>Queda de 15m sobre fajã costeira, basalto colunar visível, hortênsias e fetos, oceano Atlântico ao fundo, paisagem única jorgense.</t>
  </si>
  <si>
    <t>Poço natural em área geotérmica, água morna de tom esverdeado, fumarolas próximas, criptóméria japonesa sombreando, vapor visível.</t>
  </si>
  <si>
    <t>Queda monumental de 90m sobre falésia de basalto colunar, hortênsias azuis nas margens, uma das mais belas dos Açores.</t>
  </si>
  <si>
    <t>Queda de 20m num anfiteatro natural de basalto, vegetação macaronésica exuberante, isolamento total na ilha.</t>
  </si>
  <si>
    <t>Cascata de 15m no vale das Furnas, basalto coberto de musgo, água de temperatura morna, vapores vulcânicos ao longe.</t>
  </si>
  <si>
    <t>Queda de 12m perto de Lagoa em São Miguel, chá dos Açores visível nas encostas, basalto e terra fértil.</t>
  </si>
  <si>
    <t>Poço natural de cor azul-cobalto no Nordeste de São Miguel, vegetação macaronésica, falésia de basalto, acesso por trilho.</t>
  </si>
  <si>
    <t>Queda de 10m junto à aldeia abandonada de Sanguinho, casas em ruína entre fetos arbóreos gigantes, laurissilva recuperando o povoado.</t>
  </si>
  <si>
    <t>Lagoa natural alimentada por múltiplas cascatas, patos selvagens, basalto coberto de hortênsias, ilha mais remota.</t>
  </si>
  <si>
    <t>Queda de 40m em São Miguel, água poderosa em inverno, basalto negro monumental, vale profundo, ilha de Vila Franca ao longe.</t>
  </si>
  <si>
    <t>Poço natural na ilha do Pico, basalto negro vulcânico, vinhas do Pico (UNESCO) ao longe, Montanha do Pico como cenário.</t>
  </si>
  <si>
    <t>Queda de 20m dentro da Caldeira do Faial, acesso difícil pela borda da cratera, basalto com cedro-do-mato. ⚠ Acesso difícil.</t>
  </si>
  <si>
    <t>Lagoa costeira única nos Açores, ligada ao mar por canal, fajã isolada, amêijoas endémicas, surf no canal, basalto e pastagem.</t>
  </si>
  <si>
    <t xml:space="preserve">  🟫  MADEIRA  —  Funchal · Santana · Seixal · São Vicente · Ribeira Brava  ·  9 entradas</t>
  </si>
  <si>
    <t>Queda de 15m caindo directamente sobre a estrada costeira, água despenhando-se da falésia sobre carros e peões, basalto negro, oceano ao lado. Experiência única!</t>
  </si>
  <si>
    <t>Queda espectacular de 140m, a mais alta da Madeira, na Ribeira Brava, água em véu branco pela falésia de basalto escuro, vale profundo da laurissilva.</t>
  </si>
  <si>
    <t>Queda de 100m na Levada das 25 Fontes, água em véu branco sobre falésia coberta de musgo e fetos, laurissilva UNESCO ao redor.</t>
  </si>
  <si>
    <t>Anfiteatro natural de basalto com múltiplas nascentes brotando da rocha, água caindo de 25 pontos, lago cristalino na base, laurissilva, UNESCO.</t>
  </si>
  <si>
    <t>Queda de 12m no coração de Santana, basalto negro entre laurissilva densa, casas típicas de Santana ao fundo, fetos arbóreos.</t>
  </si>
  <si>
    <t>Queda de 25m junto às grutas vulcânicas de São Vicente, basalto negro, tubos de lava próximos, costa norte dramática.</t>
  </si>
  <si>
    <t>Poço natural de acesso difícil em Santana, escondido na laurissilva profunda, água fresca entre basalto coberto de musgo, fetos arbóreos monumentais. ⚠ Difícil.</t>
  </si>
  <si>
    <t>Queda de 30m caindo da falésia directamente para o oceano junto ao Seixal, um dos cartões-postais da Madeira, basalto negro e mar azul.</t>
  </si>
  <si>
    <t>Queda de 20m junto a levada histórica, canal de pedra e água corrente ao lado, floresta de eucalipto e loureiro, trilho da levada.</t>
  </si>
  <si>
    <t>💦  100 Entradas  ·  7 Regiões  ·  Portugal Vivo — Base de Dados de Turismo Natural  ·  Coordenadas GPS exactas  ·  28 de fevereiro de 2026</t>
  </si>
  <si>
    <t>🛒  MERCADOS E FEIRAS DE PORTUGAL — 240 Entradas</t>
  </si>
  <si>
    <t>Norte · Centro · Alentejo · Algarve · Madeira · Açores  ·  Mercados Tradicionais, Feiras de Artesanato e Bio  ·  2 de março de 2026</t>
  </si>
  <si>
    <t xml:space="preserve">  🟦  NORTE  ·  Porto · Braga · Viana do Castelo · Vila Real · Bragança  ·  100 entradas</t>
  </si>
  <si>
    <t>mercadobolhao.pt</t>
  </si>
  <si>
    <t>matosinhos.pt</t>
  </si>
  <si>
    <t>Mercado de Pq. Dr. João Laranjo com Roupa e Frescos. Sábados 07h-13h.</t>
  </si>
  <si>
    <t>bomsucessomarket.pt</t>
  </si>
  <si>
    <t>Mercado de Pç. Bom Sucesso com Gastronomia / Lazer. Diário 08h-23h.</t>
  </si>
  <si>
    <t>Mercado de Av. Júlio Graça com Rendas de Bilros. Sextas 07h-13h.</t>
  </si>
  <si>
    <t>Mercado de Av. 25 de Abril com Velharias / Usados. Sábados 07h-13h.</t>
  </si>
  <si>
    <t>Mercado de Av. Ramos Pinto com Petiscos / Vinhos. Diário 10h-23h.</t>
  </si>
  <si>
    <t>Mercado de Cidade da Maia com Geral. Segundas 07h-13h.</t>
  </si>
  <si>
    <t>Mercado de peixe e marisco de Marginal de Angeiras. Ter-Sáb 07h-14h. Um dos mais frescos e autênticos do país.</t>
  </si>
  <si>
    <t>Mercado de Av. da Conduta com Geral. Sábados 07h-13h.</t>
  </si>
  <si>
    <t>Mercado de R. Rodrigues Freitas com Frescos. Seg-Sáb 07h-14h.</t>
  </si>
  <si>
    <t>Mercado de R. de 25 de Abril com Ourivesaria Artesanal. Seg-Sáb 07h-13h.</t>
  </si>
  <si>
    <t>Mercado de R. Sousa Paupério com Biscoitos. Seg-Sáb 07h-14h.</t>
  </si>
  <si>
    <t>Mercado de Parque de Lazer com Móveis / Geral. Dias 7 e 23.</t>
  </si>
  <si>
    <t>Mercado de R. de 5 de Outubro com Doçaria Conventual. Quartas e Sábados.</t>
  </si>
  <si>
    <t>Mercado de Av. Mal. Humberto Delgado com Geral. Dias 9 e 25.</t>
  </si>
  <si>
    <t>Mercado de Av. Egas Moniz com Regional. Diário 07h-14h.</t>
  </si>
  <si>
    <t>Mercado de Praça José Guilherme com Geral. Dias 5 e 21.</t>
  </si>
  <si>
    <t>Mercado biológico de Núcleo Rural Pq. Cidade. Sábados 09h-14h. Produtores locais com fruta, legumes e derivados de produção biológica certificada.</t>
  </si>
  <si>
    <t>Mercado de R. Camilo Castelo Branco com Posta / Fumeiro.</t>
  </si>
  <si>
    <t>Mercado de Monte Sta Quitéria com Calçado. Dias 12 e 27.</t>
  </si>
  <si>
    <t>Mercado de Praça 25 de Abril com Frescos. Seg-Sáb 07h-14h.</t>
  </si>
  <si>
    <t>Mercado de Mercado Feiras e Eventos com Geral. Sábados.</t>
  </si>
  <si>
    <t>Mercado de Largo da Feira com Geral. Quartas 07h-13h.</t>
  </si>
  <si>
    <t>Mercado de R. Diogo Botelho com Gourmet. Seg-Sáb 07h-16h.</t>
  </si>
  <si>
    <t>Mercado de R. D. Afonso Henriques com Têxteis. Domingos 07h-13h.</t>
  </si>
  <si>
    <t>Mercado de R. Godinho Faria com Frescos. Seg-Sáb 07h-14h.</t>
  </si>
  <si>
    <t>Mercado de Rua de S. Vicente com Geral. Sábados 07h-13h.</t>
  </si>
  <si>
    <t>cm-barcelos.pt</t>
  </si>
  <si>
    <t>Mercado biológico de Praça do Comércio. Seg-Sáb 07h-19h. Produtores locais com fruta, legumes e derivados de produção biológica certificada.</t>
  </si>
  <si>
    <t>Mercado de R. de Santo António com Bordados / Cutelaria. Seg-Sáb 07h-18h.</t>
  </si>
  <si>
    <t>Mercado de Campo da Feira com Geral. Quartas 07h-13h.</t>
  </si>
  <si>
    <t>Mercado de Rua do Mercado com Frescos / Mar.</t>
  </si>
  <si>
    <t>Mercado de Parque da Cidade com Vitela. Sextas 07h-13h.</t>
  </si>
  <si>
    <t>Mercado de Rua do Mercado com Bolinhol. Seg-Sáb 07h-14h.</t>
  </si>
  <si>
    <t>Mercado de Largo da Feira com Mel e Pólen. Segundas 07h-13h.</t>
  </si>
  <si>
    <t>Mercado de Praça do Comércio com Laranja. Quartas 07h-13h.</t>
  </si>
  <si>
    <t>Mercado de Campo da Feira com Lenços de Namorados. Sábados 07h-13h.</t>
  </si>
  <si>
    <t>Mercado de Praça Guilherme de Abreu com Fumeiro. Segundas 07h-13h.</t>
  </si>
  <si>
    <t>Mercado de Campo do Seco com Mel / Tecelagem. Segundas 07h-13h.</t>
  </si>
  <si>
    <t>Mercado de Vila de Celorico de Basto com Vinho Verde. Sextas 07h-13h.</t>
  </si>
  <si>
    <t>Mercado de Largo António Lopes com Filigrana. Quintas quinzenais.</t>
  </si>
  <si>
    <t>Mercado de Largo da Lagoa com Frescos / Mar.</t>
  </si>
  <si>
    <t>Mercado de Centro da Vila com Têxteis. Segundas 07h-13h.</t>
  </si>
  <si>
    <t>Mercado de Vila de Joane com Geral. Sábados 07h-13h.</t>
  </si>
  <si>
    <t>Mercado de Caldas das Taipas com Termas / Geral. Segundas 07h-13h.</t>
  </si>
  <si>
    <t>Mercado de Vila de Pevidém com Geral. Sábados 07h-13h.</t>
  </si>
  <si>
    <t>Mercado de Lordelo com Geral. Terças 07h-13h.</t>
  </si>
  <si>
    <t>Mercado de Vila de Prado com Cerâmica. Segundas 07h-13h.</t>
  </si>
  <si>
    <t>Mercado de Marinhas com Geral. Domingos 07h-13h.</t>
  </si>
  <si>
    <t>Mercado de Ronfe com Geral. Segundas 07h-13h.</t>
  </si>
  <si>
    <t>Mercado de Moreira de Cónegos com Têxteis. Sextas 07h-13h.</t>
  </si>
  <si>
    <t>Mercado de Gualtar com Frescos. Seg-Sáb 07h-13h.</t>
  </si>
  <si>
    <t>Feira de artesanato de Largo da Feira. Sábados 08h-19h.</t>
  </si>
  <si>
    <t>Mercado de Praça 1º de Maio com Ouro / Bordados. Seg-Sáb 07h-18h.</t>
  </si>
  <si>
    <t>Mercado de Areinho de Ponte de Lima com Arroz de Sarrabulho. 2ª Feiras quinzenais.</t>
  </si>
  <si>
    <t>Mercado de Av. Colégio Português com Linhos e Atoalhados. Quartas 07h-13h.</t>
  </si>
  <si>
    <t>Mercado de Parque das Caldas com Vinho Alvarinho. Quintas 07h-13h.</t>
  </si>
  <si>
    <t>Mercado de peixe e marisco de Rua do Mercado. Seg-Sáb / Feira: Quarta.</t>
  </si>
  <si>
    <t>Mercado de Campo da Feira com Carne Cachena. 4ª Feiras quinzenais.</t>
  </si>
  <si>
    <t>Mercado de R. Dr. Joaquim Manso com Mel / Aguardente. Quartas 07h-13h.</t>
  </si>
  <si>
    <t>Mercado de Largo da Feira com Milho e Broa. Sábados 07h-13h.</t>
  </si>
  <si>
    <t>Mercado de Largo do Mercado com Alvarinho / Fumeiro.</t>
  </si>
  <si>
    <t>Mercado de Campo do Castelo com Mar / Redes. Quintas 07h-13h.</t>
  </si>
  <si>
    <t>Mercado de Largo da Feira com Geral. Sábados 07h-13h.</t>
  </si>
  <si>
    <t>Mercado de Vila de Barroselas com Geral. Sábados 07h-13h.</t>
  </si>
  <si>
    <t>Mercado de Cais Velho com Geral. Domingos 07h-13h.</t>
  </si>
  <si>
    <t>Mercado biológico de Castelo de Lindoso. Mensal (varia). Produtores locais com fumeiro e produtos biológicos certificados.</t>
  </si>
  <si>
    <t>Mercado de Rua de Santa Sofia com Cristas de Galo.</t>
  </si>
  <si>
    <t>Mercado de Largo do Município com Presunto / Pastéis. Dias 10 e 20.</t>
  </si>
  <si>
    <t>Mercado de Av. João da Cruz com Casta / Butelo.</t>
  </si>
  <si>
    <t>Mercado de Parque do Império com Alheira. Dias 3 e 23.</t>
  </si>
  <si>
    <t>Mercado de Av. de Castelo Branco com Vinhos Douro.</t>
  </si>
  <si>
    <t>Mercado de Largo da Feira com Azeite / Vinho. Dias 10 e 24.</t>
  </si>
  <si>
    <t>Mercado de Pç. das Instituições com Produtos da Terra. Dias 12 e 27.</t>
  </si>
  <si>
    <t>Feira de gado e produtos agrícolas de Parque da Cidade. Dias 1 e 15. Encontro secular de agricultores e criadores.</t>
  </si>
  <si>
    <t>Mercado de Rua do Mercado com Posta / Tecelagem. Dias 5 e 20.</t>
  </si>
  <si>
    <t>Mercado de Campo da Feira com Carne Mirandesa. Dia 10.</t>
  </si>
  <si>
    <t>Mercado de Largo do Mercado com Salpicão / Porco Bísaro. Dias 9 e 23.</t>
  </si>
  <si>
    <t>Mercado de Vila de Murça com Azeite / Doçaria. Dias 12 e 27.</t>
  </si>
  <si>
    <t>Mercado de Av. Dr. Augusto Brito com Vinho Verde. Dias 1 e 15.</t>
  </si>
  <si>
    <t>Mercado de Campo da Feira com Folar / Vinho. Dias 6 e 21.</t>
  </si>
  <si>
    <t>Mercado de Rua do Comércio com Amêndoa. Dias 12 e 24.</t>
  </si>
  <si>
    <t>Mercado de Centro da Vila com Sedas. Mensal (varia).</t>
  </si>
  <si>
    <t>Mercado de Rua do Mercado com Castanha / Mel. Dias 7 e 17.</t>
  </si>
  <si>
    <t>Mercado de Largo da Feira com Milho / Regional. Dia 15.</t>
  </si>
  <si>
    <t>Mercado de Vila de Boticas com Vinho dos Mortos. Dia 20.</t>
  </si>
  <si>
    <t>Mercado de Praça do Município com Fumeiro / Barroso. Dias 9 e 22.</t>
  </si>
  <si>
    <t>Mercado de Praça do Município com Maçã / Vinho. Dias 3 e 18.</t>
  </si>
  <si>
    <t>Mercado de Centro da Vila com Cereja. Dia 11.</t>
  </si>
  <si>
    <t>Mercado de Vila de Sabrosa com Vinhos Douro. Dias 8 e 23.</t>
  </si>
  <si>
    <t>Mercado de Largo do Cruzeiro com Regional. Terças-feiras.</t>
  </si>
  <si>
    <t>Mercado de Av. Mal. Carmona com Azeite / Frutos Secos. Dias 12 e 27.</t>
  </si>
  <si>
    <t>Mercado de Cais do Pinhão com Vinho do Porto. 1º Domingo do Mês.</t>
  </si>
  <si>
    <t>Mercado de Vila de Vidago com Águas / Mel.</t>
  </si>
  <si>
    <t>Mercado de Vila de Sendim com Regional. 2º Domingo do Mês.</t>
  </si>
  <si>
    <t>Mercado de Vila de Izeda com Azeite / Fumeiro. Dia 13.</t>
  </si>
  <si>
    <t>Mercado de Praça da República com Vinhos / Regional. Dias 1 e 15.</t>
  </si>
  <si>
    <t xml:space="preserve">  🟨  CENTRO  ·  Aveiro · Coimbra · Leiria · Viseu · Guarda · Castelo Branco · Santarém  ·  31 entradas</t>
  </si>
  <si>
    <t>Peixe / Frescos</t>
  </si>
  <si>
    <t>Frescos / Regional</t>
  </si>
  <si>
    <t>Mercado de Praça Manuel Firmino com produtos frescos e regionais.</t>
  </si>
  <si>
    <t>Mercado de Av. 24 com produtos frescos e regionais.</t>
  </si>
  <si>
    <t>Sáb-Dom (Verão)</t>
  </si>
  <si>
    <t>Peixe / Regional</t>
  </si>
  <si>
    <t>Mercado de Av. José Estêvão com produtos frescos e regionais.</t>
  </si>
  <si>
    <t>Mercado de Bairro de Santiago com produtos frescos e regionais.</t>
  </si>
  <si>
    <t>Frescos / Bio</t>
  </si>
  <si>
    <t>Mercado de Rua Olímpio Fernandes com produtos frescos e regionais.</t>
  </si>
  <si>
    <t>Peixe / Mar</t>
  </si>
  <si>
    <t>Mercado de Praça 8 de Maio com produtos frescos e regionais.</t>
  </si>
  <si>
    <t>Mercado de Praça Marquês de Marialva com produtos frescos e regionais.</t>
  </si>
  <si>
    <t>Mercado de Parque de Campismo com produtos frescos e regionais.</t>
  </si>
  <si>
    <t>Mercado de Rua do Comércio com produtos frescos e regionais.</t>
  </si>
  <si>
    <t>Frescos / Flores</t>
  </si>
  <si>
    <t>Mercado de Av. Cidade de Maringá com produtos frescos e regionais.</t>
  </si>
  <si>
    <t>Diário 08h-13h</t>
  </si>
  <si>
    <t>Frutas / Flores</t>
  </si>
  <si>
    <t>Mercado de Praça da República com produtos frescos e regionais.</t>
  </si>
  <si>
    <t>Mercado de Av. Fernão de Magalhães com produtos frescos e regionais.</t>
  </si>
  <si>
    <t>Peixe / Rendas</t>
  </si>
  <si>
    <t>Mercado de Rua Dr. Ernesto Cabral com produtos frescos e regionais.</t>
  </si>
  <si>
    <t>Seg-Sáb 09h-19h</t>
  </si>
  <si>
    <t>Ginja / Artesanato</t>
  </si>
  <si>
    <t>Mercado de Rua Direita com produtos frescos e regionais.</t>
  </si>
  <si>
    <t>Peixe / Seco</t>
  </si>
  <si>
    <t>Mercado de Av. Vieira Guimarães com produtos frescos e regionais.</t>
  </si>
  <si>
    <t>Mercado de Centro da Vila com produtos frescos e regionais.</t>
  </si>
  <si>
    <t>Frescos / Vinhos</t>
  </si>
  <si>
    <t>Mercado de Rua Paulo Emílio com produtos frescos e regionais.</t>
  </si>
  <si>
    <t>Frescos / Queijo</t>
  </si>
  <si>
    <t>Mercado de Rua do Mercado com produtos frescos e regionais.</t>
  </si>
  <si>
    <t>Agosto (anual)</t>
  </si>
  <si>
    <t>Artesanato / Regional</t>
  </si>
  <si>
    <t>Mercado de Campo de Viriato com produtos frescos e regionais.</t>
  </si>
  <si>
    <t>Mercado de Av. 1º de Maio com produtos frescos e regionais.</t>
  </si>
  <si>
    <t>Frescos / Doçaria</t>
  </si>
  <si>
    <t>Mercado de Praça do Comércio com produtos frescos e regionais.</t>
  </si>
  <si>
    <t>Quinzenal</t>
  </si>
  <si>
    <t>Mercado de Recinto da Feira com produtos frescos e regionais.</t>
  </si>
  <si>
    <t>Frescos / Colchas</t>
  </si>
  <si>
    <t>Mercado de Praça do Mercado com produtos frescos e regionais.</t>
  </si>
  <si>
    <t>Lãs / Frescos</t>
  </si>
  <si>
    <t>Mercado de Rua Visconde da Coriscada com produtos frescos e regionais.</t>
  </si>
  <si>
    <t>Cerejas / Frescos</t>
  </si>
  <si>
    <t>Mercado de Av. da Liberdade com produtos frescos e regionais.</t>
  </si>
  <si>
    <t>Mercado de Av. Dr. Manuel Gesta com produtos frescos e regionais.</t>
  </si>
  <si>
    <t>Mercado de Av. Horta d'El Rei com produtos frescos e regionais.</t>
  </si>
  <si>
    <t>Diário 08h-20h</t>
  </si>
  <si>
    <t>Religioso / Regional</t>
  </si>
  <si>
    <t>Mercado de Av. José Alves Correia da Silva com produtos frescos e regionais.</t>
  </si>
  <si>
    <t>Mercado de Barragem do Caldeirão com produtos frescos e regionais.</t>
  </si>
  <si>
    <t xml:space="preserve">  🟧  ALENTEJO  ·  Évora · Beja · Portalegre · Setúbal (Litoral)  ·  30 entradas</t>
  </si>
  <si>
    <t>Mercado de Praça 1º de Maio com produtos frescos e regionais.</t>
  </si>
  <si>
    <t>Junho (anual)</t>
  </si>
  <si>
    <t>Geral / Festivo</t>
  </si>
  <si>
    <t>Mercado de Rossio de São Brás com produtos frescos e regionais.</t>
  </si>
  <si>
    <t>Mármores / Artesanato</t>
  </si>
  <si>
    <t>Mercado de Rossio Marquês de Pombal com produtos frescos e regionais.</t>
  </si>
  <si>
    <t>Mercado de Largo dos Paços do Concelho com produtos frescos e regionais.</t>
  </si>
  <si>
    <t>Tapetes / Frescos</t>
  </si>
  <si>
    <t>Mercado de Rua Bombeiros Voluntários com produtos frescos e regionais.</t>
  </si>
  <si>
    <t>Mercado de Av. da Misericórdia com produtos frescos e regionais.</t>
  </si>
  <si>
    <t>Vinho / Artesanato</t>
  </si>
  <si>
    <t>Mercado de Parque de Feiras com produtos frescos e regionais.</t>
  </si>
  <si>
    <t>Mercado de Parque de Exposições com produtos frescos e regionais.</t>
  </si>
  <si>
    <t>Mercado de Rua da Moeda com produtos frescos e regionais.</t>
  </si>
  <si>
    <t>Março (anual)</t>
  </si>
  <si>
    <t>Ovinos / Agro</t>
  </si>
  <si>
    <t>Queijo / Vinhos</t>
  </si>
  <si>
    <t>Azeite / Frescos</t>
  </si>
  <si>
    <t>Mensal</t>
  </si>
  <si>
    <t>Mercado de Rossio de Castro Verde com produtos frescos e regionais.</t>
  </si>
  <si>
    <t>Mercado de Largo da Feira com produtos frescos e regionais.</t>
  </si>
  <si>
    <t>Mercado de Praça D. Dinis com produtos frescos e regionais.</t>
  </si>
  <si>
    <t>Frescos / Tapeçaria</t>
  </si>
  <si>
    <t>Azeitonas / Regional</t>
  </si>
  <si>
    <t>Mercado de Av. Garcia de Orta com produtos frescos e regionais.</t>
  </si>
  <si>
    <t>Setembro (anual)</t>
  </si>
  <si>
    <t>Mercado de Parque da Piedade com produtos frescos e regionais.</t>
  </si>
  <si>
    <t>Novembro (anual)</t>
  </si>
  <si>
    <t>Castanha / Regional</t>
  </si>
  <si>
    <t>Mercado de Vila de Marvão com produtos frescos e regionais.</t>
  </si>
  <si>
    <t>Mercado de Largo do Mercado com produtos frescos e regionais.</t>
  </si>
  <si>
    <t>Lusitanos / Regional</t>
  </si>
  <si>
    <t>Mercado de Centro de Alter do Chão com produtos frescos e regionais.</t>
  </si>
  <si>
    <t>Setúbal / Litoral</t>
  </si>
  <si>
    <t>Mercado de Av. General Humberto Delgado com produtos frescos e regionais.</t>
  </si>
  <si>
    <t>Mercado de Rua da Praça com produtos frescos e regionais.</t>
  </si>
  <si>
    <t>Arroz / Frescos</t>
  </si>
  <si>
    <t>Mercado de Margem do rio Sado com produtos frescos e regionais.</t>
  </si>
  <si>
    <t>Mercado de Parque de Feiras e Exposições com produtos frescos e regionais.</t>
  </si>
  <si>
    <t>Anual</t>
  </si>
  <si>
    <t>Artesanato / Ecologia</t>
  </si>
  <si>
    <t>Mercado de São Teotónio com produtos frescos e regionais.</t>
  </si>
  <si>
    <t>Mercado de Vila Nova de Santo André com produtos frescos e regionais.</t>
  </si>
  <si>
    <t xml:space="preserve">  🟥  ALGARVE  ·  Faro · Portimão · Lagos · Olhão · Tavira · Silves · Loulé  ·  30 entradas</t>
  </si>
  <si>
    <t>Mercado de Av. dos Descobrimentos com produtos frescos e regionais.</t>
  </si>
  <si>
    <t>Sábados 09h-13h</t>
  </si>
  <si>
    <t>Mercado de Próximo do Estádio Municipal com produtos frescos e regionais.</t>
  </si>
  <si>
    <t>Frescos / Marisco</t>
  </si>
  <si>
    <t>Mercado de Av. São João de Deus com produtos frescos e regionais.</t>
  </si>
  <si>
    <t>Batata-Doce / Bio</t>
  </si>
  <si>
    <t>Mercado de Rua das Escolas com produtos frescos e regionais.</t>
  </si>
  <si>
    <t>Aguardente / Regional</t>
  </si>
  <si>
    <t>Laranja / Frescos</t>
  </si>
  <si>
    <t>Mercado de Rua Cruz de Portugal com produtos frescos e regionais.</t>
  </si>
  <si>
    <t>Artesanato / Frescos</t>
  </si>
  <si>
    <t>Mercado de Rua Vasco da Gama com produtos frescos e regionais.</t>
  </si>
  <si>
    <t>Mercado de Fonte Santa com produtos frescos e regionais.</t>
  </si>
  <si>
    <t>Bio / Artesanato</t>
  </si>
  <si>
    <t>Mercado de Centro de Santa Bárbara de Nexe com produtos frescos e regionais.</t>
  </si>
  <si>
    <t>Outubro (anual)</t>
  </si>
  <si>
    <t>Mercado de Largo de S. Francisco com produtos frescos e regionais.</t>
  </si>
  <si>
    <t>Peixe / Marisco</t>
  </si>
  <si>
    <t>cm-olhao.pt</t>
  </si>
  <si>
    <t>Mercado de Av. 5 de Outubro com produtos frescos e regionais.</t>
  </si>
  <si>
    <t>Mercado de Exterior dos Mercados com produtos frescos e regionais.</t>
  </si>
  <si>
    <t>cm-tavira.pt</t>
  </si>
  <si>
    <t>Mercado de Av. D. Manuel I com produtos frescos e regionais.</t>
  </si>
  <si>
    <t>Mercado de Rua Boaventura Passos com produtos frescos e regionais.</t>
  </si>
  <si>
    <t>Mercado de Escola EB 2/3 com produtos frescos e regionais.</t>
  </si>
  <si>
    <t>Mercado de Av. da República com produtos frescos e regionais.</t>
  </si>
  <si>
    <t>Frescos / Sal</t>
  </si>
  <si>
    <t>Mercado de Cais de Alcoutim com produtos frescos e regionais.</t>
  </si>
  <si>
    <t>Peixe / Bivalves</t>
  </si>
  <si>
    <t>Mercado de Largo da Igreja com produtos frescos e regionais.</t>
  </si>
  <si>
    <t>Mercado de Igreja Nova com produtos frescos e regionais.</t>
  </si>
  <si>
    <t xml:space="preserve">  🟫  MADEIRA  ·  Funchal · Câmara de Lobos · Santana · Machico · Porto Santo  ·  25 entradas</t>
  </si>
  <si>
    <t>Frutas Exóticas / Flores</t>
  </si>
  <si>
    <t>cm-funchal.pt</t>
  </si>
  <si>
    <t>Mercado de Rua Brigadeiro Oudinot com frutas exóticas tropicais, flores e artesanato madeirense. Um dos mais emblemáticos de Portugal.</t>
  </si>
  <si>
    <t>Mercado de Largo da Penteada com produtos frescos e regionais.</t>
  </si>
  <si>
    <t>Mercado de Caminho do Amparo com produtos frescos e regionais.</t>
  </si>
  <si>
    <t>Peixe / Espada</t>
  </si>
  <si>
    <t>Mercado de Rua Padre Eduardo C. Nunes com produtos frescos e regionais.</t>
  </si>
  <si>
    <t>timeoutmarket.com</t>
  </si>
  <si>
    <t>Mercado de Lombo do Doutor com produtos frescos e regionais.</t>
  </si>
  <si>
    <t>Mercado de Junto à Quinta Pedagógica com produtos frescos e regionais.</t>
  </si>
  <si>
    <t>Mercado de Vila de Porto Moniz com produtos frescos e regionais.</t>
  </si>
  <si>
    <t>Mercado de Sítio do Passo com produtos frescos e regionais.</t>
  </si>
  <si>
    <t>Mercado de Sítio do Serrado com produtos frescos e regionais.</t>
  </si>
  <si>
    <t>Mercado de Rua General Norton de Matos com produtos frescos e regionais.</t>
  </si>
  <si>
    <t>Mercado de Rua da Praia com produtos frescos e regionais.</t>
  </si>
  <si>
    <t>Mercado de Est. João Gonçalves Zarco com produtos frescos e regionais.</t>
  </si>
  <si>
    <t>Mercado de Rua Manuel dos Passos com produtos frescos e regionais.</t>
  </si>
  <si>
    <t>Mercado de Centro da Freguesia com produtos frescos e regionais.</t>
  </si>
  <si>
    <t>Mercado de Cais do Porto Santo com produtos frescos e regionais.</t>
  </si>
  <si>
    <t>Abril / Maio (anual)</t>
  </si>
  <si>
    <t>Flores / Artesanato</t>
  </si>
  <si>
    <t>Mercado de Av. Arriaga com produtos frescos e regionais.</t>
  </si>
  <si>
    <t>Vinho Madeira / Artesanato</t>
  </si>
  <si>
    <t>Mercado de Centro do Funchal com produtos frescos e regionais.</t>
  </si>
  <si>
    <t>31 Dezembro (anual)</t>
  </si>
  <si>
    <t>Festivo / Regional</t>
  </si>
  <si>
    <t>Mercado de Mercado dos Lavradores com produtos frescos e regionais.</t>
  </si>
  <si>
    <t>Mercado de Curral das Freiras com produtos frescos e regionais.</t>
  </si>
  <si>
    <t>Verão (anual)</t>
  </si>
  <si>
    <t>Mercado de Vila Baleira com produtos frescos e regionais.</t>
  </si>
  <si>
    <t>Artesanato / Usados</t>
  </si>
  <si>
    <t>Mercado de Santo António com produtos frescos e regionais.</t>
  </si>
  <si>
    <t>Mercado de Campo do Santo com produtos frescos e regionais.</t>
  </si>
  <si>
    <t>Mercado de São Roque (Funchal)</t>
  </si>
  <si>
    <t>São Roque, Funchal</t>
  </si>
  <si>
    <t>Mercado de São Roque com produtos frescos e regionais.</t>
  </si>
  <si>
    <t xml:space="preserve">  🟪  AÇORES  ·  São Miguel · Terceira · Faial · Pico · São Jorge · Santa Maria · Graciosa · Flores  ·  24 entradas</t>
  </si>
  <si>
    <t>Frescos / Chá</t>
  </si>
  <si>
    <t>Regional / Agrícola</t>
  </si>
  <si>
    <t>Mercado de Recinto da Associação de Agricultores com produtos frescos e regionais.</t>
  </si>
  <si>
    <t>Mercado de Largo Bento de Góis com produtos frescos e regionais.</t>
  </si>
  <si>
    <t>Mercado de Rua de S. Gonçalo com produtos frescos e regionais.</t>
  </si>
  <si>
    <t>Cozido das Furnas / Regional</t>
  </si>
  <si>
    <t>Mercado de Zona das Caldeiras com produtos frescos e regionais.</t>
  </si>
  <si>
    <t>Mercado de Rua de Jesus com produtos frescos e regionais.</t>
  </si>
  <si>
    <t>Vinho Biscoitos / Regional</t>
  </si>
  <si>
    <t>Mercado de Casa do Povo dos Biscoitos com produtos frescos e regionais.</t>
  </si>
  <si>
    <t>Vinho Pico / Frescos</t>
  </si>
  <si>
    <t>Mercado de Cais de S. Roque com produtos frescos e regionais.</t>
  </si>
  <si>
    <t>Queijo S. Jorge / Frescos</t>
  </si>
  <si>
    <t>Mercado de Rua Dr. José Pereira com produtos frescos e regionais.</t>
  </si>
  <si>
    <t>Frescos / Aguardente</t>
  </si>
  <si>
    <t>Agrícola / Regional</t>
  </si>
  <si>
    <t>Mercado de Parques de exposição com produtos frescos e regionais.</t>
  </si>
  <si>
    <t>Anual (Julho)</t>
  </si>
  <si>
    <t>Artesanato / Histórico</t>
  </si>
  <si>
    <t>Mercado de Campo de São Francisco com produtos frescos e regionais.</t>
  </si>
  <si>
    <t>Mercado de São Jorge com produtos frescos e regionais.</t>
  </si>
  <si>
    <t>Mercado de Angra do Heroísmo com produtos frescos e regionais.</t>
  </si>
  <si>
    <t>Queijo S. Jorge / Regional</t>
  </si>
  <si>
    <t>Mercado de Velas com produtos frescos e regionais.</t>
  </si>
  <si>
    <t>Bio / Regional</t>
  </si>
  <si>
    <t>Mercado de Horta com produtos frescos e regionais.</t>
  </si>
  <si>
    <t>Chá / Regional</t>
  </si>
  <si>
    <t>Mercado de Fábrica de Chá Porto Formoso com produtos frescos e regionais.</t>
  </si>
  <si>
    <t>Mar / Regional</t>
  </si>
  <si>
    <t>🛒  240 Entradas  ·  6 Regiões  ·  Portugal Vivo — Base de Dados de Turismo de Mercados  ·  Norte: 100  ·  Centro: 31  ·  Alentejo: 30  ·  Algarve: 30  ·  Madeira: 25  ·  Açores: 24  ·  2 de março de 2026</t>
  </si>
  <si>
    <t>GPS hyperlinks ✅</t>
  </si>
  <si>
    <t>Reorganizado por região + GPS ✅</t>
  </si>
  <si>
    <t>Maior folha (399 entradas)</t>
  </si>
  <si>
    <t>Sem GPS (contactos)</t>
  </si>
  <si>
    <t>Biodiversidade | Avistamentos</t>
  </si>
  <si>
    <t>💎 Pérolas de Portugal</t>
  </si>
  <si>
    <t>Destaque Editorial</t>
  </si>
  <si>
    <t>Património &amp; Natureza</t>
  </si>
  <si>
    <t>Ecovias e Passadiços</t>
  </si>
  <si>
    <t>GPS início+fim + reorganizado ✅</t>
  </si>
  <si>
    <t>GPS Activados em</t>
  </si>
  <si>
    <t>Links Google Maps</t>
  </si>
  <si>
    <t>✅ Todas</t>
  </si>
  <si>
    <t>SISTÉMICO: Dados desalinhados dos headers na importação</t>
  </si>
  <si>
    <t>Reorganização completa por região</t>
  </si>
  <si>
    <t>Fauna / Flora Autóctone</t>
  </si>
  <si>
    <t xml:space="preserve">  🍷  BEBIDAS ICÓNICAS E ANCESTRAIS  ·  Vinhos · Licores · Espirituosas · Ilhas · Refrescos  ·  15 entradas</t>
  </si>
  <si>
    <t>Caves Taylor's</t>
  </si>
  <si>
    <t>Vinho / Caves</t>
  </si>
  <si>
    <t>Vila Nova de Gaia — Douro</t>
  </si>
  <si>
    <t>Vinho do Porto Ruby e Tawny, Visita às Caves, Loja</t>
  </si>
  <si>
    <t>Rua do Choupelo 250, 4400-088 Vila Nova de Gaia</t>
  </si>
  <si>
    <t>taylors.pt</t>
  </si>
  <si>
    <t>223 742 800</t>
  </si>
  <si>
    <t>Vinho do Porto — O embaixador fortificado do Douro. Envelhecido em pipas de carvalho, varia entre o Ruby (frutado) e o Tawny (frutos secos e caramelizado). Símbolo máximo da vitivinicultura portuguesa com séculos de exportação mundial.</t>
  </si>
  <si>
    <t>Solar do Alvarinho</t>
  </si>
  <si>
    <t>Vinho / Enoturismo</t>
  </si>
  <si>
    <t>Melgaço — Minho</t>
  </si>
  <si>
    <t>Vinho Verde Alvarinho DOP, Prova, Loja, Exposição</t>
  </si>
  <si>
    <t>Largo do Castelo, 4960-520 Melgaço</t>
  </si>
  <si>
    <t>solardoalvarinho.com</t>
  </si>
  <si>
    <t>251 410 175</t>
  </si>
  <si>
    <t>Vinho Verde Alvarinho — Único no mundo, produzido no extremo norte do Minho. Vinho jovem, fresco e levemente efervescente com acidez vibrante. Ideal para mariscos e peixes. Casta Alvarinho em microclima excepcional junto ao rio Minho.</t>
  </si>
  <si>
    <t>Funchal — Madeira</t>
  </si>
  <si>
    <t>Vinho Madeira Fortif. DOP, Visita Adega, Provas, Loja</t>
  </si>
  <si>
    <t>Avenida Arriaga 28, 9000-064 Funchal</t>
  </si>
  <si>
    <t>blandys.com</t>
  </si>
  <si>
    <t>291 740 110</t>
  </si>
  <si>
    <t>Vinho da Madeira — Vinho fortificado de grande longevidade produzido na ilha. O processo de aquecimento 'estufagem' confere sabores caramelizados, fumados e oxidativos únicos. Disponível em Sercial, Verdelho, Boal e Malmsey.</t>
  </si>
  <si>
    <t>Adega José de Sousa</t>
  </si>
  <si>
    <t>Vinho / Talha</t>
  </si>
  <si>
    <t>Reguengos de Monsaraz — Alentejo</t>
  </si>
  <si>
    <t>Vinho de Talha DOP Alentejo, Visita, Prova</t>
  </si>
  <si>
    <t>Rua de Timor 1, 7200-412 Reguengos de Monsaraz</t>
  </si>
  <si>
    <t>jmfonseca.pt</t>
  </si>
  <si>
    <t>266 502 422</t>
  </si>
  <si>
    <t>Vinho de Talha — Herança romana com mais de 2.000 anos. O vinho fermenta em potes de barro gigantes enterrados no chão (talhas), resultando num sabor terroso, mineral e ancestral único. Técnica pré-histórica preservada no Alentejo.</t>
  </si>
  <si>
    <t>Vinho / Tradição</t>
  </si>
  <si>
    <t>Boticas — Trás-os-Montes</t>
  </si>
  <si>
    <t>Vinho dos Mortos Transmontano, Venda Local</t>
  </si>
  <si>
    <t>Largo do Olmo 5, 5400-604 Boticas</t>
  </si>
  <si>
    <t>vinhdosmortos.pt</t>
  </si>
  <si>
    <t>Vinho dos Mortos — Tradição única de Trás-os-Montes onde o vinho é enterrado no chão para maturar a temperatura constante. Técnica secular usada originalmente para esconder as reservas durante as invasões francesas. Efervescente e mineral.</t>
  </si>
  <si>
    <t>A Ginjinha Espinheira</t>
  </si>
  <si>
    <t>Licores / Spirits</t>
  </si>
  <si>
    <t>Lisboa — Mouraria / Rossio</t>
  </si>
  <si>
    <t>Ginjinha Espinheira tradicional, Copo ou Garrafa</t>
  </si>
  <si>
    <t>Largo de São Domingos 8, 1150-320 Lisboa</t>
  </si>
  <si>
    <t>213 428 929</t>
  </si>
  <si>
    <t>Ginjinha — Licor de cereja silvestre (ginja) macerado em aguardente. O ritual clássico de Lisboa: servido em copo pequeno de barro 'com elas' (com os frutos) ou 'sem elas'. Um dos sabores mais icónicos da capital portuguesa desde 1840.</t>
  </si>
  <si>
    <t>Quinta do Meiral (Licor Beirão)</t>
  </si>
  <si>
    <t>Lousã — Beira Litoral</t>
  </si>
  <si>
    <t>Licor Beirão original, Loja, Visita à destilaria</t>
  </si>
  <si>
    <t>Quinta do Meiral, 3200-095 Lousã</t>
  </si>
  <si>
    <t>licorbeirao.pt</t>
  </si>
  <si>
    <t>239 993 530</t>
  </si>
  <si>
    <t>Licor Beirão — 'O Licor de Portugal'. Receita secreta de 13 plantas e sementes aromáticas da Beira que cria um sabor doce, herbáceo e inconfundível. Símbolo da hospitalidade portuguesa e o licor nacional mais vendido.</t>
  </si>
  <si>
    <t>Destilaria Engenho — Amarguinha</t>
  </si>
  <si>
    <t>Portimão — Algarve</t>
  </si>
  <si>
    <t>Amêndoa Amarga Algarvia, Venda, Degustação</t>
  </si>
  <si>
    <t>Quinta do Amparo Lote 10, 8500-302 Portimão</t>
  </si>
  <si>
    <t>Amarguinha (Amêndoa Amarga) — Licor algarvio feito a partir do caroço da amêndoa. Sabor aveludado, levemente amargo e doce, com aroma de marzipan. Tradicionalmente servido fresco com limão em noites de verão no Algarve.</t>
  </si>
  <si>
    <t>Casa do Medronho</t>
  </si>
  <si>
    <t>Marmelete — Serra de Monchique</t>
  </si>
  <si>
    <t>Aguardente de Medronho Artesanal, Loja, Prova</t>
  </si>
  <si>
    <t>Rua do Comércio, 8550-153 Marmelete, Monchique</t>
  </si>
  <si>
    <t>casadomedronho.pt</t>
  </si>
  <si>
    <t>282 951 000</t>
  </si>
  <si>
    <t>Aguardente de Medronho — O 'mata-bicho' das serras do sul. Destilado forte e transparente feito do fruto silvestre do medronheiro (Arbutus unedo). Sabor frutado e potente, alma da serra algarvia. Produção artesanal em alambiques de cobre.</t>
  </si>
  <si>
    <t>Mosteiro de Singeverga</t>
  </si>
  <si>
    <t>Santo Tirso — Norte</t>
  </si>
  <si>
    <t>Licor Monástico Singeverga, Venda Directa, Loja</t>
  </si>
  <si>
    <t>Rua do Mosteiro, 4795-458 Santo Tirso</t>
  </si>
  <si>
    <t>singeverga.pt</t>
  </si>
  <si>
    <t>252 851 213</t>
  </si>
  <si>
    <t>Licor de Singeverga — O único licor monástico português. Produzido artesanalmente por monges beneditinos com dezenas de especiarias e plantas aromáticas. Receita secular de tradição conventual. Uma raridade nacional de produção limitada.</t>
  </si>
  <si>
    <t>ERVIDEL — Sabores do Alentejo</t>
  </si>
  <si>
    <t>Évora — Alentejo</t>
  </si>
  <si>
    <t>Licor de Poejo, Outros Licores Regionais, Loja</t>
  </si>
  <si>
    <t>Rua de Santa Maria 20, 7000-610 Évora</t>
  </si>
  <si>
    <t>Licor de Poejo — Explosão de menta silvestre do Alentejo. Licor digestivo de cor verde vibrante feito de poejo (Mentha pulegium), erva aromática dos campos alentejanos. Aroma extremamente refrescante e sabor mentolado intenso.</t>
  </si>
  <si>
    <t>Taberna da Poncha</t>
  </si>
  <si>
    <t>Serra de Água — Madeira</t>
  </si>
  <si>
    <t>Poncha Tradicional Madeirense, Bar, Provas</t>
  </si>
  <si>
    <t>Estrada Regional 228 nº21, 9350-309 Serra de Água</t>
  </si>
  <si>
    <t>Poncha da Madeira — Bebida energética e emblemática feita com aguardente de cana-de-açúcar, mel e sumo de limão fresco. Misturada com o tradicional 'caralhinho' (vareta de madeira). Ritual social e identitário da ilha da Madeira.</t>
  </si>
  <si>
    <t>Fábrica Gorreana</t>
  </si>
  <si>
    <t>Chá / Infusões</t>
  </si>
  <si>
    <t>Maia — São Miguel, Açores</t>
  </si>
  <si>
    <t>Chá dos Açores DOP, Visita à Fábrica, Loja, Prova</t>
  </si>
  <si>
    <t>Alameda da Gorreana, 9625-304 Maia, Açores</t>
  </si>
  <si>
    <t>gorreana.pt</t>
  </si>
  <si>
    <t>Chá dos Açores — Provém das únicas plantações comerciais de chá na Europa, na ilha de São Miguel. Chá puro e sem químicos com séculos de tradição desde 1883. Variedades: Orange Pekoe, Broken Leaf, Hysson e Moinha. Paisagem de sonho.</t>
  </si>
  <si>
    <t>Fábrica Melo Abreu (Kima &amp; Laranjada)</t>
  </si>
  <si>
    <t>Bebidas / Refrigerantes</t>
  </si>
  <si>
    <t>Ponta Delgada — São Miguel, Açores</t>
  </si>
  <si>
    <t>Kima Maracujá, Laranjada Original 1872, Venda</t>
  </si>
  <si>
    <t>Rua de São João 37, 9500-103 Ponta Delgada</t>
  </si>
  <si>
    <t>meloabreu.pt</t>
  </si>
  <si>
    <t>296 282 170</t>
  </si>
  <si>
    <t>Kima e Laranjada — Os refrigerantes de culto açorianos. A Kima é feita de polpa pura de maracujá açoriano, intensa e tropical. A Laranjada é a gasosa mais antiga de Portugal (1872), receita original preservada. Símbolos da identidade das ilhas.</t>
  </si>
  <si>
    <t>Bar de Baixo — Pé de Cabra</t>
  </si>
  <si>
    <t>Bebidas / Tradição</t>
  </si>
  <si>
    <t>Câmara de Lobos — Madeira</t>
  </si>
  <si>
    <t>Pé de Cabra Tradicional, Bar, Petiscos</t>
  </si>
  <si>
    <t>Rua Agostinho de Sena Castro, 9300-111 Câmara de Lobos</t>
  </si>
  <si>
    <t>Pé de Cabra — Mistura rústica e potente da zona piscatória de Câmara de Lobos: vinho seco, cerveja preta, açúcar e chocolate em pó. Bebida identitária dos pescadores madeirenses. Espessa, energética e absolutamente única no mundo.</t>
  </si>
  <si>
    <t>🧀  172 entradas  ·  Portugal Vivo  ·  PRODUTORES DOP, ARTESANAIS &amp; BEBIDAS ICÓNICAS  ·  2 de março de 2026</t>
  </si>
  <si>
    <t>🧀  PRODUTORES DOP, ARTESANAIS &amp; BEBIDAS ICÓNICAS  —  172 entradas</t>
  </si>
  <si>
    <t>Norte · Centro · Lisboa · Alentejo · Algarve · Açores · Madeira  ·  Queijos, Enchidos, Azeite, Mel, Vinho DOP  ·  + Bebidas Icónicas e Ancestrais  ·  2 de março de 2026</t>
  </si>
  <si>
    <t>Contato</t>
  </si>
  <si>
    <t>Visita/WebSite</t>
  </si>
  <si>
    <t>⛏️  MINERAIS, MINAS &amp; RECURSOS GEOLÓGICOS  ·  Norte · Centro · Alentejo · Algarve · Ilhas  ·  12 entradas</t>
  </si>
  <si>
    <t>Minas da Panasqueira</t>
  </si>
  <si>
    <t>Mineralogia</t>
  </si>
  <si>
    <t>Referência mundial na produção de concentrados de volfrâmio e cassiterite. Cristais de apatite, arsenopirite e fluorite muito cobiçados por colecionadores.</t>
  </si>
  <si>
    <t>Barroca Grande, Covilhã</t>
  </si>
  <si>
    <t>Serra d'Arga — Lítio e Pegmatitos</t>
  </si>
  <si>
    <t>Caminha / Viana do Castelo</t>
  </si>
  <si>
    <t>Hotspot de lítio europeu com lepidolite e espodumena. Portugal detém as maiores reservas de lítio da Europa — o 'petróleo branco'. Pegmatitos ricos em feldspato e berílio.</t>
  </si>
  <si>
    <t>Serra d'Arga, Viana do Castelo</t>
  </si>
  <si>
    <t>Minas de Jales — Ouro Romano</t>
  </si>
  <si>
    <t>Arqueologia / Mineralogia</t>
  </si>
  <si>
    <t>Antigas explorações auríferas romanas e medievais — um dos maiores depósitos de ouro de Portugal. Paisagem marcada pelas cortas e escombreiras.</t>
  </si>
  <si>
    <t>Jales, Ribeira de Pena</t>
  </si>
  <si>
    <t>Montalegre — Reservas de Lítio</t>
  </si>
  <si>
    <t>Área de forte potencial de exploração de lítio em contexto de pegmatitos graníticos de alta montanha. Zona estratégica para a transição energética europeia (LNEG).</t>
  </si>
  <si>
    <t>Montalegre, Trás-os-Montes</t>
  </si>
  <si>
    <t>Mina de Urânio de Cunha Baixa</t>
  </si>
  <si>
    <t>Mineralogia / Arqueologia Industrial</t>
  </si>
  <si>
    <t>Uma das mais importantes minas de urânio de Portugal, com centro de interpretação. Legado mineiro da Guerra Fria e do programa nuclear português.</t>
  </si>
  <si>
    <t>Cunha Baixa, Mangualde</t>
  </si>
  <si>
    <t>Moncorvo — Terras Raras e Ferro</t>
  </si>
  <si>
    <t>Forte potencial para terras raras e ferro em contexto de xistos e granitos. Minas de ferro históricas de grande escala. Região estratégica para minerais críticos da UE.</t>
  </si>
  <si>
    <t>Mina de Neves-Corvo</t>
  </si>
  <si>
    <t>Uma das maiores minas europeias de cobre e estanho (sulfuretos maciços). Faz parte da Faixa Piritosa Ibérica. Produção de cobre, zinco e estanho de classe mundial (LNEG).</t>
  </si>
  <si>
    <t>Aljustrel — Faixa Piritosa Ibérica</t>
  </si>
  <si>
    <t>Mineralogia / Arqueologia</t>
  </si>
  <si>
    <t>Extração de cobre e zinco desde a antiguidade fenícia e romana. Museu mineiro com espécimes de pirite maciça e calcopirite. Faixa Piritosa Ibérica — um dos maiores depósitos do mundo.</t>
  </si>
  <si>
    <t>Aljustrel, Beja</t>
  </si>
  <si>
    <t>Estremoz / Vila Viçosa / Borba — Mármore</t>
  </si>
  <si>
    <t>Estremoz / Borba / Vila Viçosa</t>
  </si>
  <si>
    <t>Geologia / Mineralogia</t>
  </si>
  <si>
    <t>O 'Triângulo do Ouro Branco' — anticlinal de calcário marmóreo mundialmente reconhecido. Pedreiras abertas que parecem catedrais invertidas. Rosa, branco e creme para arquitectura de todo o mundo.</t>
  </si>
  <si>
    <t>Estremoz / Vila Viçosa, Évora</t>
  </si>
  <si>
    <t>Monforte / Crato — Terras Raras</t>
  </si>
  <si>
    <t>Monforte / Crato</t>
  </si>
  <si>
    <t>Descobertas recentes de potencial para terras raras (lantânio, cério, neodímio) em contexto de rochas alcalinas e carbonatitos. Minerais críticos para tecnologias de transição energética.</t>
  </si>
  <si>
    <t>Monforte / Crato, Portalegre</t>
  </si>
  <si>
    <t>Monchique — Sienito Nefelínico</t>
  </si>
  <si>
    <t>Único local em Portugal Continental para encontrar sienito nefelínico — rocha magmática intrusiva alcalina extremamente rara. Formação vulcânica única do Complexo Alcalino de Monchique.</t>
  </si>
  <si>
    <t>Serra de Monchique, Faro</t>
  </si>
  <si>
    <t>Açores — Obsidiana e Olivinas Vulcânicas</t>
  </si>
  <si>
    <t>Pico / São Miguel</t>
  </si>
  <si>
    <t>Mineralogia / Geologia</t>
  </si>
  <si>
    <t>Açores: destino para entusiastas de vulcanismo. Obsidiana negra nas coulées de lava do Pico, olivinas verdes nos basaltos, piroxenas, augite e feldspatos. Santa Maria: fósseis marinhos e dentes de tubarão. Vulcanismo ativo.</t>
  </si>
  <si>
    <t>Ilha do Pico / São Miguel, Açores</t>
  </si>
  <si>
    <t>Norte · Centro · Lisboa · Alentejo · Algarve · Açores · Madeira  ·  Sítios Arqueológicos, Geoparques, Formações Geológicas &amp; Mineralogia  ·  2 de março de 2026</t>
  </si>
  <si>
    <t>📌 Frozen</t>
  </si>
  <si>
    <t>✅ OK</t>
  </si>
  <si>
    <t>+ Bebidas Icónicas ✅ GPS ✅</t>
  </si>
  <si>
    <t>Arqueologia, Geologia e Mineral</t>
  </si>
  <si>
    <t>Reorganizado por região + GPS PIN+Park ✅</t>
  </si>
  <si>
    <t>Total de Entradas</t>
  </si>
  <si>
    <t>🔧  PROBLEMAS IDENTIFICADOS  &amp;  PENDENTES DE RESOLUÇÃO</t>
  </si>
  <si>
    <t>Solução</t>
  </si>
  <si>
    <t>✅ Resolvido</t>
  </si>
  <si>
    <t>22 folhas</t>
  </si>
  <si>
    <t>Reordenar colunas / renomear headers</t>
  </si>
  <si>
    <t>Região 'Porto' em vez de 'Norte' — estrutura desordenada</t>
  </si>
  <si>
    <t>Separadores repetidos 5× — estrutura desordenada</t>
  </si>
  <si>
    <t>Renomeada: 'Arqueologia, Geologia e Mineral'</t>
  </si>
  <si>
    <t>Adicionada secção Minerais &amp; Minas (12 entradas)</t>
  </si>
  <si>
    <t>Cabeçalhos E3/G3/H3 renomeados pelo utilizador</t>
  </si>
  <si>
    <t>E=Produtos, G=Visita/WebSite, H=Contato</t>
  </si>
  <si>
    <t>Folha eliminada pelo utilizador (sem estrutura tabular útil)</t>
  </si>
  <si>
    <t>Folha removida da base de dados</t>
  </si>
  <si>
    <t>✅ Eliminada</t>
  </si>
  <si>
    <t>Layout diferente (sem título/subtítulo padrão nas L1-L2)</t>
  </si>
  <si>
    <t>Col GPS contém localidade (habitat) — sem coordenadas exactas</t>
  </si>
  <si>
    <t>Headers desalinhados: D↔Distrito, E↔Categoria, G↔Preço</t>
  </si>
  <si>
    <t>Headers desalinhados: C↔Tipo, D↔Região, F↔POIs, I↔GPS</t>
  </si>
  <si>
    <t>Headers desalinhados: D↔Morada, G↔Website, H↔Contacto</t>
  </si>
  <si>
    <t>Nº Ref.</t>
  </si>
  <si>
    <t>🌊  BARRAGENS E ALBUFEIRAS DE PORTUGAL  —  33 entradas</t>
  </si>
  <si>
    <t>Norte · Centro · Lisboa · Alentejo · Algarve · Açores · Madeira  ·  Barragens, Albufeiras e Aproveitamentos Hidráulicos  ·  2 de março de 2026</t>
  </si>
  <si>
    <t>Bacia Hidrográfica</t>
  </si>
  <si>
    <t>Latitude</t>
  </si>
  <si>
    <t>Longitude</t>
  </si>
  <si>
    <t>Acesso / Preço</t>
  </si>
  <si>
    <t>🗂️  BASE DE DADOS POI — PORTUGAL VIVO  —  72 entradas</t>
  </si>
  <si>
    <t>Norte · Centro · Lisboa · Alentejo · Algarve · Açores · Madeira  ·  Dados Mestres com ID Único, GPS, Áudio e Raridade  ·  2 de março de 2026</t>
  </si>
  <si>
    <t>Título/subtítulo adicionados, freeze 3 linhas, headers padronizados</t>
  </si>
  <si>
    <t>Headers corrigidos: G=Descrição, H=Nº Ref., I=Categoria</t>
  </si>
  <si>
    <t>Headers já corretos nos dados — confirmado e validado</t>
  </si>
  <si>
    <t>Headers corrigidos: H=Nº Ref., I=Website, J=Descrição</t>
  </si>
  <si>
    <t>Layout padronizado (título + subtítulo + freeze) ✅</t>
  </si>
  <si>
    <t>Layout padronizado (título + subtítulo + freeze) ✅  ID único</t>
  </si>
  <si>
    <t>GPS (Maps) inserido → antes do Prompt ✅  Col I</t>
  </si>
  <si>
    <t>GPS inserido em col I (antes do Prompt) com hiperlinks por espécie+local</t>
  </si>
  <si>
    <t>🦋  BIODIVERSIDADE &amp; AVISTAMENTOS DE PORTUGAL  —  34 entradas</t>
  </si>
  <si>
    <t>🎵  MÚSICA TRADICIONAL DE PORTUGAL  —  208 entradas  ·  Fado · Povo · Regional · Cantares · Bandas Filarmónicas</t>
  </si>
  <si>
    <t>GPS Waypoint</t>
  </si>
  <si>
    <t>Norte · Centro · Lisboa · Alentejo · Algarve · Açores · Madeira  ·  Moinhos de Vento, Moinhos de Água, Moinhos de Maré e Azenhas  ·  2 de março de 2026</t>
  </si>
  <si>
    <t>GPS hyperlinks ✅ · Título corrigido (emoji + formato) ✅</t>
  </si>
  <si>
    <t>Layout especial (playlists YouTube) · Título corrigido ✅</t>
  </si>
  <si>
    <t>Todas as folhas</t>
  </si>
  <si>
    <t>Auditoria de layout: títulos sem emoji, contagens erradas, colunas GPS duplicadas, numerações erradas</t>
  </si>
  <si>
    <t>Corrigido: Música, Biodiversidade, Moinhos, Arqueologia, Natureza Especializada</t>
  </si>
  <si>
    <t>12 folhas (~1.655 links)</t>
  </si>
  <si>
    <t>GPS usava maps/search/ sem coords → abria zona em vez do local exacto</t>
  </si>
  <si>
    <t>Corrigido: coords exactas /@lat,lon para Arqueologia(56)+Cascatas(9); maps/?q= para restantes 10 folhas</t>
  </si>
  <si>
    <t>⛏️  ROTEIRO DAS MINAS &amp; PONTOS DE INTERESSE MINEIRO  ·  Museus · Minas · Geoparques · Interesse Geológico  ·  28 entradas</t>
  </si>
  <si>
    <t>Arouca Geopark</t>
  </si>
  <si>
    <t>Interesse geológico</t>
  </si>
  <si>
    <t>Geoparque Mundial da UNESCO na Serra da Freita, com paisagens de xisto e granito, trilobites e cascatas.</t>
  </si>
  <si>
    <t>Mina da Urgeiriça</t>
  </si>
  <si>
    <t>Minas</t>
  </si>
  <si>
    <t>Antiga mina de rádio e urânio, uma das mais importantes de Portugal. Legado do programa nuclear nacional e da exploração do século XX.</t>
  </si>
  <si>
    <t>Canas de Senhorim, Nelas, Viseu</t>
  </si>
  <si>
    <t>Antiga mina de cobre da Faixa Piritosa Ibérica com lago mineiro de águas acidificadas avermelhadas. Exploração desde a Idade do Bronze.</t>
  </si>
  <si>
    <t>São Domingos, Mértola, Beja</t>
  </si>
  <si>
    <t>Mina do Lousal</t>
  </si>
  <si>
    <t>Mina de pirite com museu interativo (Mina de Ciência) e galeria visitável. Centro de divulgação da história mineira da Faixa Piritosa.</t>
  </si>
  <si>
    <t>Lousal, Grândola, Setúbal</t>
  </si>
  <si>
    <t>Minas de Argozelo</t>
  </si>
  <si>
    <t>Antigas minas de carvão no nordeste transmontano com infraestruturas preservadas e paisagem de xisto característico da raia mirandesa.</t>
  </si>
  <si>
    <t>Argozelo, Vimioso, Bragança</t>
  </si>
  <si>
    <t>Minas de Castromil</t>
  </si>
  <si>
    <t>Antigas minas de ouro e arsénio com galerias acessíveis e escórias de fundição. Importantes na arqueologia industrial do Vale do Sousa.</t>
  </si>
  <si>
    <t>Castromil, Paredes, Porto</t>
  </si>
  <si>
    <t>Minas do Braçal e Malhada</t>
  </si>
  <si>
    <t>Complexo mineiro de chumbo, zinco e prata com galerias e poços visitáveis. Exploração ativa do século XIX até ao século XX.</t>
  </si>
  <si>
    <t>Braçal / Malhada, Sever do Vouga, Aveiro</t>
  </si>
  <si>
    <t>Museu da Lousa</t>
  </si>
  <si>
    <t>Museu dedicado à extração e transformação da lousa (ardósia) no Vale do Sousa, com espólio de ferramentas e peças de pedra.</t>
  </si>
  <si>
    <t>Valongo, Porto</t>
  </si>
  <si>
    <t>Museu da Pedra do Marco de Canaveses</t>
  </si>
  <si>
    <t>Museu dedicado ao granito e à indústria de pedra regional, com espólio de esculturas, cantaria e técnicas de extração.</t>
  </si>
  <si>
    <t>Marco de Canaveses, Porto</t>
  </si>
  <si>
    <t>Museu da Pedra do Município de Cantanhede</t>
  </si>
  <si>
    <t>Museu com coleção de escultura em pedra calcária local (ançã), desde a pré-história à época contemporânea.</t>
  </si>
  <si>
    <t>Museu de Geologia da UTAD</t>
  </si>
  <si>
    <t>Coleção universitária de minerais, rochas e fósseis do Nordeste transmontano. Espólio científico da Universidade de Trás-os-Montes e Alto Douro.</t>
  </si>
  <si>
    <t>Universidade de Trás-os-Montes e Alto Douro, Vila Real</t>
  </si>
  <si>
    <t>Museu de Jazigos Minerais Portugueses</t>
  </si>
  <si>
    <t>Coleção de referência nacional sobre os jazigos minerais de Portugal, com amostras de todas as regiões mineiras do país.</t>
  </si>
  <si>
    <t>Museu do Canteiro</t>
  </si>
  <si>
    <t>Museu dedicado ao ofício do canteiro, com ferramentas históricas, pedra trabalhada e tradição da talharia em granito da Beira Baixa.</t>
  </si>
  <si>
    <t>Museu do Cimento da Fábrica Maceira-Liz</t>
  </si>
  <si>
    <t>Museu industrial dedicado à história da produção de cimento em Portugal, instalado na histórica fábrica Maceira-Liz junto ao Rio Liz.</t>
  </si>
  <si>
    <t>Maceira, Leiria</t>
  </si>
  <si>
    <t>Museu do Ferro e da Região de Moncorvo</t>
  </si>
  <si>
    <t>Museu regional sobre a história do ferro e da mineração em Torre de Moncorvo, uma das maiores reservas de ferro de Portugal.</t>
  </si>
  <si>
    <t>Museu do ISEP</t>
  </si>
  <si>
    <t>Coleção técnica e científica do Instituto Superior de Engenharia do Porto, com espólio de mineralogia, equipamentos históricos e laboratórios.</t>
  </si>
  <si>
    <t>Rua Dr. António Bernardino de Almeida, Porto</t>
  </si>
  <si>
    <t>Museu do Mármore de Vila Viçosa</t>
  </si>
  <si>
    <t>Museu dedicado à história e tradição da extração e trabalho do mármore em Vila Viçosa, capital mundial do mármore rosa.</t>
  </si>
  <si>
    <t>Vila Viçosa, Évora</t>
  </si>
  <si>
    <t>Museu do Quartzo — Centro de Interpretação Galopim de Carvalho</t>
  </si>
  <si>
    <t>Museu dedicado ao quartzo e às ciências da Terra, em homenagem ao paleontólogo Galopim de Carvalho. Cristais e formações geológicas únicas.</t>
  </si>
  <si>
    <t>Museu do Volfrâmio de Cerva</t>
  </si>
  <si>
    <t>Museu local sobre a extração de volfrâmio em Cerva, uma das regiões mais ricas em tungsténio durante a II Guerra Mundial.</t>
  </si>
  <si>
    <t>Cerva, Ribeira de Pena, Vila Real</t>
  </si>
  <si>
    <t>Museu FEUP</t>
  </si>
  <si>
    <t>Outros</t>
  </si>
  <si>
    <t>Coleção histórica da Faculdade de Engenharia da Universidade do Porto, com espólio de instrumentos científicos, minerais e modelos técnicos.</t>
  </si>
  <si>
    <t>Rua Dr. Roberto Frias, Porto</t>
  </si>
  <si>
    <t>Museu Mineiro de São Pedro da Cova</t>
  </si>
  <si>
    <t>Museu da mina de carvão de São Pedro da Cova, a última mina de carvão a operar em Portugal. Galerias e espólio mineiro preservados.</t>
  </si>
  <si>
    <t>São Pedro da Cova, Gondomar, Porto</t>
  </si>
  <si>
    <t>Museu universitário com coleções de minerais, fósseis, botânica e zoologia. Edifício histórico do século XVIII em Lisboa.</t>
  </si>
  <si>
    <t>Rua da Escola Politécnica 58, Lisboa</t>
  </si>
  <si>
    <t>Museus de Geociências do IST</t>
  </si>
  <si>
    <t>Coleção científica do Instituto Superior Técnico com minerais, rochas e fósseis portugueses. Espólio de referência académica.</t>
  </si>
  <si>
    <t>Instituto Superior Técnico, Lisboa</t>
  </si>
  <si>
    <t>Parque Arqueológico do Vale do Terva (PAVT)</t>
  </si>
  <si>
    <t>Parque arqueológico com vestígios de mineração romana de ouro a céu aberto junto ao Rio Terva. Cortas, galerias e canais hidráulicos romanos.</t>
  </si>
  <si>
    <t>Boticas, Vila Real</t>
  </si>
  <si>
    <t>Passeio Geológico da Foz do Douro</t>
  </si>
  <si>
    <t>Percurso interpretativo ao longo das arribas de granito e xisto da Foz do Douro, com painéis sobre a geologia da margem atlântica do Porto.</t>
  </si>
  <si>
    <t>Foz do Douro, Porto</t>
  </si>
  <si>
    <t>Rota do Mármore</t>
  </si>
  <si>
    <t>Rota temática pelas pedreiras e monumentos do Triângulo do Mármore (Estremoz, Borba, Vila Viçosa). Visitas a pedreiras ativas e museus.</t>
  </si>
  <si>
    <t>Estremoz / Borba / Vila Viçosa, Évora</t>
  </si>
  <si>
    <t>Terras de Cavaleiros Geoparque Mundial da UNESCO</t>
  </si>
  <si>
    <t>Geoparque UNESCO no nordeste transmontano com paisagens de xisto, granito e maciços vulcânicos. Geossítios únicos e mineralogia diversa.</t>
  </si>
  <si>
    <t>Macedo de Cavaleiros, Bragança</t>
  </si>
  <si>
    <t>Trilho Geológico de Beja</t>
  </si>
  <si>
    <t>Percurso interpretativo pelos afloramentos geológicos da cidade de Beja, com painéis sobre a geodiversidade do Baixo Alentejo e a Faixa Piritosa.</t>
  </si>
  <si>
    <t>🪨  ARQUEOLOGIA, GEOLOGIA &amp; MINERALOGIA  —  90 entradas</t>
  </si>
  <si>
    <t>🪨  90 entradas  ·  Portugal Vivo  ·  ARQUEOLOGIA, GEOLOGIA &amp; MINERALOGIA</t>
  </si>
  <si>
    <t>Folhas</t>
  </si>
  <si>
    <t>POI Total</t>
  </si>
  <si>
    <t>🌿  Território &amp; Natureza</t>
  </si>
  <si>
    <t>Paisagens, fauna, flora, geologia e geodiversidade de Portugal</t>
  </si>
  <si>
    <t>🏛️  História &amp; Património</t>
  </si>
  <si>
    <t>Castelos, palácios, museus, arqueologia e património ferroviário</t>
  </si>
  <si>
    <t>🍽️  Gastronomia &amp; Produtos Regionais</t>
  </si>
  <si>
    <t>Restaurantes, tabernas, mercados, produtores DOP e enoturismo</t>
  </si>
  <si>
    <t>🎭  Cultura Viva</t>
  </si>
  <si>
    <t>Música, festas populares, romarias, festivais e tradições</t>
  </si>
  <si>
    <t>🏄  Praias &amp; Mar</t>
  </si>
  <si>
    <t>Surf, praias fluviais, costa atlântica e actividades aquáticas</t>
  </si>
  <si>
    <t>🧭  Experiências &amp; Rotas Temáticas</t>
  </si>
  <si>
    <t>Rotas, expedições, alojamentos, campismo e agentes turísticos</t>
  </si>
  <si>
    <t>TOTAL GERAL</t>
  </si>
  <si>
    <t xml:space="preserve">   Paisagens, fauna, flora, geologia e geodiversidade de Portugal</t>
  </si>
  <si>
    <t>Folha / Separador</t>
  </si>
  <si>
    <t>Tema / Tipologia</t>
  </si>
  <si>
    <t>Nº POI</t>
  </si>
  <si>
    <t>🥾</t>
  </si>
  <si>
    <t>🧗</t>
  </si>
  <si>
    <t>🔭</t>
  </si>
  <si>
    <t>🌸</t>
  </si>
  <si>
    <t>🦋</t>
  </si>
  <si>
    <t>🌄</t>
  </si>
  <si>
    <t>🏖️</t>
  </si>
  <si>
    <t>Ciência &amp; Geodiversidade</t>
  </si>
  <si>
    <t>⚙️</t>
  </si>
  <si>
    <t>🛤️</t>
  </si>
  <si>
    <t>Subtotal — Território &amp; Natureza</t>
  </si>
  <si>
    <t>🏛️  2  ·  HISTÓRIA &amp; PATRIMÓNIO  ·  7 folhas  ·  1107 POI</t>
  </si>
  <si>
    <t xml:space="preserve">   Castelos, palácios, museus, arqueologia e património ferroviário</t>
  </si>
  <si>
    <t>🏯</t>
  </si>
  <si>
    <t>🖼️</t>
  </si>
  <si>
    <t>🧶</t>
  </si>
  <si>
    <t>🚂</t>
  </si>
  <si>
    <t>🎨</t>
  </si>
  <si>
    <t>Subtotal — História &amp; Património</t>
  </si>
  <si>
    <t xml:space="preserve">   Restaurantes, tabernas, mercados, produtores DOP e enoturismo</t>
  </si>
  <si>
    <t>🍽️</t>
  </si>
  <si>
    <t>🍻</t>
  </si>
  <si>
    <t>🛒</t>
  </si>
  <si>
    <t>🧀</t>
  </si>
  <si>
    <t>🍇</t>
  </si>
  <si>
    <t>Subtotal — Gastronomia &amp; Produtos Regionais</t>
  </si>
  <si>
    <t>🎭  4  ·  CULTURA VIVA  ·  3 folhas  ·  419 POI</t>
  </si>
  <si>
    <t xml:space="preserve">   Música, festas populares, romarias, festivais e tradições</t>
  </si>
  <si>
    <t>🎵</t>
  </si>
  <si>
    <t>🎪</t>
  </si>
  <si>
    <t>🎉</t>
  </si>
  <si>
    <t>Subtotal — Cultura Viva</t>
  </si>
  <si>
    <t xml:space="preserve">   Surf, praias fluviais, costa atlântica e actividades aquáticas</t>
  </si>
  <si>
    <t>🏄</t>
  </si>
  <si>
    <t>Subtotal — Praias &amp; Mar</t>
  </si>
  <si>
    <t>🧭  6  ·  EXPERIÊNCIAS &amp; ROTAS TEMÁTICAS  ·  10 folhas  ·  837 POI</t>
  </si>
  <si>
    <t xml:space="preserve">   Rotas, expedições, alojamentos, campismo e agentes turísticos</t>
  </si>
  <si>
    <t>🗺️</t>
  </si>
  <si>
    <t>🏕️</t>
  </si>
  <si>
    <t>💎</t>
  </si>
  <si>
    <t>🏡</t>
  </si>
  <si>
    <t>⛺</t>
  </si>
  <si>
    <t>🛏️</t>
  </si>
  <si>
    <t>📋</t>
  </si>
  <si>
    <t>🏢</t>
  </si>
  <si>
    <t>📖</t>
  </si>
  <si>
    <t>🚌</t>
  </si>
  <si>
    <t>Subtotal — Experiências &amp; Rotas Temáticas</t>
  </si>
  <si>
    <t xml:space="preserve">  🔵  AÇORES  ·  Angra do Heroísmo  ·  7 locais galardoados</t>
  </si>
  <si>
    <t xml:space="preserve">  🔵  AÇORES  ·  Horta  ·  5 locais galardoados</t>
  </si>
  <si>
    <t xml:space="preserve">  🔵  AÇORES  ·  Lagoa  ·  3 locais galardoados</t>
  </si>
  <si>
    <t xml:space="preserve">  🔵  AÇORES  ·  Lajes do Pico  ·  1 local galardoado</t>
  </si>
  <si>
    <t xml:space="preserve">  🔵  AÇORES  ·  Ponta Delgada  ·  6 locais galardoados</t>
  </si>
  <si>
    <t xml:space="preserve">  🔵  AÇORES  ·  Povoação  ·  3 locais galardoados</t>
  </si>
  <si>
    <t xml:space="preserve">  🔵  AÇORES  ·  Praia da Vitória  ·  9 locais galardoados</t>
  </si>
  <si>
    <t xml:space="preserve">  🔵  AÇORES  ·  Ribeira Grande  ·  5 locais galardoados</t>
  </si>
  <si>
    <t xml:space="preserve">  🔵  AÇORES  ·  Santa Cruz da Graciosa  ·  4 locais galardoados</t>
  </si>
  <si>
    <t xml:space="preserve">  🔵  AÇORES  ·  Velas  ·  1 local galardoado</t>
  </si>
  <si>
    <t xml:space="preserve">  🔵  AÇORES  ·  Vila do Porto  ·  4 locais galardoados</t>
  </si>
  <si>
    <t xml:space="preserve">  🔵  AÇORES  ·  Vila Franca do Campo  ·  8 locais galardoados</t>
  </si>
  <si>
    <t>Baía do Refugo</t>
  </si>
  <si>
    <t>Praia Marítima</t>
  </si>
  <si>
    <t>Bandeira Azul 🏖</t>
  </si>
  <si>
    <t>Praia de calhau e areia protegida na baía histórica de Angra. Águas calmas e tranquilas.</t>
  </si>
  <si>
    <t>Cinco Ribeiras</t>
  </si>
  <si>
    <t>Praia de areia escura vulcânica junto à aldeia. Paisagem rural açoriana envolvente.</t>
  </si>
  <si>
    <t>Negrito</t>
  </si>
  <si>
    <t>Piscina Natural</t>
  </si>
  <si>
    <t>Zona balnear com piscinas naturais em rocha vulcânica. Acesso fácil e infraestruturas de apoio.</t>
  </si>
  <si>
    <t>Salga</t>
  </si>
  <si>
    <t>Praia de calhau com águas cristalinas. Zona histórica associada à batalha da Salga.</t>
  </si>
  <si>
    <t>Salgueiros</t>
  </si>
  <si>
    <t>Praia de areia e calhau com boas condições balneares. Enquadramento natural verde açoriano.</t>
  </si>
  <si>
    <t>Praia voltada para a baía. Águas calmas, ideal para famílias e banhos tranquilos.</t>
  </si>
  <si>
    <t>Marina de Angra do Heroísmo</t>
  </si>
  <si>
    <t>Marina</t>
  </si>
  <si>
    <t>Marina de excelência num porto histórico Património UNESCO. Centro de vela e náutica.</t>
  </si>
  <si>
    <t>Almoxarife</t>
  </si>
  <si>
    <t>Ilha do Faial</t>
  </si>
  <si>
    <t>Praia de areia escura com palmeiras. Uma das mais populares do Faial. Pomar e miradouros próximos.</t>
  </si>
  <si>
    <t>Praia junto ao complexo vulcânico dos Capelinhos. Paisagem lunar única com areia e rocha negra.</t>
  </si>
  <si>
    <t>Porto Pim</t>
  </si>
  <si>
    <t>Praia em anfiteatro natural protegida pela Caldeira do Monte da Guia. Águas tranquilas e transparentes.</t>
  </si>
  <si>
    <t>Piscina Natural / Termal</t>
  </si>
  <si>
    <t>Complexo balnear com piscinas naturais vulcânicas e fontes termais. Frequentado desde o séc. XIX.</t>
  </si>
  <si>
    <t>Marina da Horta</t>
  </si>
  <si>
    <t>Uma das marinas mais famosas do Atlântico Norte. Ponto de paragem obrigatório de transatlânticos.</t>
  </si>
  <si>
    <t>Baixa da Areia</t>
  </si>
  <si>
    <t>Ilha de São Miguel</t>
  </si>
  <si>
    <t>Praia de areia escura junto ao porto. Boa acessibilidade e serviços de apoio balnear.</t>
  </si>
  <si>
    <t>Caloura</t>
  </si>
  <si>
    <t>Porto natural de pescadores com piscinas em rocha. Águas límpidas e cenário de autenticidade.</t>
  </si>
  <si>
    <t>Zona Balnear da Lagoa</t>
  </si>
  <si>
    <t>Zona balnear com piscinas naturais. Infraestruturas de apoio e fácil acesso.</t>
  </si>
  <si>
    <t>Núcleo de Recreio Náutico das Lajes do Pico</t>
  </si>
  <si>
    <t>Marina / Náutica</t>
  </si>
  <si>
    <t>Núcleo náutico com infraestruturas de qualidade. Vista privilegiada para o Pico e para o Faial.</t>
  </si>
  <si>
    <t>Forno da Cal</t>
  </si>
  <si>
    <t>Zona balnear em rocha com piscinas naturais. Localização urbana próxima do centro de Ponta Delgada.</t>
  </si>
  <si>
    <t>Milícias</t>
  </si>
  <si>
    <t>Praia de areia negra a poucos quilómetros de Ponta Delgada. Boa procura pelos locais.</t>
  </si>
  <si>
    <t>Poças Sul dos Mosteiros</t>
  </si>
  <si>
    <t>Piscinas naturais vulcânicas na costa norte. Paisagem de basalto negro e oceano aberto.</t>
  </si>
  <si>
    <t>Poços S. Vicente Ferreira</t>
  </si>
  <si>
    <t>Piscinas naturais em lava com enquadramento rural. Acesso por estrada costeira panorâmica.</t>
  </si>
  <si>
    <t>Pópulo</t>
  </si>
  <si>
    <t>Praia de areia escura com apoios balneares. Uma das mais concorridas de São Miguel.</t>
  </si>
  <si>
    <t>Marina de Ponta Delgada</t>
  </si>
  <si>
    <t>Grande marina moderna, principal porto desportivo de São Miguel. Centro de náutica de recreio.</t>
  </si>
  <si>
    <t>Morro</t>
  </si>
  <si>
    <t>Povoação</t>
  </si>
  <si>
    <t>Praia de calhau no concelho de Povoação. Ambiente tranquilo e natureza preservada.</t>
  </si>
  <si>
    <t>Portinho do Faial da Terra</t>
  </si>
  <si>
    <t>Porto e zona balnear junto à aldeia histórica do Faial da Terra. Acesso por percurso pedestre.</t>
  </si>
  <si>
    <t>Praia do Fogo</t>
  </si>
  <si>
    <t>Praia de nome vulcânico na costa sul de São Miguel. Paisagem dramática e águas cristalinas.</t>
  </si>
  <si>
    <t>As famosas piscinas naturais dos Biscoitos. Rochas vulcânicas negras com piscinas de vários tamanhos. Adegas de vinho vermelho dos Biscoitos nas proximidades.</t>
  </si>
  <si>
    <t>Calheta dos Lagadores</t>
  </si>
  <si>
    <t>Pequena praia de calhau com águas calmas. Ambiente familiar e acolhedor.</t>
  </si>
  <si>
    <t>Escaleiras</t>
  </si>
  <si>
    <t>Zona balnear com acesso por escadaria à rocha e mar. Vista para a baía de Praia da Vitória.</t>
  </si>
  <si>
    <t>Grande</t>
  </si>
  <si>
    <t>A praia de areia mais extensa da Ilha Terceira. Águas claras, vento atlântico, espaço amplo.</t>
  </si>
  <si>
    <t>Porto Martins</t>
  </si>
  <si>
    <t>Praia junto ao porto de Porto Martins. Aldeia piscatória com atmosfera autêntica.</t>
  </si>
  <si>
    <t>Praia da Riviera</t>
  </si>
  <si>
    <t>Praia urbana de Praia da Vitória com areia clara. A mais frequentada da Terceira.</t>
  </si>
  <si>
    <t>Prainha (Praia da Vitória)</t>
  </si>
  <si>
    <t>Pequena praia abrigada na baía. Tranquila e própria para crianças.</t>
  </si>
  <si>
    <t>Quatro Ribeiras</t>
  </si>
  <si>
    <t>Praia no norte da ilha. Frescura das ribeiras e mar atlântico em paisagem rural.</t>
  </si>
  <si>
    <t>Marina da Vila Praia da Vitória</t>
  </si>
  <si>
    <t>Marina moderna com serviços completos. Portal de entrada para a Terceira por mar.</t>
  </si>
  <si>
    <t>Areal Sta. Bárbara</t>
  </si>
  <si>
    <t>Praia de areia negra e ondas atlânticas. Um dos melhores spots de surf de São Miguel.</t>
  </si>
  <si>
    <t>Calhetas</t>
  </si>
  <si>
    <t>Aldeia piscatória com praia de calhau. Mergulho e snorkel em águas transparentes.</t>
  </si>
  <si>
    <t>Calhetas da Maia</t>
  </si>
  <si>
    <t>Praia junto à Maia com águas calmas e ambiente familiar. Enquadramento costeiro atlântico.</t>
  </si>
  <si>
    <t>Poças da Ribeira Grande</t>
  </si>
  <si>
    <t>Piscinas naturais em rocha basáltica na costa norte de São Miguel. Muito frequentadas no verão.</t>
  </si>
  <si>
    <t>Praia dos Moinhos</t>
  </si>
  <si>
    <t>Praia com referência histórica aos moinhos de vento. Paisagem rural nortenha de São Miguel.</t>
  </si>
  <si>
    <t>Barro Vermelho</t>
  </si>
  <si>
    <t>Ilha Graciosa</t>
  </si>
  <si>
    <t>Praia de areia avermelhada característica da Graciosa. Contraste único de cores com o mar azul.</t>
  </si>
  <si>
    <t>Piscina do Carapacho</t>
  </si>
  <si>
    <t>Piscina Termal</t>
  </si>
  <si>
    <t>Piscinas com águas termais. As Termas do Carapacho são as únicas termas marítimas dos Açores.</t>
  </si>
  <si>
    <t>Praia</t>
  </si>
  <si>
    <t>Praia principal de Santa Cruz da Graciosa. Areia clara e mar tranquilo numa ilha pristina.</t>
  </si>
  <si>
    <t>Zona Balnear Santa Cruz (Calheta)</t>
  </si>
  <si>
    <t>Piscinas naturais da Calheta. Ilha Graciosa, a mais plana e serena dos Açores.</t>
  </si>
  <si>
    <t>Núcleo Recreio Náutico de Velas</t>
  </si>
  <si>
    <t>Ilha de São Jorge</t>
  </si>
  <si>
    <t>Porto desportivo e recreativo de Velas. São Jorge conhecida pelas suas fajãs e queijo DOP.</t>
  </si>
  <si>
    <t>Anjos</t>
  </si>
  <si>
    <t>Ilha de Santa Maria</t>
  </si>
  <si>
    <t>Praia junto ao porto dos Anjos, onde Colombo rezou na sua primeira paragem a caminho da América.</t>
  </si>
  <si>
    <t>Formosa</t>
  </si>
  <si>
    <t>A mais bela praia de Santa Maria — areia branca e mar turquesa. A única areia branca dos Açores.</t>
  </si>
  <si>
    <t>Praia da Maia na costa norte de Santa Maria. Acesso por estrada panorâmica com vistas deslumbrantes.</t>
  </si>
  <si>
    <t>S. Lourenço</t>
  </si>
  <si>
    <t>Praia de S. Lourenço em Santa Maria. Águas claras e ambiente tranquilo na ilha mais a sul dos Açores.</t>
  </si>
  <si>
    <t>Água d'Alto</t>
  </si>
  <si>
    <t>Vila Franca do Campo</t>
  </si>
  <si>
    <t>Grande praia de areia escura, a mais extensa da costa sul de São Miguel. Muito frequentada no verão.</t>
  </si>
  <si>
    <t>Corpo Santo</t>
  </si>
  <si>
    <t>Zona balnear junto à vila histórica. Ilhéu vulcânico visível ao largo — o famoso Ilhéu de Vila Franca.</t>
  </si>
  <si>
    <t>Prainha de Água d'Alto</t>
  </si>
  <si>
    <t>Praia mais recolhida junto a Água d'Alto. Ambiente familiar e serviços de apoio balnear.</t>
  </si>
  <si>
    <t>Vinha da Areia</t>
  </si>
  <si>
    <t>Praia de areia entre vinhas e jardins. Nome poético que resume a paisagem agrícola de São Miguel.</t>
  </si>
  <si>
    <t>TERRAZUL</t>
  </si>
  <si>
    <t>Complexo balnear TERRAZUL — conjunto de piscinas naturais com infraestruturas de qualidade balnear.</t>
  </si>
  <si>
    <t>TERRAZUL I</t>
  </si>
  <si>
    <t>Piscina natural TERRAZUL I — setor norte do complexo balnear de Vila Franca do Campo.</t>
  </si>
  <si>
    <t>TERRAZUL II</t>
  </si>
  <si>
    <t>Piscina natural TERRAZUL II — setor central com infraestruturas renovadas.</t>
  </si>
  <si>
    <t>TERRAZUL III</t>
  </si>
  <si>
    <t>Piscina natural TERRAZUL III — setor sul do complexo. Três piscinas de qualidade certificada.</t>
  </si>
  <si>
    <t xml:space="preserve">  🟡  ALENTEJO  ·  43 locais galardoados</t>
  </si>
  <si>
    <t xml:space="preserve">  🔵  ALENTEJO  ·  Alandroal  ·  1 local galardoado</t>
  </si>
  <si>
    <t xml:space="preserve">  🔵  ALENTEJO  ·  Beja  ·  1 local galardoado</t>
  </si>
  <si>
    <t xml:space="preserve">  🔵  ALENTEJO  ·  Cuba  ·  1 local galardoado</t>
  </si>
  <si>
    <t xml:space="preserve">  🔵  ALENTEJO  ·  Grândola  ·  11 locais galardoados</t>
  </si>
  <si>
    <t xml:space="preserve">  🔵  ALENTEJO  ·  Mértola  ·  1 local galardoado</t>
  </si>
  <si>
    <t xml:space="preserve">  🔵  ALENTEJO  ·  Moura  ·  1 local galardoado</t>
  </si>
  <si>
    <t xml:space="preserve">  🔵  ALENTEJO  ·  Mourão  ·  1 local galardoado</t>
  </si>
  <si>
    <t xml:space="preserve">  🔵  ALENTEJO  ·  Odemira  ·  11 locais galardoados</t>
  </si>
  <si>
    <t xml:space="preserve">  🔵  ALENTEJO  ·  Portel  ·  2 locais galardoados</t>
  </si>
  <si>
    <t xml:space="preserve">  🔵  ALENTEJO  ·  Reguengos de Monsaraz  ·  1 local galardoado</t>
  </si>
  <si>
    <t xml:space="preserve">  🔵  ALENTEJO  ·  Santiago do Cacém  ·  3 locais galardoados</t>
  </si>
  <si>
    <t xml:space="preserve">  🔵  ALENTEJO  ·  Sesimbra  ·  2 locais galardoados</t>
  </si>
  <si>
    <t xml:space="preserve">  🔵  ALENTEJO  ·  Setúbal  ·  3 locais galardoados</t>
  </si>
  <si>
    <t xml:space="preserve">  🔵  ALENTEJO  ·  Sines  ·  4 locais galardoados</t>
  </si>
  <si>
    <t>Área Recreativa e de Lazer Das Azenhas d'El Rei</t>
  </si>
  <si>
    <t>Zona balnear fluvial junto à antiga azenha. Rio Guadiana em paisagem alentejana autêntica.</t>
  </si>
  <si>
    <t>Cinco Reis</t>
  </si>
  <si>
    <t>Praia fluvial premiada no Baixo Alentejo. Ambiente natural tranquilo com sombra e serviços de apoio.</t>
  </si>
  <si>
    <t>Albergaria dos Fusos</t>
  </si>
  <si>
    <t>Praia fluvial de interior no concelho de Cuba. Águas calmas próprias para famílias.</t>
  </si>
  <si>
    <t>Aberta Nova</t>
  </si>
  <si>
    <t>Costa Alentejana</t>
  </si>
  <si>
    <t>Praia selvagem na Costa Alentejana. Areal extenso, dunas, vento atlântico e pouca afluência.</t>
  </si>
  <si>
    <t>Atlântica</t>
  </si>
  <si>
    <t>Praia atlântica de grande dimensão com acesso por pinhais. Ondas fortes e horizonte vasto.</t>
  </si>
  <si>
    <t>Carvalhal</t>
  </si>
  <si>
    <t>Praia de areal branco com pinhal de proteção. Uma das mais frequentadas da Comporta.</t>
  </si>
  <si>
    <t>Praia icónica da Comporta. Areia branca fina, águas cristalinas, dunas e arrozais na envolvente.</t>
  </si>
  <si>
    <t>Galé-Fontainhas</t>
  </si>
  <si>
    <t>Praia de areia fina entre a Galé e as Fontainhas. Paisagem costeira preservada.</t>
  </si>
  <si>
    <t>Praia da Lagoa de Melides. Lagoa costeira com vegetação endémica e acesso à praia oceânica.</t>
  </si>
  <si>
    <t>Pego</t>
  </si>
  <si>
    <t>Praia do Pego na Costa Alentejana. Areal extenso com acesso por passadiço de madeira.</t>
  </si>
  <si>
    <t>Tróia-Bico das Lulas</t>
  </si>
  <si>
    <t>Península de Tróia</t>
  </si>
  <si>
    <t>Praia na ponta da Península de Tróia. Vista sobre o Atlântico e o estuário do Sado.</t>
  </si>
  <si>
    <t>Tróia-Galé</t>
  </si>
  <si>
    <t>Praia de Tróia com águas tranquilas do lado do estuário. Ideal para famílias.</t>
  </si>
  <si>
    <t>Tróia-Mar</t>
  </si>
  <si>
    <t>Praia oceânica de Tróia. Ondas atlânticas, areia branca e extenso areal na península.</t>
  </si>
  <si>
    <t>Marina de Tróia</t>
  </si>
  <si>
    <t>Marina de referência na Península de Tróia. Estuário do Sado, golfinhos e ferry para Setúbal.</t>
  </si>
  <si>
    <t>Praia fluvial na albufeira da Tapada Grande. Rodeada de montado de sobro e xisto alentejano.</t>
  </si>
  <si>
    <t>Praia do Lago</t>
  </si>
  <si>
    <t>Praia fluvial do Lago de Moura. Zona balnear com infraestruturas de apoio no interior alentejano.</t>
  </si>
  <si>
    <t>Praia Fluvial de Mourão</t>
  </si>
  <si>
    <t>Praia fluvial no Alqueva junto a Mourão. Aldeia medieval na margem com pôr do sol único.</t>
  </si>
  <si>
    <t>Almograve Norte</t>
  </si>
  <si>
    <t>Praia do Almograve Norte. Falésia de xisto, poças naturais e Parque Natural do Sudoeste Alentejano.</t>
  </si>
  <si>
    <t>Almograve Sul</t>
  </si>
  <si>
    <t>Praia do Almograve Sul. Selvagem e preservada, inserida no PNSACV — a costa mais pristina de Portugal.</t>
  </si>
  <si>
    <t>Alteirinhos</t>
  </si>
  <si>
    <t>Praia dos Alteirinhos. Pequenas enseadas de rocha e areia entre falésias de xisto escuro.</t>
  </si>
  <si>
    <t>Carvalhal (Odemira)</t>
  </si>
  <si>
    <t>Praia do Carvalhal no PNSACV. Extenso areal com acesso por passadiço em zona de vegetação dunar.</t>
  </si>
  <si>
    <t>Farol</t>
  </si>
  <si>
    <t>Praia do Farol em Odemira. Vistas do farol sobre o Atlântico e paisagem costeira virgem.</t>
  </si>
  <si>
    <t>Franquia</t>
  </si>
  <si>
    <t>Praia Fluvial / Estuário</t>
  </si>
  <si>
    <t>Praia da Franquia no estuário do Mira em Vila Nova de Milfontes. Rio e mar em simultâneo.</t>
  </si>
  <si>
    <t>Furnas Mar</t>
  </si>
  <si>
    <t>Praia das Furnas junto ao mar. Formações rochosas únicas com grutas e arcadas de xisto.</t>
  </si>
  <si>
    <t>Furnas Rio</t>
  </si>
  <si>
    <t>Praia das Furnas junto ao rio Mira. Águas calmas e natureza preservada no PNSACV.</t>
  </si>
  <si>
    <t>Malhão Norte</t>
  </si>
  <si>
    <t>Praia do Malhão Norte. Grande extensão de areal selvagem sem construção no PNSACV.</t>
  </si>
  <si>
    <t>Malhão Sul</t>
  </si>
  <si>
    <t>Praia do Malhão Sul. Continuação do areal do Malhão, com dunas e vegetação endémica preservada.</t>
  </si>
  <si>
    <t>Santa Clara</t>
  </si>
  <si>
    <t>Alentejo Litoral</t>
  </si>
  <si>
    <t>Praia fluvial da Albufeira de Santa Clara. Paisagem serrana com extenso plano de água.</t>
  </si>
  <si>
    <t>Praia fluvial do Alqueva em Amieira. Marina de Amieira, aldeia histórica e maior lago artificial da Europa.</t>
  </si>
  <si>
    <t>Praia Fluvial de Alqueva</t>
  </si>
  <si>
    <t>Praia fluvial na albufeira de Alqueva. Reserva Dark Sky, céu estrelado único e Alqueva de noite.</t>
  </si>
  <si>
    <t>Praia Fluvial de Monsaraz</t>
  </si>
  <si>
    <t>Praia fluvial em frente à aldeia medieval de Monsaraz. Vista para o castelo sobre o Alqueva.</t>
  </si>
  <si>
    <t>Costa de Santo André</t>
  </si>
  <si>
    <t>Praia Marítima / Lagoa</t>
  </si>
  <si>
    <t>Praia com lagoa costeira de Santo André. Sistema lagunar raro com flora e fauna específicas.</t>
  </si>
  <si>
    <t>Fonte do Cortiço</t>
  </si>
  <si>
    <t>Praia da Fonte do Cortiço. Areal de fácil acesso com apoios balneares na Costa Alentejana.</t>
  </si>
  <si>
    <t>Monte Velho-Porto das Carretas</t>
  </si>
  <si>
    <t>Praia de Monte Velho — Porto das Carretas. Extensa e pouco frequentada, no litoral alentejano.</t>
  </si>
  <si>
    <t>Califórnia</t>
  </si>
  <si>
    <t>Arrábida / Setúbal</t>
  </si>
  <si>
    <t>Praia da Califórnia em Sesimbra. Águas calmas protegidas pelo Cabo Espichel e Serra da Arrábida.</t>
  </si>
  <si>
    <t>Ouro</t>
  </si>
  <si>
    <t>Praia d'Ouro em Sesimbra. Água cristalina azul-turquesa em frente à vila histórica de pescadores.</t>
  </si>
  <si>
    <t>Albarquel</t>
  </si>
  <si>
    <t>Praia do Albarquel no estuário do Sado. Vista para Tróia e ambiente tranquilo e familiar.</t>
  </si>
  <si>
    <t>Figueirinha</t>
  </si>
  <si>
    <t>Praia da Figueirinha na Arrábida. Águas turquesa, calcário branco e pinheiro manso. Espetacular.</t>
  </si>
  <si>
    <t>ACALA</t>
  </si>
  <si>
    <t>Praia ACALA em Setúbal. Zona balnear na orla costeira com serviços e qualidade certificada.</t>
  </si>
  <si>
    <t>Grande de Porto Côvo</t>
  </si>
  <si>
    <t>Costa Alentejana / Vicentina</t>
  </si>
  <si>
    <t>Grande Praia de Porto Côvo. Areal vasto com falésias, vila histórica e pôr do sol dramático.</t>
  </si>
  <si>
    <t>Praia da Ilha do Pessegueiro. Ruínas de forte seiscentista na ilha. Uma das mais belas de Portugal.</t>
  </si>
  <si>
    <t>S. Torpes</t>
  </si>
  <si>
    <t>Praia de S. Torpes em Sines. Águas limpas, areia escura e pouco desenvolvida turisticamente.</t>
  </si>
  <si>
    <t>Vieirinha - Vale de Figueiros</t>
  </si>
  <si>
    <t>Praia da Vieirinha e Vale de Figueiros. Areia escura, falésia e paisagem costeira intocada.</t>
  </si>
  <si>
    <t xml:space="preserve">  🟠  ALGARVE  ·  87 locais galardoados</t>
  </si>
  <si>
    <t xml:space="preserve">  🔵  ALGARVE  ·  Albufeira  ·  26 locais galardoados</t>
  </si>
  <si>
    <t xml:space="preserve">  🔵  ALGARVE  ·  Aljezur  ·  4 locais galardoados</t>
  </si>
  <si>
    <t xml:space="preserve">  🔵  ALGARVE  ·  Castro Marim  ·  3 locais galardoados</t>
  </si>
  <si>
    <t xml:space="preserve">  🔵  ALGARVE  ·  Faro  ·  4 locais galardoados</t>
  </si>
  <si>
    <t xml:space="preserve">  🔵  ALGARVE  ·  Lagoa  ·  6 locais galardoados</t>
  </si>
  <si>
    <t xml:space="preserve">  🔵  ALGARVE  ·  Lagos  ·  4 locais galardoados</t>
  </si>
  <si>
    <t xml:space="preserve">  🔵  ALGARVE  ·  Loulé  ·  11 locais galardoados</t>
  </si>
  <si>
    <t xml:space="preserve">  🔵  ALGARVE  ·  Olhão  ·  4 locais galardoados</t>
  </si>
  <si>
    <t xml:space="preserve">  🔵  ALGARVE  ·  Portimão  ·  9 locais galardoados</t>
  </si>
  <si>
    <t xml:space="preserve">  🔵  ALGARVE  ·  Silves  ·  2 locais galardoados</t>
  </si>
  <si>
    <t xml:space="preserve">  🔵  ALGARVE  ·  Tavira  ·  4 locais galardoados</t>
  </si>
  <si>
    <t xml:space="preserve">  🔵  ALGARVE  ·  Vila do Bispo  ·  10 locais galardoados</t>
  </si>
  <si>
    <t xml:space="preserve">  🔵  ALGARVE  ·  Vila Real de Santo António  ·  4 locais galardoados</t>
  </si>
  <si>
    <t>Alemães</t>
  </si>
  <si>
    <t>Algarve Central</t>
  </si>
  <si>
    <t>Praia dos Alemães em Albufeira. Pequeno areal entre rochas com águas tranquilas.</t>
  </si>
  <si>
    <t>Arrifes</t>
  </si>
  <si>
    <t>Praia dos Arrifes. Areal dourado com formações rochosas calcárias características do Algarve.</t>
  </si>
  <si>
    <t>Aveiros</t>
  </si>
  <si>
    <t>Praia dos Aveiros. Areal amplo e tranquilo com apoios balneares e boas condições de banho.</t>
  </si>
  <si>
    <t>Belharucas</t>
  </si>
  <si>
    <t>Praia das Belharucas. Areal resguardado entre promontórios rochosos com águas limpas.</t>
  </si>
  <si>
    <t>Praia do Castelo junto ao centro histórico de Albufeira. Areia dourada e rocha calcária.</t>
  </si>
  <si>
    <t>Coelha</t>
  </si>
  <si>
    <t>Praia da Coelha. Pequena praia resguardada com água cristalina e areia fina dourada.</t>
  </si>
  <si>
    <t>Evaristo</t>
  </si>
  <si>
    <t>Praia Evaristo. Pequeno porto piscatório com praia de areia fina e enquadramento pitoresco.</t>
  </si>
  <si>
    <t>Falésia Açoteias</t>
  </si>
  <si>
    <t>Praia da Falésia — setor Açoteias. Falésia ocre imponente sobre areal dourado de 6 km.</t>
  </si>
  <si>
    <t>Praia da Falésia — setor Alfamar. Falésia vermelha e areal extenso, uma das mais belas do Algarve.</t>
  </si>
  <si>
    <t>Galé-Leste</t>
  </si>
  <si>
    <t>Praia da Galé — setor Leste. Areia fina dourada entre arcos e grutas de calcário.</t>
  </si>
  <si>
    <t>Galé-Oeste</t>
  </si>
  <si>
    <t>Praia da Galé — setor Oeste. Continuação do areal com formações rochosas e águas limpas.</t>
  </si>
  <si>
    <t>INATEL - Albufeira</t>
  </si>
  <si>
    <t>Praia INATEL de Albufeira. Zona balnear com infraestruturas de apoio e qualidade certificada.</t>
  </si>
  <si>
    <t>Manuel Lourenço</t>
  </si>
  <si>
    <t>Praia de Manuel Lourenço. Pequeno areal entre penhascos com água transparente.</t>
  </si>
  <si>
    <t>Maria Luísa</t>
  </si>
  <si>
    <t>Praia Maria Luísa. Falésia alta com escadaria de acesso, areia dourada e mar azul-turquesa.</t>
  </si>
  <si>
    <t>Olhos d'Água</t>
  </si>
  <si>
    <t>Praia de Olhos d'Água. Aldeia piscatória com nascentes de água doce que afloram na areia.</t>
  </si>
  <si>
    <t>Oura</t>
  </si>
  <si>
    <t>Praia da Oura. Uma das mais animadas de Albufeira, em frente à Rua Direita. Mar agitado.</t>
  </si>
  <si>
    <t>Oura-Leste</t>
  </si>
  <si>
    <t>Praia Oura-Leste. Continuação da Oura com ambiente mais tranquilo e areal generoso.</t>
  </si>
  <si>
    <t>Peneco</t>
  </si>
  <si>
    <t>Praia do Peneco junto ao centro histórico. Acesso por elevador ou escadaria na falésia.</t>
  </si>
  <si>
    <t>Pescadores</t>
  </si>
  <si>
    <t>Praia dos Pescadores — a praia icónica de Albufeira, com barcos coloridos na areia.</t>
  </si>
  <si>
    <t>Rocha Baixinha</t>
  </si>
  <si>
    <t>Praia da Rocha Baixinha. Areal amplo a nascente de Albufeira com boa acessibilidade.</t>
  </si>
  <si>
    <t>Rocha Baixinha-Nascente</t>
  </si>
  <si>
    <t>Praia da Rocha Baixinha — setor Nascente. Tranquila e com boas infra-estruturas de apoio.</t>
  </si>
  <si>
    <t>Rocha Baixinha-Poente</t>
  </si>
  <si>
    <t>Praia da Rocha Baixinha — setor Poente. Acesso cómodo e mar de boa qualidade.</t>
  </si>
  <si>
    <t>S. Rafael</t>
  </si>
  <si>
    <t>Praia de S. Rafael. Pequena enseada abrigada com formações de calcário e águas cristalinas.</t>
  </si>
  <si>
    <t>Salgados</t>
  </si>
  <si>
    <t>Praia dos Salgados. Longa faixa de areal entre a lagoa dos Salgados e o mar. Rica em biodiversidade.</t>
  </si>
  <si>
    <t>Santa Eulália</t>
  </si>
  <si>
    <t>Praia de Santa Eulália. Grande praia a nascente de Albufeira, com areia fina e bons acessos.</t>
  </si>
  <si>
    <t>Marina de Albufeira</t>
  </si>
  <si>
    <t>Marina de Albufeira moderna com serviços completos. Ponto de partida para passeios de barco.</t>
  </si>
  <si>
    <t>Amoreira-Mar</t>
  </si>
  <si>
    <t>Costa Vicentina / Barlavento</t>
  </si>
  <si>
    <t>Praia da Amoreira junto ao estuário da ribeira. Dunas, rio e mar na Costa Vicentina.</t>
  </si>
  <si>
    <t>Praia da Arrifana. Falésia imponente, ruínas de fortaleza e águas para surf. PNSACV.</t>
  </si>
  <si>
    <t>Praia de Monte Clérigo. Areal amplo com dunas, aldeia de pescadores e costa selvagem.</t>
  </si>
  <si>
    <t>Odeceixe-Mar</t>
  </si>
  <si>
    <t>Praia Marítima / Estuário</t>
  </si>
  <si>
    <t>Praia de Odeceixe. Estuário da Ribeira de Seixe na fronteira Alentejo-Algarve. Única e pitoresca.</t>
  </si>
  <si>
    <t>Alagoa-Altura</t>
  </si>
  <si>
    <t>Sotavento Algarvio</t>
  </si>
  <si>
    <t>Praia da Alagoa em Altura. Extensa faixa de areia fina junto à lagoa costeira.</t>
  </si>
  <si>
    <t>Cabeço</t>
  </si>
  <si>
    <t>Praia do Cabeço em Castro Marim. Águas calmas e transparentes no Sotavento Algarvio.</t>
  </si>
  <si>
    <t>Praia Verde</t>
  </si>
  <si>
    <t>Praia Verde — nome evocativo do pinhal que a enquadra. Uma das mais bonitas do Sotavento.</t>
  </si>
  <si>
    <t>Barreta</t>
  </si>
  <si>
    <t>Praia Marítima / Ilha-Barreira</t>
  </si>
  <si>
    <t>Praia da Ilha Deserta (Barreta). Isolada e selvagem. Só de barco. Dunas brancas e mar aberto.</t>
  </si>
  <si>
    <t>Culatra-Mar</t>
  </si>
  <si>
    <t>Praia da Culatra — lado do mar. Ilha da Culatra acessível de barco. Comunidade piscatória única.</t>
  </si>
  <si>
    <t>Faro-Mar</t>
  </si>
  <si>
    <t>Praia de Faro, no areal da ilha. Acesso por ponte ou barco. Mar aberto e Ria Formosa.</t>
  </si>
  <si>
    <t>Ilha do Farol-Mar</t>
  </si>
  <si>
    <t>Praia da Ilha do Farol. Farol histórico, dunas e mar atlântico. Só de barco desde Faro.</t>
  </si>
  <si>
    <t>Caneiros</t>
  </si>
  <si>
    <t>Barlavento Algarvio</t>
  </si>
  <si>
    <t>Praia dos Caneiros. Pequena enseada entre falésias douradas e calcário branco. Águas límpidas.</t>
  </si>
  <si>
    <t>Praia de Carvoeiro. Centro histórico de pescadores sobre a praia. Cenário cartão-postal do Algarve.</t>
  </si>
  <si>
    <t>Praia de Ferragudo. Castelo de S. João sobre o Rio Arade, areia fina e pôr do sol sobre Portimão.</t>
  </si>
  <si>
    <t>Praia da Senhora da Rocha com a capelinha na falésia. Vista panorâmica sobre o Barlavento.</t>
  </si>
  <si>
    <t>Vale Centeanes</t>
  </si>
  <si>
    <t>Praia do Vale Centeanes. Enseada de areia dourada entre falésias. Águas calmas e transparentes.</t>
  </si>
  <si>
    <t>Vale do Olival</t>
  </si>
  <si>
    <t>Praia do Vale do Olival. Pequeno areal resguardado com formações rochosas e água cristalina.</t>
  </si>
  <si>
    <t>Praia da Luz. Areal de areia dourada frente à aldeia de Luz. Mar calmo e infra-estruturas completas.</t>
  </si>
  <si>
    <t>Meia Praia</t>
  </si>
  <si>
    <t>Meia Praia — o maior areal de Lagos. Faixa de 4 km com ondas e vistas para a cidade histórica.</t>
  </si>
  <si>
    <t>Praia de Porto de Mós. Areal amplo a poente de Lagos com falésia branca e mar azul-turquesa.</t>
  </si>
  <si>
    <t>Marina de Lagos</t>
  </si>
  <si>
    <t>Marina de Lagos — uma das principais do Algarve. Porto de entrada para a Costa Vicentina.</t>
  </si>
  <si>
    <t>Almargem</t>
  </si>
  <si>
    <t>Praia do Almargem. Areal entre sistemas dunares com acesso natural e pouco desenvolvimento.</t>
  </si>
  <si>
    <t>Ancão</t>
  </si>
  <si>
    <t>Praia do Ancão na Ria Formosa. Acesso por passadiço sobre a laguna. Dunas preservadas.</t>
  </si>
  <si>
    <t>Forte Novo</t>
  </si>
  <si>
    <t>Praia do Forte Novo junto ao forte seiscentista. Areal animado com serviços de qualidade.</t>
  </si>
  <si>
    <t>Garrão Nascente</t>
  </si>
  <si>
    <t>Praia do Garrão — setor Nascente. Dunas, pinhal e águas limpas na Costa Natural do Algarve.</t>
  </si>
  <si>
    <t>Garrão Poente</t>
  </si>
  <si>
    <t>Praia do Garrão — setor Poente. Areal tranquilo com natureza preservada e bom mar.</t>
  </si>
  <si>
    <t>Loulé Velho</t>
  </si>
  <si>
    <t>Praia de Loulé Velho. Faixa de areia com pinhal de proteção e ambiente tranquilo.</t>
  </si>
  <si>
    <t>Praia de Quarteira. Grande areal urbano com mercado de peixe, restaurantes e animação.</t>
  </si>
  <si>
    <t>Quinta do Lago</t>
  </si>
  <si>
    <t>Praia da Quinta do Lago. Acesso pelo passadiço de madeira sobre a laguna da Ria Formosa.</t>
  </si>
  <si>
    <t>Vale de Lobo</t>
  </si>
  <si>
    <t>Praia de Vale de Lobo. Falésia ocre com passagem para a praia. Golfe e resort de luxo.</t>
  </si>
  <si>
    <t>Praia de Vilamoura. Areal cosmopolita em frente à maior marina do Algarve.</t>
  </si>
  <si>
    <t>Marina de Vilamoura</t>
  </si>
  <si>
    <t>Marina de Vilamoura — a maior marina de Portugal. Centro de animação e náutica do Algarve.</t>
  </si>
  <si>
    <t>Armona-Mar</t>
  </si>
  <si>
    <t>Praia da Armona — lado do mar. Ilha da Armona acessível de barco. Areal selvagem e extenso.</t>
  </si>
  <si>
    <t>Armona-Ria</t>
  </si>
  <si>
    <t>Praia / Ria-Barreira</t>
  </si>
  <si>
    <t>Praia da Armona — lado da ria. Águas calmas e quentes da laguna. Perfeita para famílias.</t>
  </si>
  <si>
    <t>Fuseta-Mar</t>
  </si>
  <si>
    <t>Praia da Fuseta — lado do mar. Dunas intactas e mar atlântico na Ria Formosa.</t>
  </si>
  <si>
    <t>Fuseta-Ria</t>
  </si>
  <si>
    <t>Praia / Ria</t>
  </si>
  <si>
    <t>Praia da Fuseta — lado da ria. Águas tranquilas e rasas. Acesso a pé pela arriba de areia.</t>
  </si>
  <si>
    <t>Alvor Nascente</t>
  </si>
  <si>
    <t>Praia de Alvor — setor Nascente. Extensa faixa de areia dourada no estuário de Alvor.</t>
  </si>
  <si>
    <t>Alvor Poente</t>
  </si>
  <si>
    <t>Praia de Alvor — setor Poente. Laguna e dunas na embocadura do estuário. Natureza preservada.</t>
  </si>
  <si>
    <t>Praia da Marina de Portimão</t>
  </si>
  <si>
    <t>Praia junto à Marina de Portimão. Acessível, urbana, com serviços completos na marginal.</t>
  </si>
  <si>
    <t>Rocha</t>
  </si>
  <si>
    <t>Praia da Rocha — a mais famosa de Portimão. Monólitos de calcário e areal extenso dourado.</t>
  </si>
  <si>
    <t>Três Castelos</t>
  </si>
  <si>
    <t>Praia dos Três Castelos. Formações rochosas imponentes e águas cristalinas a poente da Rocha.</t>
  </si>
  <si>
    <t>Vau</t>
  </si>
  <si>
    <t>Praia do Vau. Areal amplo com rochas características e bons serviços de apoio balnear.</t>
  </si>
  <si>
    <t>Marina de Portimão</t>
  </si>
  <si>
    <t>Marina de Portimão. Circuito de Fórmula 1 náutica, eventos internacionais e serviços de topo.</t>
  </si>
  <si>
    <t>Sun Boat I</t>
  </si>
  <si>
    <t>Embarcação Certificada</t>
  </si>
  <si>
    <t>Embarcação Sun Boat I com Bandeira Azul. Passeios certificados de qualidade no Algarve.</t>
  </si>
  <si>
    <t>Sun Cat I</t>
  </si>
  <si>
    <t>Embarcação Sun Cat I com Bandeira Azul. Catamarã de passeio certificado na costa algarvia.</t>
  </si>
  <si>
    <t>Praia de Armação de Pêra. Longa praia urbana com falésia a nascente e mar agitado.</t>
  </si>
  <si>
    <t>Praia Grande Poente</t>
  </si>
  <si>
    <t>Praia Grande — setor Poente em Armação de Pêra. Areal extenso com boas condições de surf.</t>
  </si>
  <si>
    <t>Barril</t>
  </si>
  <si>
    <t>Praia do Barril. Acesso por comboio de praia. Cemitério de âncoras e dunas preservadas.</t>
  </si>
  <si>
    <t>Cabanas-Mar</t>
  </si>
  <si>
    <t>Praia de Cabanas — lado do mar. Ilha da Cabanas, areal extenso com dunas intactas.</t>
  </si>
  <si>
    <t>Ilha de Tavira-Mar</t>
  </si>
  <si>
    <t>Praia da Ilha de Tavira. Acesso de barco desde Tavira ou Santa Luzia. Mar aberto e dunas.</t>
  </si>
  <si>
    <t>Terra Estreita</t>
  </si>
  <si>
    <t>Praia de Terra Estreita na Ilha de Tavira. Areal extenso e selvagem na Ria Formosa.</t>
  </si>
  <si>
    <t>Almádena-Cabanas Velhas</t>
  </si>
  <si>
    <t>Barlavento / Costa Vicentina</t>
  </si>
  <si>
    <t>Praia de Almádena-Cabanas Velhas. Pequena enseada resguardada com formações rochosas.</t>
  </si>
  <si>
    <t>Burgau</t>
  </si>
  <si>
    <t>Praia do Burgau. Aldeia piscatória tradicional com praia de areia e barcos coloridos.</t>
  </si>
  <si>
    <t>Castelejo</t>
  </si>
  <si>
    <t>Praia do Castelejo. Falésia dramática, ondas para surf e cenário selvagem no PNSACV.</t>
  </si>
  <si>
    <t>Cordoama</t>
  </si>
  <si>
    <t>Praia da Cordoama. Falésia alta, areia escura e mar bravo. Uma das mais selvagens de Portugal.</t>
  </si>
  <si>
    <t>Ingrina</t>
  </si>
  <si>
    <t>Praia da Ingrina. Pequena enseada abrigada com águas tranquilas entre falésias calcárias.</t>
  </si>
  <si>
    <t>Mareta</t>
  </si>
  <si>
    <t>Sagres / Costa Vicentina</t>
  </si>
  <si>
    <t>Praia da Mareta em Sagres. Areal abrigado sob o Cabo de Sagres. Ponto extremo de Portugal.</t>
  </si>
  <si>
    <t>Martinhal</t>
  </si>
  <si>
    <t>Praia do Martinhal. Enseada de Sagres com águas calmas. Vista para a Fortaleza de Sagres.</t>
  </si>
  <si>
    <t>Salema</t>
  </si>
  <si>
    <t>Praia da Salema. Aldeia de pescadores autêntica com praia de areia e barcos tradicionais.</t>
  </si>
  <si>
    <t>Tonel</t>
  </si>
  <si>
    <t>Praia do Tonel em Sagres. Ondas atlânticas poderosas, falésias e o sopro do vento de Sagres.</t>
  </si>
  <si>
    <t>Zavial</t>
  </si>
  <si>
    <t>Praia do Zavial. Enseada abrigada com águas claras, ideal para snorkel e mergulho.</t>
  </si>
  <si>
    <t>Lota</t>
  </si>
  <si>
    <t>Praia da Lota em VRSA. Areal junto à lota de pesca. Ambiente piscatório autêntico.</t>
  </si>
  <si>
    <t>Manta Rota</t>
  </si>
  <si>
    <t>Praia de Manta Rota. Extensa faixa de areia fina com águas calmas no Sotavento Algarvio.</t>
  </si>
  <si>
    <t>Praia de Monte Gordo. Longa praia com areia dourada, palmeiras e mar com pouca ondulação.</t>
  </si>
  <si>
    <t>Praia de Santo António. Areal de areia fina a norte de VRSA, tranquila e bem equipada.</t>
  </si>
  <si>
    <t xml:space="preserve">  🟢  CENTRO  ·  55 locais galardoados</t>
  </si>
  <si>
    <t xml:space="preserve">  🔵  CENTRO  ·  Arganil  ·  1 local galardoado</t>
  </si>
  <si>
    <t xml:space="preserve">  🔵  CENTRO  ·  Aveiro  ·  2 locais galardoados</t>
  </si>
  <si>
    <t xml:space="preserve">  🔵  CENTRO  ·  Cantanhede  ·  4 locais galardoados</t>
  </si>
  <si>
    <t xml:space="preserve">  🔵  CENTRO  ·  Coimbra  ·  2 locais galardoados</t>
  </si>
  <si>
    <t xml:space="preserve">  🔵  CENTRO  ·  Figueira da Foz  ·  11 locais galardoados</t>
  </si>
  <si>
    <t xml:space="preserve">  🔵  CENTRO  ·  Góis  ·  1 local galardoado</t>
  </si>
  <si>
    <t xml:space="preserve">  🔵  CENTRO  ·  Ílhavo  ·  4 locais galardoados</t>
  </si>
  <si>
    <t xml:space="preserve">  🔵  CENTRO  ·  Leiria  ·  3 locais galardoados</t>
  </si>
  <si>
    <t xml:space="preserve">  🔵  CENTRO  ·  Marinha Grande  ·  2 locais galardoados</t>
  </si>
  <si>
    <t xml:space="preserve">  🔵  CENTRO  ·  Mira  ·  2 locais galardoados</t>
  </si>
  <si>
    <t xml:space="preserve">  🔵  CENTRO  ·  Montemor-o-Velho  ·  1 local galardoado</t>
  </si>
  <si>
    <t xml:space="preserve">  🔵  CENTRO  ·  Murtosa  ·  3 locais galardoados</t>
  </si>
  <si>
    <t xml:space="preserve">  🔵  CENTRO  ·  Ovar  ·  3 locais galardoados</t>
  </si>
  <si>
    <t xml:space="preserve">  🔵  CENTRO  ·  Penacova  ·  3 locais galardoados</t>
  </si>
  <si>
    <t xml:space="preserve">  🔵  CENTRO  ·  Pombal  ·  1 local galardoado</t>
  </si>
  <si>
    <t xml:space="preserve">  🔵  CENTRO  ·  Seia  ·  2 locais galardoados</t>
  </si>
  <si>
    <t xml:space="preserve">  🔵  CENTRO  ·  Sever do Vouga  ·  1 local galardoado</t>
  </si>
  <si>
    <t xml:space="preserve">  🔵  CENTRO  ·  Tábua  ·  1 local galardoado</t>
  </si>
  <si>
    <t xml:space="preserve">  🔵  CENTRO  ·  Vagos  ·  3 locais galardoados</t>
  </si>
  <si>
    <t>Cascalheira - Secarias</t>
  </si>
  <si>
    <t>Serra da Lousã / Coimbra</t>
  </si>
  <si>
    <t>Praia fluvial de Secarias em Arganil. Rio Alva entre penhascos de granito e natureza serrana.</t>
  </si>
  <si>
    <t>São Jacinto</t>
  </si>
  <si>
    <t>Ria de Aveiro</t>
  </si>
  <si>
    <t>Praia de São Jacinto na Reserva Natural. Acesso de barco pela Ria de Aveiro. Natureza intocada.</t>
  </si>
  <si>
    <t>Gaivinha</t>
  </si>
  <si>
    <t>Praia da Gaivinha em Aveiro. Areal atlântico com acesso pela orla da Ria de Aveiro.</t>
  </si>
  <si>
    <t>Ançã</t>
  </si>
  <si>
    <t>Bairrada / Centro</t>
  </si>
  <si>
    <t>Praia fluvial de Ançã. Zona balnear de interior com rio limpo e ambiente campestre da Bairrada.</t>
  </si>
  <si>
    <t>Olhos de Fervença</t>
  </si>
  <si>
    <t>Praia fluvial Olhos de Fervença. Nascentes naturais e águas frescas em zona arborizada.</t>
  </si>
  <si>
    <t>Sete Fontes</t>
  </si>
  <si>
    <t>Praia fluvial das Sete Fontes. Nome evocativo de nascentes cristalinas. Parque de lazer natural.</t>
  </si>
  <si>
    <t>Tocha</t>
  </si>
  <si>
    <t>Costa de Prata</t>
  </si>
  <si>
    <t>Praia da Tocha. Extensa faixa de areia atlântica com pinhal de proteção e mar bravo.</t>
  </si>
  <si>
    <t>Palheiros e Zorro</t>
  </si>
  <si>
    <t>Praia de Palheiros e Zorro na Costa de Coimbra. Areal vasto, ondas atlânticas e pinhal costeiro.</t>
  </si>
  <si>
    <t>Rebolim</t>
  </si>
  <si>
    <t>Praia do Rebolim. Areal atlântico com boas condições balneares na orla costeira de Coimbra.</t>
  </si>
  <si>
    <t>Praia de Buarcos. Aldeia histórica de pescadores com praia urbana e forte tradição marítima.</t>
  </si>
  <si>
    <t>Cabedelo Sul</t>
  </si>
  <si>
    <t>Foz do Mondego</t>
  </si>
  <si>
    <t>Praia do Cabedelo Sul. Na foz do Mondego, estuário e barra em frente à cidade da Figueira.</t>
  </si>
  <si>
    <t>Praia do Cabo Mondego. Falésia junto ao cabo com vistas panorâmicas sobre o oceano Atlântico.</t>
  </si>
  <si>
    <t>Costa de Lavos</t>
  </si>
  <si>
    <t>Praia da Costa de Lavos. Extensa praia atlântica com areal largo e pinhal de proteção.</t>
  </si>
  <si>
    <t>Cova Gala</t>
  </si>
  <si>
    <t>Praia da Cova Gala. Areal amplo a sul da Figueira com boas condições de banho e surf.</t>
  </si>
  <si>
    <t>Cova Gala - Hospital</t>
  </si>
  <si>
    <t>Praia Cova Gala — setor Hospital. Zona balnear com infraestruturas e acesso facilitado.</t>
  </si>
  <si>
    <t>Figueira da Foz-Relógio</t>
  </si>
  <si>
    <t>Praia da Figueira — setor Relógio. Praia urbana central com esplanadas e animação balnear.</t>
  </si>
  <si>
    <t>Leirosa</t>
  </si>
  <si>
    <t>Praia da Leirosa. Areal amplo com cordão dunar preservado a sul da Figueira da Foz.</t>
  </si>
  <si>
    <t>Murtinheira</t>
  </si>
  <si>
    <t>Praia da Murtinheira. Extensa praia de areia fina com pinhal e acesso cómodo.</t>
  </si>
  <si>
    <t>Quiaios</t>
  </si>
  <si>
    <t>Praia de Quiaios. Mar agitado com ondas atlânticas, pinhal de Quiaios e Lagoa das Braças próxima.</t>
  </si>
  <si>
    <t>Praia da Tamargueira. Areal atlântico tranquilo entre Quiaios e Tocha, com vegetação dunar.</t>
  </si>
  <si>
    <t>Peneda - Pêgo Escuro</t>
  </si>
  <si>
    <t>Praia fluvial do Pêgo Escuro em Góis. Rio Ceira, águas frescas e verde serrano profundo.</t>
  </si>
  <si>
    <t>Barra</t>
  </si>
  <si>
    <t>Praia da Barra junto ao farol mais alto de Portugal. Areal extenso na embocadura da Ria de Aveiro.</t>
  </si>
  <si>
    <t>Barra Sul</t>
  </si>
  <si>
    <t>Praia da Barra Sul. Continuação do areal da Barra com ambiente mais tranquilo.</t>
  </si>
  <si>
    <t>Costa Nova</t>
  </si>
  <si>
    <t>Praia da Costa Nova com as icónicas palheiros às riscas coloridas. Postal de Portugal.</t>
  </si>
  <si>
    <t>Costa Nova Sul</t>
  </si>
  <si>
    <t>Praia da Costa Nova Sul. Continuação da Costa Nova, menos movimentada e com bom mar.</t>
  </si>
  <si>
    <t>Lagoa da Ervedeira</t>
  </si>
  <si>
    <t>Praia de Lagoa</t>
  </si>
  <si>
    <t>Praia da Lagoa da Ervedeira no Pinhal de Leiria. Lagoa costeira com águas calmas e natureza.</t>
  </si>
  <si>
    <t>Pedrogão Sul</t>
  </si>
  <si>
    <t>Praia do Pedrogão — setor Sul. Areal atlântico com pinhal e boas condições balneares.</t>
  </si>
  <si>
    <t>Pedrogão-Centro</t>
  </si>
  <si>
    <t>Praia do Pedrogão — setor Centro. Amplo areal com apoios balneares na Costa de Prata.</t>
  </si>
  <si>
    <t>Praia Velha</t>
  </si>
  <si>
    <t>Praia Velha em S. Pedro de Moel. Praia histórica com pinheiros até à duna. Beleza atemporal.</t>
  </si>
  <si>
    <t>Praia de S. Pedro de Moel. Vila pitoresca com praia de areia dourada entre penhascos de rocha.</t>
  </si>
  <si>
    <t>Mira</t>
  </si>
  <si>
    <t>Praia de Mira. Vasta praia atlântica com sistema lagunar das Barrinha de Mira e pinhal.</t>
  </si>
  <si>
    <t>Poço da Cruz</t>
  </si>
  <si>
    <t>Praia da lagoa do Poço da Cruz em Mira. Lagoa costeira com águas calmas para desportos náuticos.</t>
  </si>
  <si>
    <t>Ereira</t>
  </si>
  <si>
    <t>Baixo Mondego</t>
  </si>
  <si>
    <t>Praia fluvial da Ereira no Mondego. Zona balnear no campo do Baixo Mondego, arrozais em redor.</t>
  </si>
  <si>
    <t>Bico</t>
  </si>
  <si>
    <t>Murtosa</t>
  </si>
  <si>
    <t>Praia de Ria</t>
  </si>
  <si>
    <t>Praia do Bico na Ria de Aveiro. Águas calmas da ria, moliceiros e paisagem de salinas.</t>
  </si>
  <si>
    <t>Monte Branco</t>
  </si>
  <si>
    <t>Praia do Monte Branco na Ria de Aveiro. Zona balnear de ria com natureza e silêncio.</t>
  </si>
  <si>
    <t>Torreira</t>
  </si>
  <si>
    <t>Praia da Torreira. Na peninsula entre o Atlântico e a Ria de Aveiro. Mar e ria em simultâneo.</t>
  </si>
  <si>
    <t>Cortegaça</t>
  </si>
  <si>
    <t>Ovar</t>
  </si>
  <si>
    <t>Praia de Cortegaça. Areal atlântico com cordão dunar protegido. Zona de nidificação de aves.</t>
  </si>
  <si>
    <t>Esmoriz</t>
  </si>
  <si>
    <t>Praia de Esmoriz. Areal extenso com lagoa de Paramos próxima. Ondas atlânticas e pinhal.</t>
  </si>
  <si>
    <t>Furadouro</t>
  </si>
  <si>
    <t>Praia do Furadouro. Areal largo com forte tradição piscatória. Conhecida pela doçaria local.</t>
  </si>
  <si>
    <t>Cornicovo</t>
  </si>
  <si>
    <t>Mondego / Coimbra</t>
  </si>
  <si>
    <t>Praia fluvial do Cornicovo no Mondego. Verde serrano, canoagem e águas límpidas de montanha.</t>
  </si>
  <si>
    <t>Reconquinho</t>
  </si>
  <si>
    <t>Praia fluvial do Reconquinho. Rio Mondego em Penacova, miradouro natural sobre o vale.</t>
  </si>
  <si>
    <t>Praia fluvial do Vimieiro em Penacova. Margem do Mondego com sombra e canoagem.</t>
  </si>
  <si>
    <t>Osso da Baleia</t>
  </si>
  <si>
    <t>Praia do Osso da Baleia. Praia atlântica entre pinhal e dunas com acesso natural.</t>
  </si>
  <si>
    <t>Lapa dos Dinheiros</t>
  </si>
  <si>
    <t>Praia fluvial da Lapa dos Dinheiros na Serra da Estrela. Rio de montanha com águas frias e cristalinas.</t>
  </si>
  <si>
    <t>Loriga</t>
  </si>
  <si>
    <t>Praia fluvial de Loriga. Aldeia histórica na Serra da Estrela com rio e termas. Cenário de montanha.</t>
  </si>
  <si>
    <t>Quinta do Barco</t>
  </si>
  <si>
    <t>Vale do Vouga</t>
  </si>
  <si>
    <t>Praia fluvial da Quinta do Barco no Rio Vouga. Natureza exuberante e águas frescas do Vouga.</t>
  </si>
  <si>
    <t>Ronqueira</t>
  </si>
  <si>
    <t>Tábua</t>
  </si>
  <si>
    <t>Praia fluvial da Ronqueira em Tábua. Rio Mondego com águas claras em vale arborizado.</t>
  </si>
  <si>
    <t>Areão</t>
  </si>
  <si>
    <t>Praia do Areão em Vagos. Extensa faixa de areia com pinhal e boas condições atlânticas.</t>
  </si>
  <si>
    <t>Labrego</t>
  </si>
  <si>
    <t>Praia do Labrego em Vagos. Areal atlântico com dunas preservadas e mar de boa qualidade.</t>
  </si>
  <si>
    <t>Vagueira</t>
  </si>
  <si>
    <t>Ria de Aveiro / Costa de Prata</t>
  </si>
  <si>
    <t>Praia da Vagueira. Praia marítima com lagoa costeira da Vagueira próxima. Pôr do sol atlântico.</t>
  </si>
  <si>
    <t xml:space="preserve">  🟣  MADEIRA  ·  29 locais galardoados</t>
  </si>
  <si>
    <t xml:space="preserve">  🔵  MADEIRA  ·  Calheta  ·  6 locais galardoados</t>
  </si>
  <si>
    <t xml:space="preserve">  🔵  MADEIRA  ·  Machico  ·  4 locais galardoados</t>
  </si>
  <si>
    <t xml:space="preserve">  🔵  MADEIRA  ·  Porto Moniz  ·  1 local galardoado</t>
  </si>
  <si>
    <t xml:space="preserve">  🔵  MADEIRA  ·  Porto Santo  ·  4 locais galardoados</t>
  </si>
  <si>
    <t xml:space="preserve">  🔵  MADEIRA  ·  Ribeira Brava  ·  1 local galardoado</t>
  </si>
  <si>
    <t xml:space="preserve">  🔵  MADEIRA  ·  Santa Cruz  ·  2 locais galardoados</t>
  </si>
  <si>
    <t xml:space="preserve">  🔵  MADEIRA  ·  Santana  ·  1 local galardoado</t>
  </si>
  <si>
    <t>Madeira Ocidental</t>
  </si>
  <si>
    <t>Praia da Calheta com areia branca trazida das Ilhas Canárias. Mar tranquilo num ancoradouro natural.</t>
  </si>
  <si>
    <t>Porto de recreio da Calheta com Bandeira Azul. Náutica de recreio na costa sudoeste da Madeira.</t>
  </si>
  <si>
    <t>Dulcineia</t>
  </si>
  <si>
    <t>Embarcação Dulcineia com Bandeira Azul. Passeios de barco certificados na costa da Calheta.</t>
  </si>
  <si>
    <t>Esmeralda</t>
  </si>
  <si>
    <t>Embarcação Esmeralda com Bandeira Azul. Passeios turísticos de qualidade nas águas da Madeira.</t>
  </si>
  <si>
    <t>Gringo</t>
  </si>
  <si>
    <t>Embarcação Gringo com Bandeira Azul. Observação de cetáceos e mergulho certificado.</t>
  </si>
  <si>
    <t>Embarcação Miranda com Bandeira Azul. Excursões marítimas certificadas ao longo da costa madeirense.</t>
  </si>
  <si>
    <t>Barreirinha</t>
  </si>
  <si>
    <t>Piscina Natural / Complexo</t>
  </si>
  <si>
    <t>Complexo balnear da Barreirinha no Funchal. Piscinas naturais em rocha vulcânica com vista para o mar.</t>
  </si>
  <si>
    <t>Cb Ponta Gorda-Poças do Governador</t>
  </si>
  <si>
    <t>Complexo balnear da Ponta Gorda com Poças do Governador. Piscinas naturais icónicas do Funchal.</t>
  </si>
  <si>
    <t>Clube Naval do Funchal</t>
  </si>
  <si>
    <t>Clube Naval do Funchal com Bandeira Azul. Centro de vela e náutica de recreio na baía do Funchal.</t>
  </si>
  <si>
    <t>Formosa (Madeira)</t>
  </si>
  <si>
    <t>Praia Formosa no Funchal. A maior praia da ilha da Madeira, com areia escura e mar atlântico.</t>
  </si>
  <si>
    <t>Lido-Complexo Balnear</t>
  </si>
  <si>
    <t>Complexo balnear do Lido no Funchal. Piscinas de água do mar com terraços sobranceiros ao oceano.</t>
  </si>
  <si>
    <t>Marina do Funchal</t>
  </si>
  <si>
    <t>Marina do Funchal — porta de entrada da Madeira por mar. Hub de cruzeiros e náutica no Atlântico.</t>
  </si>
  <si>
    <t>Magic Dolphin Eco</t>
  </si>
  <si>
    <t>Embarcação Magic Dolphin Eco com Bandeira Azul. Ecoturismo marinho e observação de golfinhos.</t>
  </si>
  <si>
    <t>Melhor do Mar II</t>
  </si>
  <si>
    <t>Embarcação Melhor do Mar II com Bandeira Azul. Passeios marítimos certificados na Madeira.</t>
  </si>
  <si>
    <t>Natureza do Mar</t>
  </si>
  <si>
    <t>Embarcação Natureza do Mar com Bandeira Azul. Observação de cetáceos e mergulho ecológico.</t>
  </si>
  <si>
    <t>Prazer do Mar</t>
  </si>
  <si>
    <t>Embarcação Prazer do Mar com Bandeira Azul. Passeios de vela e catamarã na baía do Funchal.</t>
  </si>
  <si>
    <t>Banda d'Além</t>
  </si>
  <si>
    <t>Machico / Madeira Oriental</t>
  </si>
  <si>
    <t>Praia da Banda d'Além em Machico. Areia escura com baía abrigada e fortaleza histórica próxima.</t>
  </si>
  <si>
    <t>Prainha (Madeira)</t>
  </si>
  <si>
    <t>Madeira Oriental</t>
  </si>
  <si>
    <t>Prainha — a única praia de areia natural da Madeira. Pequena enseada selvagem de areia clara.</t>
  </si>
  <si>
    <t>Ribeira do Natal</t>
  </si>
  <si>
    <t>Praia da Ribeira do Natal. Enseada tranquila no extremo oriental da Madeira com águas límpidas.</t>
  </si>
  <si>
    <t>Porto de Recreio de Machico</t>
  </si>
  <si>
    <t>Porto de recreio de Machico com Bandeira Azul. Berço histórico da descoberta da Madeira em 1418.</t>
  </si>
  <si>
    <t>As famosas piscinas naturais de Porto Moniz. Rochas vulcânicas negras e oceano Atlântico. Icónicas.</t>
  </si>
  <si>
    <t>Porto Santo - Cabeço da Ponta</t>
  </si>
  <si>
    <t>Ilha do Porto Santo</t>
  </si>
  <si>
    <t>Praia de Porto Santo — Cabeço da Ponta. Areia dourada terapêutica numa das mais belas ilhas atlânticas.</t>
  </si>
  <si>
    <t>Porto Santo - Calheta</t>
  </si>
  <si>
    <t>Praia de Porto Santo — Calheta. Areia dourada com propriedades terapêuticas únicas no mundo.</t>
  </si>
  <si>
    <t>Porto Santo - Fontinha</t>
  </si>
  <si>
    <t>Praia de Porto Santo — Fontinha. Extensão de areia dourada de 9 km. Paraíso atlântico intocado.</t>
  </si>
  <si>
    <t>Porto Santo - Ribeiro Salgado</t>
  </si>
  <si>
    <t>Praia de Porto Santo — Ribeiro Salgado. Areia terapêutica e mar turquesa na ilha de Colombo.</t>
  </si>
  <si>
    <t>Madeira Sul</t>
  </si>
  <si>
    <t>Praia de Ribeira Brava. Calhau escuro e mar bravo na ribeira mais selvagem da costa sul da Madeira.</t>
  </si>
  <si>
    <t>Palmeiras</t>
  </si>
  <si>
    <t>Complexo balnear das Palmeiras em Santa Cruz. Piscinas de água do mar com infraestruturas modernas.</t>
  </si>
  <si>
    <t>Reis Magos</t>
  </si>
  <si>
    <t>Complexo balnear dos Reis Magos em Santa Cruz. Piscinas naturais com vista para o aeroporto da Madeira.</t>
  </si>
  <si>
    <t>Ribeira do Faial</t>
  </si>
  <si>
    <t>Madeira Norte</t>
  </si>
  <si>
    <t>Praia da Ribeira do Faial em Santana. Costa norte selvagem da Madeira com falésia basáltica e mar bravo.</t>
  </si>
  <si>
    <t xml:space="preserve">  🔴  NORTE  ·  86 locais galardoados</t>
  </si>
  <si>
    <t xml:space="preserve">  🔵  NORTE  ·  Braga  ·  3 locais galardoados</t>
  </si>
  <si>
    <t xml:space="preserve">  🔵  NORTE  ·  Caminha  ·  4 locais galardoados</t>
  </si>
  <si>
    <t xml:space="preserve">  🔵  NORTE  ·  Espinho  ·  3 locais galardoados</t>
  </si>
  <si>
    <t xml:space="preserve">  🔵  NORTE  ·  Esposende  ·  4 locais galardoados</t>
  </si>
  <si>
    <t xml:space="preserve">  🔵  NORTE  ·  Fafe  ·  1 local galardoado</t>
  </si>
  <si>
    <t xml:space="preserve">  🔵  NORTE  ·  Freixo de Espada à Cinta  ·  1 local galardoado</t>
  </si>
  <si>
    <t xml:space="preserve">  🔵  NORTE  ·  Macedo de Cavaleiros  ·  4 locais galardoados</t>
  </si>
  <si>
    <t xml:space="preserve"> ·  Funchal  · </t>
  </si>
  <si>
    <t xml:space="preserve">  🔵  NORTE  ·  Matosinhos  ·  17 locais galardoados</t>
  </si>
  <si>
    <t xml:space="preserve">  🔵  NORTE  ·  Mirandela  ·  1 local galardoado</t>
  </si>
  <si>
    <t xml:space="preserve">  🔵  NORTE  ·  Porto  ·  4 locais galardoados</t>
  </si>
  <si>
    <t xml:space="preserve">  🔵  NORTE  ·  Póvoa de Varzim  ·  8 locais galardoados</t>
  </si>
  <si>
    <t xml:space="preserve">  🔵  NORTE  ·  Viana do Castelo  ·  11 locais galardoados</t>
  </si>
  <si>
    <t xml:space="preserve">  🔵  NORTE  ·  Vila do Conde  ·  5 locais galardoados</t>
  </si>
  <si>
    <t xml:space="preserve">  🔵  NORTE  ·  Vila Nova de Gaia  ·  19 locais galardoados</t>
  </si>
  <si>
    <t xml:space="preserve">  🔵  NORTE  ·  Vila Verde  ·  1 local galardoado</t>
  </si>
  <si>
    <t>Adaúfe</t>
  </si>
  <si>
    <t>Minho / Braga</t>
  </si>
  <si>
    <t>Praia fluvial de Adaúfe no Rio Cávado. Zona balnear de interior com vegetação ripícola e serviços de apoio.</t>
  </si>
  <si>
    <t>Cavadinho</t>
  </si>
  <si>
    <t>Praia fluvial do Cavadinho. Rio Cávado em paisagem minhota com arvoredo denso e águas frescas.</t>
  </si>
  <si>
    <t>Ponte do Bico</t>
  </si>
  <si>
    <t>Praia fluvial da Ponte do Bico. Zona balnear no Rio Cávado junto à ponte histórica.</t>
  </si>
  <si>
    <t>Azenhas - Vilar de Mouros</t>
  </si>
  <si>
    <t>Praia fluvial das Azenhas em Vilar de Mouros. Rio Coura com antigas azenhas e verde minhoto.</t>
  </si>
  <si>
    <t>Praia de Caminha na foz do Minho. Vista para a Galiza, fortaleza histórica e marina fluvial.</t>
  </si>
  <si>
    <t>Forte do Cão</t>
  </si>
  <si>
    <t>Praia do Forte do Cão em Caminha. Forte seiscentista sobre a foz do Minho. Pôr do sol atlântico.</t>
  </si>
  <si>
    <t>Praia de Moledo. Extensa faixa de areia dourada na foz do Rio Âncora. Surf e kitesurf.</t>
  </si>
  <si>
    <t>Espinho-Baía</t>
  </si>
  <si>
    <t>Costa Verde</t>
  </si>
  <si>
    <t>Praia de Espinho — setor Baía. Praia urbana com tradição balnear centenária.</t>
  </si>
  <si>
    <t>Espinho-Rua 37</t>
  </si>
  <si>
    <t>Praia de Espinho — Rua 37. Areal central da cidade com boa acessibilidade e serviços completos.</t>
  </si>
  <si>
    <t>Paramos</t>
  </si>
  <si>
    <t>Praia de Paramos em Espinho. Areal tranquilo a sul da cidade com pinhal de proteção.</t>
  </si>
  <si>
    <t>Apúlia</t>
  </si>
  <si>
    <t>Costa Verde / Minho</t>
  </si>
  <si>
    <t>Praia de Apúlia. Marachões de pedra típicos na baixa-mar. Uma das praias mais fotogénicas do Norte.</t>
  </si>
  <si>
    <t>Fão-Ofir</t>
  </si>
  <si>
    <t>Praia de Fão-Ofir na foz do Cávado. Dunas, pinhal e estuário. Paraíso da natureza no Minho.</t>
  </si>
  <si>
    <t>Marinhas-Cepães</t>
  </si>
  <si>
    <t>Praia das Marinhas-Cepães. Areal atlântico com sistema dunar protegido e mar bravo.</t>
  </si>
  <si>
    <t>Suave Mar</t>
  </si>
  <si>
    <t>Praia do Suave Mar em Esposende. Areal amplo com vista para a foz do Cávado e Ofir.</t>
  </si>
  <si>
    <t>Albufeira de Queimadela</t>
  </si>
  <si>
    <t>Minho / Terras de Basto</t>
  </si>
  <si>
    <t>Praia fluvial da Albufeira de Queimadela em Fafe. Plano de água tranquilo entre montanhas verdes.</t>
  </si>
  <si>
    <t>Congida</t>
  </si>
  <si>
    <t>Praia fluvial da Congida. Rio Douro em pleno Parque Natural do Douro Internacional. Cenário grandioso.</t>
  </si>
  <si>
    <t>Fraga da Pegada</t>
  </si>
  <si>
    <t>Praia fluvial da Fraga da Pegada. Albufeira do Azibo em Trás-os-Montes, rodeada de xisto e granito.</t>
  </si>
  <si>
    <t>Praia fluvial da Ribeira na Albufeira do Azibo. Uma das 7 Maravilhas de Portugal.</t>
  </si>
  <si>
    <t>Azibeiro</t>
  </si>
  <si>
    <t>Praia fluvial do Azibeiro. Zona balnear na albufeira do Azibo com infra-estruturas de qualidade.</t>
  </si>
  <si>
    <t>Vítor Oliveira</t>
  </si>
  <si>
    <t>Praia fluvial Vítor Oliveira na Albufeira do Azibo. Parque balnear com acesso a desportos náuticos.</t>
  </si>
  <si>
    <t>Agudela</t>
  </si>
  <si>
    <t>Costa Verde / Porto</t>
  </si>
  <si>
    <t>Praia de Agudela em Matosinhos. Areal atlântico com boas condições de surf a norte do Porto.</t>
  </si>
  <si>
    <t>Angeiras Norte</t>
  </si>
  <si>
    <t>Praia de Angeiras Norte. Aldeia piscatória com marachões de pedra e areia dourada.</t>
  </si>
  <si>
    <t>Angeiras Sul</t>
  </si>
  <si>
    <t>Praia de Angeiras Sul. Continuação do areal com ambiente mais tranquilo e bom mar atlântico.</t>
  </si>
  <si>
    <t>Aterro</t>
  </si>
  <si>
    <t>Praia do Aterro em Matosinhos. Zona balnear urbana com boa acessibilidade junto ao porto.</t>
  </si>
  <si>
    <t>Azul - Conchinha</t>
  </si>
  <si>
    <t>Praia Azul — Conchinha. Areal com boas condições balneares na orla de Matosinhos.</t>
  </si>
  <si>
    <t>Boa Nova - Senhora</t>
  </si>
  <si>
    <t>Praia da Boa Nova — Senhora. Junto ao restaurante Boa Nova de Siza Vieira, obra de referência mundial.</t>
  </si>
  <si>
    <t>Cabo do Mundo</t>
  </si>
  <si>
    <t>Praia do Cabo do Mundo. Mar bravo e paisagem rochosa no extremo norte do concelho de Matosinhos.</t>
  </si>
  <si>
    <t>Funtão</t>
  </si>
  <si>
    <t>Praia do Funtão. Areal tranquilo com boas condições balneares e mar atlântico limpo.</t>
  </si>
  <si>
    <t>Fuzelhas</t>
  </si>
  <si>
    <t>Praia das Fuzelhas. Zona balnear entre Matosinhos e Leça com bons acessos e serviços.</t>
  </si>
  <si>
    <t>Leça da Palmeira</t>
  </si>
  <si>
    <t>Praia de Leça da Palmeira. Piscinas das Marés de Álvaro Siza — obra de arquitectura de referência mundial.</t>
  </si>
  <si>
    <t>Marreco</t>
  </si>
  <si>
    <t>Praia do Marreco. Areal atlântico com ambiente familiar e boas condições de banho.</t>
  </si>
  <si>
    <t>Memória</t>
  </si>
  <si>
    <t>Praia da Memória. Junto à ermida da Memória, local de lendas históricas do litoral portuense.</t>
  </si>
  <si>
    <t>Pedras Brancas</t>
  </si>
  <si>
    <t>Praia das Pedras Brancas. Areal com rochas características e águas atlânticas de boa qualidade.</t>
  </si>
  <si>
    <t>Pedras da Agudela</t>
  </si>
  <si>
    <t>Praia das Pedras da Agudela. Formações rochosas únicas na costa norte de Matosinhos.</t>
  </si>
  <si>
    <t>Pedras do Corgo</t>
  </si>
  <si>
    <t>Praia das Pedras do Corgo. Areal entre afloramentos rochosos com bom acesso.</t>
  </si>
  <si>
    <t>Praia de Beijinhos</t>
  </si>
  <si>
    <t>Praia de Beijinhos. Nome simpático para um areal tranquilo com boas condições balneares.</t>
  </si>
  <si>
    <t>Quebrada</t>
  </si>
  <si>
    <t>Praia da Quebrada. Zona balnear na orla costeira de Matosinhos com mar atlântico limpo.</t>
  </si>
  <si>
    <t>Praia Arquiteto Albino Mendo</t>
  </si>
  <si>
    <t>Trás-os-Montes / Tua</t>
  </si>
  <si>
    <t>Praia fluvial Arq. Albino Mendo no Rio Tua em Mirandela. Zona balnear urbana muito frequentada.</t>
  </si>
  <si>
    <t>Praia do Aquário no Porto. Zona balnear atlântica com boa acessibilidade na orla da cidade.</t>
  </si>
  <si>
    <t>Foz</t>
  </si>
  <si>
    <t>Foz do Douro / Porto</t>
  </si>
  <si>
    <t>Praia da Foz do Douro no Porto. Na confluência do Douro com o Atlântico. Cenário icónico do Porto.</t>
  </si>
  <si>
    <t>Gondarém</t>
  </si>
  <si>
    <t>Praia de Gondarém no Porto. Areal entre Foz e Matosinhos, popular entre os portuenses.</t>
  </si>
  <si>
    <t>Homem do Leme</t>
  </si>
  <si>
    <t>Praia do Homem do Leme. Junto à estátua icónica. Vista para a barra do Douro e mar atlântico.</t>
  </si>
  <si>
    <t>Estela - Barranha</t>
  </si>
  <si>
    <t>Praia de Estela-Barranha. Extensa praia atlântica com sistema dunar preservado.</t>
  </si>
  <si>
    <t>Fragosa</t>
  </si>
  <si>
    <t>Praia da Fragosa. Areal atlântico tranquilo a norte da Póvoa de Varzim.</t>
  </si>
  <si>
    <t>Praia da Lagoa na Póvoa de Varzim. Lagoa costeira com acesso ao mar atlântico.</t>
  </si>
  <si>
    <t>Paimó</t>
  </si>
  <si>
    <t>Praia do Paimó. Areal com boas condições de banho e ambiente familiar.</t>
  </si>
  <si>
    <t>Quião</t>
  </si>
  <si>
    <t>Praia do Quião. Zona balnear atlântica com bons acessos na Póvoa de Varzim.</t>
  </si>
  <si>
    <t>Zona Urbana - Norte</t>
  </si>
  <si>
    <t>Praia urbana Norte da Póvoa de Varzim. Frente marítima da cidade com esplanadas e animação.</t>
  </si>
  <si>
    <t>Zona Urbana Sul I</t>
  </si>
  <si>
    <t>Praia urbana Sul I da Póvoa. Grande areal com casino e frente balnear histórica.</t>
  </si>
  <si>
    <t>Zona Urbana Sul II</t>
  </si>
  <si>
    <t>Praia urbana Sul II da Póvoa. Continuação da frente marítima com serviços completos.</t>
  </si>
  <si>
    <t>Praia de Afife. Um dos mais belos areais do Alto Minho. Dunas, granito e mar atlântico selvagem.</t>
  </si>
  <si>
    <t>Amorosa Norte</t>
  </si>
  <si>
    <t>Praia da Amorosa Norte. Areal dourado com vista para o Atlântico e para o Rio Lima.</t>
  </si>
  <si>
    <t>Amorosa Sul</t>
  </si>
  <si>
    <t>Praia da Amorosa Sul. Continuação do areal da Amorosa com ambiente tranquilo e natureza.</t>
  </si>
  <si>
    <t>Arda</t>
  </si>
  <si>
    <t>Praia da Arda em Viana do Castelo. Pequeno areal de granito e areia com boas condições balneares.</t>
  </si>
  <si>
    <t>Cabedelo</t>
  </si>
  <si>
    <t>Foz do Lima / Alto Minho</t>
  </si>
  <si>
    <t>Praia do Cabedelo na foz do Lima. Acesso de barco ou ponte. Forte histórico e mar atlântico.</t>
  </si>
  <si>
    <t>Carreço</t>
  </si>
  <si>
    <t>Praia de Carreço. Granito negro, areia e mar bravo. Uma das praias mais selvagens do Alto Minho.</t>
  </si>
  <si>
    <t>Castelo de Neiva</t>
  </si>
  <si>
    <t>Praia de Castelo de Neiva. Areal atlântico amplo com dunas e natureza preservada.</t>
  </si>
  <si>
    <t>Insua</t>
  </si>
  <si>
    <t>Praia da Insua em Viana do Castelo. Enseada abrigada com boas condições balneares.</t>
  </si>
  <si>
    <t>Luziamar</t>
  </si>
  <si>
    <t>Praia de Luziamar. Areal entre Afife e Âncora com mar limpo e ambiente descontraído.</t>
  </si>
  <si>
    <t>Praia Norte de Viana do Castelo. Praia de surf icónica com ondas atlânticas e extensa faixa de areia.</t>
  </si>
  <si>
    <t>Paçô</t>
  </si>
  <si>
    <t>Praia do Paçô. Areal tranquilo a sul de Viana com boas condições balneares.</t>
  </si>
  <si>
    <t>Frente Urbana Norte</t>
  </si>
  <si>
    <t>Praia de Vila do Conde — Frente Urbana Norte. Areal junto à cidade com castelo medieval e convento.</t>
  </si>
  <si>
    <t>Frente Urbana Sul</t>
  </si>
  <si>
    <t>Praia de Vila do Conde — Frente Urbana Sul. Continuação da frente marítima com serviços completos.</t>
  </si>
  <si>
    <t>Labruge</t>
  </si>
  <si>
    <t>Praia de Labruge. Areal atlântico tranquilo entre Vila do Conde e Póvoa de Varzim.</t>
  </si>
  <si>
    <t>Mindelo</t>
  </si>
  <si>
    <t>Praia do Mindelo. Extensa praia com sistema dunar protegido e reserva ornitológica próxima.</t>
  </si>
  <si>
    <t>Vila Chã</t>
  </si>
  <si>
    <t>Praia de Vila Chã. Mar atlântico bravo com ondas para surf e bodyboard. Areal amplo.</t>
  </si>
  <si>
    <t>Aguda</t>
  </si>
  <si>
    <t>Costa Verde / Gaia</t>
  </si>
  <si>
    <t>Praia de Aguda. Pequena aldeia piscatória com praia de areia e rochas graníticas. Museu do Mar próximo.</t>
  </si>
  <si>
    <t>Canide-Norte</t>
  </si>
  <si>
    <t>Praia de Canide Norte. Areal atlântico com boa acessibilidade e serviços de apoio balnear.</t>
  </si>
  <si>
    <t>Canide-Sul</t>
  </si>
  <si>
    <t>Praia de Canide Sul. Continuação do areal de Canide com ambiente mais tranquilo.</t>
  </si>
  <si>
    <t>Dunas Mar</t>
  </si>
  <si>
    <t>Praia Dunas Mar. Sistema dunar protegido e mar atlântico de qualidade certificada.</t>
  </si>
  <si>
    <t>Francelos</t>
  </si>
  <si>
    <t>Praia de Francelos. Uma das mais populares de Gaia. Boas ondas, serviços e acessos.</t>
  </si>
  <si>
    <t>Francemar</t>
  </si>
  <si>
    <t>Praia da Francemar. Zona balnear junto a Francelos com boas condições atlânticas.</t>
  </si>
  <si>
    <t>Granja</t>
  </si>
  <si>
    <t>Praia da Granja. Estância balnear histórica com casino centenário. Tradição balnear do séc. XIX.</t>
  </si>
  <si>
    <t>Lavadores</t>
  </si>
  <si>
    <t>Praia de Lavadores. Junto ao miradouro de Lavadores e ao limite sul da cidade do Porto.</t>
  </si>
  <si>
    <t>Madalena-Norte</t>
  </si>
  <si>
    <t>Praia da Madalena Norte. Areal amplo com boa exposição solar e serviços completos.</t>
  </si>
  <si>
    <t>Madalena-Sul</t>
  </si>
  <si>
    <t>Praia da Madalena Sul. Continuação do areal da Madalena com ambiente familiar.</t>
  </si>
  <si>
    <t>Mar e Sol</t>
  </si>
  <si>
    <t>Praia Mar e Sol. Zona balnear de Gaia com boa qualidade de água certificada.</t>
  </si>
  <si>
    <t>Marbelo</t>
  </si>
  <si>
    <t>Praia do Marbelo. Areal atlântico com boas condições de banho e surf em Gaia.</t>
  </si>
  <si>
    <t>Miramar</t>
  </si>
  <si>
    <t>Praia de Miramar. A capelinha de Senhor da Pedra na rocha sobre o mar. Uma das mais icónicas de Portugal.</t>
  </si>
  <si>
    <t>S. Félix da Marinha</t>
  </si>
  <si>
    <t>Praia de S. Félix da Marinha. Extensa praia a sul de Gaia com ondas de surf e ambiente jovem.</t>
  </si>
  <si>
    <t>Praia dos Salgueiros. Areal atlântico com boa qualidade de água e serviços de apoio.</t>
  </si>
  <si>
    <t>Sãozinha</t>
  </si>
  <si>
    <t>Praia da Sãozinha. Zona balnear tranquila com boas condições atlânticas em Gaia.</t>
  </si>
  <si>
    <t>Senhor da Pedra</t>
  </si>
  <si>
    <t>Praia do Senhor da Pedra em Miramar. Capelinha barroca sobre a rocha no mar. Ícone de Portugal.</t>
  </si>
  <si>
    <t>Valadares-Norte</t>
  </si>
  <si>
    <t>Praia de Valadares Norte. Areal com boa exposição e serviços completos em Gaia.</t>
  </si>
  <si>
    <t>Valadares-Sul</t>
  </si>
  <si>
    <t>Praia de Valadares Sul. Continuação do areal de Valadares, mais tranquila e familiar.</t>
  </si>
  <si>
    <t>Prado Faial</t>
  </si>
  <si>
    <t>Praia fluvial do Prado Faial no Rio Cávado. Verde minhoto, granito e águas frescas de rio.</t>
  </si>
  <si>
    <t xml:space="preserve">  🟤  LISBOA E VALE DO TEJO  ·  99 locais galardoados</t>
  </si>
  <si>
    <t xml:space="preserve">  🔵  LISBOA  ·  Abrantes  ·  2 locais galardoados</t>
  </si>
  <si>
    <t xml:space="preserve">  🔵  LISBOA  ·  Alcanena  ·  1 local galardoado</t>
  </si>
  <si>
    <t xml:space="preserve">  🔵  LISBOA  ·  Alcobaça  ·  2 locais galardoados</t>
  </si>
  <si>
    <t xml:space="preserve">  🔵  LISBOA  ·  Almada  ·  10 locais galardoados</t>
  </si>
  <si>
    <t xml:space="preserve">  🔵  LISBOA  ·  Avis  ·  1 local galardoado</t>
  </si>
  <si>
    <t xml:space="preserve">  🔵  LISBOA  ·  Caldas da Rainha  ·  2 locais galardoados</t>
  </si>
  <si>
    <t xml:space="preserve">  🔵  LISBOA  ·  Cascais  ·  11 locais galardoados</t>
  </si>
  <si>
    <t xml:space="preserve">  🔵  LISBOA  ·  Coruche  ·  1 local galardoado</t>
  </si>
  <si>
    <t xml:space="preserve">  🔵  LISBOA  ·  Góis  ·  1 local galardoado</t>
  </si>
  <si>
    <t xml:space="preserve">  🔵  LISBOA  ·  Guarda  ·  1 local galardoado</t>
  </si>
  <si>
    <t xml:space="preserve">  🔵  LISBOA  ·  Lisboa  ·  5 locais galardoados</t>
  </si>
  <si>
    <t xml:space="preserve">  🔵  LISBOA  ·  Lourinhã  ·  5 locais galardoados</t>
  </si>
  <si>
    <t xml:space="preserve">  🔵  LISBOA  ·  Mação  ·  1 local galardoado</t>
  </si>
  <si>
    <t xml:space="preserve">  🔵  LISBOA  ·  Mafra  ·  6 locais galardoados</t>
  </si>
  <si>
    <t xml:space="preserve">  🔵  LISBOA  ·  Nazaré  ·  2 locais galardoados</t>
  </si>
  <si>
    <t xml:space="preserve">  🔵  LISBOA  ·  Óbidos  ·  2 locais galardoados</t>
  </si>
  <si>
    <t xml:space="preserve">  🔵  LISBOA  ·  Oeiras  ·  3 locais galardoados</t>
  </si>
  <si>
    <t xml:space="preserve">  🔵  LISBOA  ·  Oleiros  ·  1 local galardoado</t>
  </si>
  <si>
    <t xml:space="preserve">  🔵  LISBOA  ·  Ourém  ·  1 local galardoado</t>
  </si>
  <si>
    <t xml:space="preserve">  🔵  LISBOA  ·  Pampilhosa da Serra  ·  3 locais galardoados</t>
  </si>
  <si>
    <t xml:space="preserve">  🔵  LISBOA  ·  Peniche  ·  7 locais galardoados</t>
  </si>
  <si>
    <t xml:space="preserve">  🔵  LISBOA  ·  Sesimbra  ·  2 locais galardoados</t>
  </si>
  <si>
    <t xml:space="preserve">  🔵  LISBOA  ·  Sintra  ·  5 locais galardoados</t>
  </si>
  <si>
    <t xml:space="preserve">  🔵  LISBOA  ·  Torres Vedras  ·  11 locais galardoados</t>
  </si>
  <si>
    <t xml:space="preserve">  🔵  LISBOA  ·  Vila de Rei  ·  2 locais galardoados</t>
  </si>
  <si>
    <t>Aldeia do Mato</t>
  </si>
  <si>
    <t>Rio Tejo / Ribatejo</t>
  </si>
  <si>
    <t>Praia fluvial da Aldeia do Mato no Rio Tejo. Zona balnear de interior com vegetação ripícola e serviços.</t>
  </si>
  <si>
    <t>Fontes</t>
  </si>
  <si>
    <t>Praia fluvial de Fontes no Tejo. Águas calmas e extenso plano de água em Abrantes.</t>
  </si>
  <si>
    <t>Olhos d'Água do Alviela</t>
  </si>
  <si>
    <t>Maciço Calcário Estremenho</t>
  </si>
  <si>
    <t>Praia fluvial das nascentes do Alviela. Água cristalina que brota da rocha calcária num cenário único.</t>
  </si>
  <si>
    <t>Paredes de Vitória</t>
  </si>
  <si>
    <t>Costa de Prata / Leiria</t>
  </si>
  <si>
    <t>Praia de Paredes de Vitória. Areal atlântico com falésia e mar bravo a norte de Alcobaça.</t>
  </si>
  <si>
    <t>S. Martinho do Porto</t>
  </si>
  <si>
    <t>Praia Marítima / Baía</t>
  </si>
  <si>
    <t>Praia de S. Martinho do Porto. Baía fechada de formato único em Portugal. Águas calmas e transparentes.</t>
  </si>
  <si>
    <t>CDS</t>
  </si>
  <si>
    <t>Praia CDS na Costa da Caparica. Extensa faixa de areia atlântica a sul de Lisboa.</t>
  </si>
  <si>
    <t>Dragão Vermelho</t>
  </si>
  <si>
    <t>Praia do Dragão Vermelho. Areal da Caparica com boas ondas para surf e bodyboard.</t>
  </si>
  <si>
    <t>Infante</t>
  </si>
  <si>
    <t>Praia do Infante. Costa da Caparica com apoios balneares e boas condições atlânticas.</t>
  </si>
  <si>
    <t>Mata</t>
  </si>
  <si>
    <t>Praia da Mata. Areal junto ao pinhal da Caparica com ambiente tranquilo e mar limpo.</t>
  </si>
  <si>
    <t>Praia Nova</t>
  </si>
  <si>
    <t>Praia Nova na Costa da Caparica. Extensa faixa de areia com boas condições de banho e surf.</t>
  </si>
  <si>
    <t>Rainha (Almada)</t>
  </si>
  <si>
    <t>Praia da Rainha na Caparica. Areal central com serviços completos e boa procura veraniega.</t>
  </si>
  <si>
    <t>Praia de S. João da Caparica. Zona balnear com bons apoios e mar atlântico de qualidade.</t>
  </si>
  <si>
    <t>Praia de Santo António da Caparica. Extensa praia urbana com fácil acesso de Lisboa.</t>
  </si>
  <si>
    <t>Sereia</t>
  </si>
  <si>
    <t>Praia da Sereia. Areal da Caparica com boas ondas e serviços de apoio balnear.</t>
  </si>
  <si>
    <t>Tarquínio-Paraíso</t>
  </si>
  <si>
    <t>Praia Tarquínio-Paraíso. A mais a sul da Costa da Caparica, mais tranquila e selvagem.</t>
  </si>
  <si>
    <t>Clube Náutico de Avis</t>
  </si>
  <si>
    <t>Ribatejo / Alentejo</t>
  </si>
  <si>
    <t>Clube Náutico de Avis com Bandeira Azul. Albufeira do Rio Seda com infraestruturas náuticas.</t>
  </si>
  <si>
    <t>Foz do Arelho-Lagoa</t>
  </si>
  <si>
    <t>Óbidos / Costa de Prata</t>
  </si>
  <si>
    <t>Praia da Foz do Arelho — lado da lagoa. Lagoa de Óbidos com águas calmas e quentes. Único.</t>
  </si>
  <si>
    <t>Praia do Mar</t>
  </si>
  <si>
    <t>Praia do Mar na Foz do Arelho. Lado atlântico com mar aberto e ondas.</t>
  </si>
  <si>
    <t>Avencas</t>
  </si>
  <si>
    <t>Praia Marítima / Reserva</t>
  </si>
  <si>
    <t>Linha de Cascais</t>
  </si>
  <si>
    <t>Praia das Avencas. Reserva natural de interesse comunitário. Piscinas naturais e biodiversidade.</t>
  </si>
  <si>
    <t>Praia de Carcavelos. A maior praia da Linha de Cascais. Surf, bodyboard e fácil acesso de Lisboa.</t>
  </si>
  <si>
    <t>Crismina</t>
  </si>
  <si>
    <t>Praia da Crismina em Cascais. Pequeno areal resguardado com formações rochosas e águas limpas.</t>
  </si>
  <si>
    <t>Guincho Norte</t>
  </si>
  <si>
    <t>Sintra-Cascais / Atlântico</t>
  </si>
  <si>
    <t>Praia do Guincho Norte. Vento, areia e mar bravo num cenário de Parque Natural. Kitesurfing mundial.</t>
  </si>
  <si>
    <t>Guincho Sul</t>
  </si>
  <si>
    <t>Praia do Guincho Sul. Continuação do areal selvagem do Guincho. Dunas e mar atlântico potente.</t>
  </si>
  <si>
    <t>Moitas</t>
  </si>
  <si>
    <t>Praia das Moitas em Cascais. Zona balnear com boa qualidade de água certificada.</t>
  </si>
  <si>
    <t>Praia da Parede. Frente marítima com piscinas de água do mar e forte tradição balnear.</t>
  </si>
  <si>
    <t>Poça</t>
  </si>
  <si>
    <t>Praia da Poça em Cascais. Pequena praia urbana junto ao centro histórico com mar calmo.</t>
  </si>
  <si>
    <t>S. Pedro do Estoril</t>
  </si>
  <si>
    <t>Praia de S. Pedro do Estoril. Areal elegante entre Estoril e Cascais com boa acessibilidade.</t>
  </si>
  <si>
    <t>Tamariz</t>
  </si>
  <si>
    <t>Linha de Cascais / Estoril</t>
  </si>
  <si>
    <t>Praia do Tamariz no Estoril. A mais emblemática da Linha. Casino do Estoril em pano de fundo.</t>
  </si>
  <si>
    <t>Marina de Cascais</t>
  </si>
  <si>
    <t>Marina de Cascais. Uma das mais belas de Portugal, com fortaleza histórica e vila cosmopolita.</t>
  </si>
  <si>
    <t>Ribatejo / Lezíria</t>
  </si>
  <si>
    <t>Praia fluvial do Rio Sorraia em Coruche. Planície ribatejana com touros e cavalos na envolvente.</t>
  </si>
  <si>
    <t>Alvares</t>
  </si>
  <si>
    <t>Praia fluvial de Alvares em Góis. Rio Ceira com águas frescas de montanha em vale verdejante.</t>
  </si>
  <si>
    <t>Valhelhas</t>
  </si>
  <si>
    <t>Serra da Estrela / Guarda</t>
  </si>
  <si>
    <t>Praia fluvial de Valhelhas no Rio Zêzere. Aldeia histórica ao sopé da Serra da Estrela.</t>
  </si>
  <si>
    <t>Doca de Santo Amaro</t>
  </si>
  <si>
    <t>Marina / Doca</t>
  </si>
  <si>
    <t>Tejo / Lisboa</t>
  </si>
  <si>
    <t>Doca de Santo Amaro em Lisboa com Bandeira Azul. Margem do Tejo com restaurantes e animação.</t>
  </si>
  <si>
    <t>BOTO</t>
  </si>
  <si>
    <t>Embarcação BOTO com Bandeira Azul. Passeios certificados no Estuário do Tejo.</t>
  </si>
  <si>
    <t>I DISCOVERY</t>
  </si>
  <si>
    <t>Embarcação I DISCOVERY com Bandeira Azul. Descobertas do Tejo e da costa atlântica de Lisboa.</t>
  </si>
  <si>
    <t>II Odisseia</t>
  </si>
  <si>
    <t>Embarcação II Odisseia com Bandeira Azul. Passeios fluviais certificados no Tejo em Lisboa.</t>
  </si>
  <si>
    <t>MINKE</t>
  </si>
  <si>
    <t>Embarcação MINKE com Bandeira Azul. Observação de cetáceos e ecoturismo marinho em Lisboa.</t>
  </si>
  <si>
    <t>Areal Sul</t>
  </si>
  <si>
    <t>Oeste / Costa de Prata</t>
  </si>
  <si>
    <t>Praia do Areal Sul na Lourinhã. Areal atlântico com falésia calcária e fosseis de dinossauros próximos.</t>
  </si>
  <si>
    <t>Areia Branca</t>
  </si>
  <si>
    <t>Praia da Areia Branca. A mais popular da Lourinhã. Areia clara, boas ondas e infraestruturas.</t>
  </si>
  <si>
    <t>Areia Branca - Foz</t>
  </si>
  <si>
    <t>Praia da Areia Branca — Foz. Embocadura do Rio Alcabrichel junto ao areal principal.</t>
  </si>
  <si>
    <t>Peralta</t>
  </si>
  <si>
    <t>Praia da Peralta. Zona balnear na costa da Lourinhã com boas condições atlânticas.</t>
  </si>
  <si>
    <t>Porto Dinheiro</t>
  </si>
  <si>
    <t>Praia de Porto Dinheiro. Pequena praia entre falésias calcárias com águas transparentes.</t>
  </si>
  <si>
    <t>Carvoeiro (Mação)</t>
  </si>
  <si>
    <t>Praia fluvial do Carvoeiro em Mação. Rio Tejo em Trás-os-Montes ribatejano com natureza intocada.</t>
  </si>
  <si>
    <t>Algodio</t>
  </si>
  <si>
    <t>Oeste / Sintra-Cascais</t>
  </si>
  <si>
    <t>Praia do Algodio em Mafra. Areal atlântico com falésia e mar bravo na costa Oeste.</t>
  </si>
  <si>
    <t>Baleia</t>
  </si>
  <si>
    <t>Praia da Baleia em Mafra. Zona balnear na costa Oeste com boas condições atlânticas.</t>
  </si>
  <si>
    <t>Foz do Lizandro - Mar</t>
  </si>
  <si>
    <t>Oeste / Ericeira</t>
  </si>
  <si>
    <t>Praia da Foz do Lizandro. Foz do rio junto à vila da Ericeira, World Surfing Reserve.</t>
  </si>
  <si>
    <t>Porto da Calada</t>
  </si>
  <si>
    <t>Praia do Porto da Calada. Enseada resguardada na costa da Ericeira com boas condições de banho.</t>
  </si>
  <si>
    <t>Ribeira de Ilhas</t>
  </si>
  <si>
    <t>Praia da Ribeira de Ilhas. Palco do Rip Curl Pro Portugal. World Surfing Reserve da Ericeira.</t>
  </si>
  <si>
    <t>Praia de S. Lourenço em Mafra. Zona balnear na World Surfing Reserve da Ericeira.</t>
  </si>
  <si>
    <t>Costa de Prata / Oeste</t>
  </si>
  <si>
    <t>Praia da Nazaré. A mais famosa de Portugal. Ondas gigantes do Canhão da Nazaré. Tradição piscatória.</t>
  </si>
  <si>
    <t>Salgado</t>
  </si>
  <si>
    <t>Praia do Salgado na Nazaré. Extensão do areal a norte com dunas e sistema lagunar.</t>
  </si>
  <si>
    <t>Bom Sucesso</t>
  </si>
  <si>
    <t>Praia do Bom Sucesso na Lagoa de Óbidos. Lagoa costeira com águas calmas e natureza preservada.</t>
  </si>
  <si>
    <t>Rei do Cortiço</t>
  </si>
  <si>
    <t>Praia do Rei do Cortiço. Areal atlântico na costa de Óbidos com boas condições de banho.</t>
  </si>
  <si>
    <t>Linha de Cascais / Oeiras</t>
  </si>
  <si>
    <t>Praia de Santo Amaro de Oeiras. Frente marítima elegante da Linha com acesso fácil de Lisboa.</t>
  </si>
  <si>
    <t>Praia da Torre em Oeiras. Junto à Torre de S. Julião da Barra, monumento nacional.</t>
  </si>
  <si>
    <t>Porto de Recreio de Oeiras</t>
  </si>
  <si>
    <t>Porto de Recreio de Oeiras com Bandeira Azul. Marina moderna na Linha de Cascais.</t>
  </si>
  <si>
    <t>Açude do Pinto</t>
  </si>
  <si>
    <t>Pinhal Interior / Castelo Branco</t>
  </si>
  <si>
    <t>Praia fluvial do Açude do Pinto em Oleiros. Zona balnear de montanha com natureza preservada.</t>
  </si>
  <si>
    <t>Agroal</t>
  </si>
  <si>
    <t>Ribatejo / Santarém</t>
  </si>
  <si>
    <t>Praia fluvial de Agroal em Ourém. Nascente natural com água cristalina a brotar da rocha calcária.</t>
  </si>
  <si>
    <t>Pessegueiro</t>
  </si>
  <si>
    <t>Serra da Lousã / Beira</t>
  </si>
  <si>
    <t>Praia fluvial do Pessegueiro. Rio de montanha em Pampilhosa da Serra com cenário serrano.</t>
  </si>
  <si>
    <t>Praia de Pampilhosa da Serra</t>
  </si>
  <si>
    <t>Praia fluvial central de Pampilhosa da Serra. Rio limpo em vale arborizado de serra.</t>
  </si>
  <si>
    <t>Praia fluvial de Santa Luzia. Zona balnear serrana com natureza exuberante e águas frescas.</t>
  </si>
  <si>
    <t>Baleal Norte</t>
  </si>
  <si>
    <t>Oeste / Peniche</t>
  </si>
  <si>
    <t>Praia do Baleal Norte. Aldeia na península com praia de surf e cenário cinematográfico.</t>
  </si>
  <si>
    <t>Baleal Sul</t>
  </si>
  <si>
    <t>Praia do Baleal Sul. Continuação da península com águas calmas protegidas a nascente.</t>
  </si>
  <si>
    <t>Consolação</t>
  </si>
  <si>
    <t>Praia da Consolação em Peniche. Areal protegido com formações rochosas e mar mais tranquilo.</t>
  </si>
  <si>
    <t>Cova da Alfarroba</t>
  </si>
  <si>
    <t>Praia da Cova da Alfarroba. Pequena enseada entre falésias com água cristalina.</t>
  </si>
  <si>
    <t>Gambôa</t>
  </si>
  <si>
    <t>Praia da Gambôa em Peniche. Zona balnear protegida dentro da baía com boas condições.</t>
  </si>
  <si>
    <t>Medão-Supertubos</t>
  </si>
  <si>
    <t>Praia do Medão-Supertubos. Palco da Rip Curl Pro. Ondas perfeitas de tubo — melhores da Europa.</t>
  </si>
  <si>
    <t>S. Bernardino</t>
  </si>
  <si>
    <t>Praia de S. Bernardino. Extensa praia de areia fina a norte de Peniche, menos frequentada.</t>
  </si>
  <si>
    <t>Lagoa de Albufeira - Mar</t>
  </si>
  <si>
    <t>Praia da Lagoa de Albufeira — lado do mar. Lagoa costeira e praia oceânica na mesma duna.</t>
  </si>
  <si>
    <t>Moinho de Baixo-Meco</t>
  </si>
  <si>
    <t>Praia do Moinho de Baixo-Meco. Extensa praia do Meco com ambiente naturista e dunas.</t>
  </si>
  <si>
    <t>Adraga</t>
  </si>
  <si>
    <t>Praia da Adraga. Eleita uma das mais belas da Europa. Falésia dramática e mar bravo atlântico.</t>
  </si>
  <si>
    <t>Praia Grande de Sintra. Extensa praia atlântica com ondas poderosas e dinossauros fósseis na falésia.</t>
  </si>
  <si>
    <t>Maçãs</t>
  </si>
  <si>
    <t>Praia das Maçãs em Sintra. Aldeia costeira com eléctrico histórico e praia de areia fina.</t>
  </si>
  <si>
    <t>Magoito</t>
  </si>
  <si>
    <t>Praia do Magoito. Pequena praia entre falésias calcárias. Acesso por escadaria e mar bravo.</t>
  </si>
  <si>
    <t>S. Julião</t>
  </si>
  <si>
    <t>Praia de S. Julião em Sintra. Areal junto ao Cabo Raso com mar atlântico e por-do-sol vibrante.</t>
  </si>
  <si>
    <t>Azul</t>
  </si>
  <si>
    <t>Praia Azul em Torres Vedras. Areal amplo com boas condições de surf na costa do Oeste.</t>
  </si>
  <si>
    <t>Centro (Sta. Cruz)</t>
  </si>
  <si>
    <t>Praia Centro de Sta. Cruz. Praia urbana de Torres Vedras com serviços completos.</t>
  </si>
  <si>
    <t>Física (Sta. Cruz)</t>
  </si>
  <si>
    <t>Praia da Física em Sta. Cruz. Associação ao clube da Faculdade de Ciências com tradição balnear.</t>
  </si>
  <si>
    <t>Praia Formosa de Torres Vedras. Extensa praia atlântica com dunas e boas condições de banho.</t>
  </si>
  <si>
    <t>Foz do Sizandro - Mar</t>
  </si>
  <si>
    <t>Praia da Foz do Sizandro. Embocadura do rio com surf e praia atlântica a sul de Sta. Cruz.</t>
  </si>
  <si>
    <t>Navio</t>
  </si>
  <si>
    <t>Praia do Navio em Torres Vedras. Areal atlântico com boas condições balneares na costa Oeste.</t>
  </si>
  <si>
    <t>Pisão (Sta. Cruz)</t>
  </si>
  <si>
    <t>Praia do Pisão em Sta. Cruz. Zona balnear com bom mar e serviços de apoio completos.</t>
  </si>
  <si>
    <t>Porto Novo</t>
  </si>
  <si>
    <t>Praia de Porto Novo. Foz do Rio Maceira com praia atlântica e fauna diversa.</t>
  </si>
  <si>
    <t>Santa Helena</t>
  </si>
  <si>
    <t>Praia de Santa Helena. Areal atlântico de Torres Vedras com ambiente tranquilo.</t>
  </si>
  <si>
    <t>Santa Rita Norte</t>
  </si>
  <si>
    <t>Praia de Santa Rita Norte. Extensa faixa de areia no litoral de Torres Vedras.</t>
  </si>
  <si>
    <t>Santa Rita Sul</t>
  </si>
  <si>
    <t>Praia de Santa Rita Sul. Continuação do areal de Santa Rita com boas condições atlânticas.</t>
  </si>
  <si>
    <t>Bostelim</t>
  </si>
  <si>
    <t>Praia fluvial do Bostelim. Rio Ocreza em Vila de Rei com natureza serrana e águas limpas.</t>
  </si>
  <si>
    <t>Fernandaires</t>
  </si>
  <si>
    <t>Praia fluvial de Fernandaires. Rio Ocreza em paisagem de xisto e pinheiro bravo.</t>
  </si>
  <si>
    <t xml:space="preserve">  🔵  AÇORES  ·  56 locais galardoados</t>
  </si>
  <si>
    <t>🏖  PRAIAS COM BANDEIRA AZUL  ·  Portugal  —  443 locais galardoados  |  Açores · Alentejo · Algarve · Centro · Lisboa · Madeira · Norte</t>
  </si>
  <si>
    <t>🌊  Açores (56)  ·  Alentejo (43)  ·  Algarve (87)  ·  Centro (55)  ·  Lisboa e Vale do Tejo (99)  ·  Madeira (29)  ·  Norte (86)  ·  Praias Marítimas, Piscinas Naturais, Praias Fluviais e Marinas</t>
  </si>
  <si>
    <t>Quinta do Bomfim</t>
  </si>
  <si>
    <t>+351 254 730 370 | quintadobomfim@symington.com</t>
  </si>
  <si>
    <t>Pinhão, 5085-060 Alijó</t>
  </si>
  <si>
    <t>Armazém de envelhecimento de 1896 com terraço panorâmico sobre o Douro. História da família Symington desde 1882.</t>
  </si>
  <si>
    <t>Quinta da Roêda (Croft)</t>
  </si>
  <si>
    <t>Quinta da Roêda, 5085-016 Pinhão</t>
  </si>
  <si>
    <t>Vinho do Porto Vintage, Rosé Port</t>
  </si>
  <si>
    <t>Considerada a Joia do Douro pela Croft. Passeios entre vinhas antigas e provas de Porto Vintage e Rosé Port.</t>
  </si>
  <si>
    <t>+351 220 133 129 | visita.roeda@croft.pt</t>
  </si>
  <si>
    <t>Quinta de La Rosa</t>
  </si>
  <si>
    <t>Quinta de La Rosa, 5085-215 Pinhão</t>
  </si>
  <si>
    <t>Adega familiar onde o vinho desce por gravidade dos lagares até às barricas. Experiência autêntica à beira-rio no Pinhão.</t>
  </si>
  <si>
    <t>+351 254 732 254 | bookings@quintadelarosa.com</t>
  </si>
  <si>
    <t>Quinta dos Murças</t>
  </si>
  <si>
    <t>Quinta dos Murças, 5050-458 Covas do Douro</t>
  </si>
  <si>
    <t>Vinhos do Douro, Biodiversidade</t>
  </si>
  <si>
    <t>Primeira quinta a plantar vinhas em linha vertical no Douro. Foco na biodiversidade e sustentabilidade.</t>
  </si>
  <si>
    <t>+351 254 732 121 | info@quintadosmurças.pt</t>
  </si>
  <si>
    <t>Quinta da Bacalhôa</t>
  </si>
  <si>
    <t>EN 10, 2925-483 Vila Nogueira de Azeitão</t>
  </si>
  <si>
    <t>Vinhos de Setúbal, Arte Renascentista</t>
  </si>
  <si>
    <t>Palácio renascentista com coleção de arte do séc. XV e XVI. Adegas históricas onde estagiam vinhos de prestígio em azulejos.</t>
  </si>
  <si>
    <t>+351 212 198 060 | visitas@bacalhoa.pt</t>
  </si>
  <si>
    <t>Adega Mãe</t>
  </si>
  <si>
    <t>Estrada Municipal 554, 2565-841 Torres Vedras</t>
  </si>
  <si>
    <t>Vinhos de Lisboa Atlânticos</t>
  </si>
  <si>
    <t>Adega contemporânea focada na mineralidade atlântica. Restaurante de referência e visitas técnicas à produção.</t>
  </si>
  <si>
    <t>+351 261 950 100 | info@adegamae.pt</t>
  </si>
  <si>
    <t>Adega Regional de Colares</t>
  </si>
  <si>
    <t>Vinho de Areia, Casta Ramisco</t>
  </si>
  <si>
    <t>Uma das cooperativas mais antigas de Portugal. Vinhas em areia livre de filoxera em Sintra — únicas no mundo que sobreviveram.</t>
  </si>
  <si>
    <t>+351 219 291 210 | geral@arcolares.com</t>
  </si>
  <si>
    <t>Estrada Nacional 121, 7940-909 Cuba</t>
  </si>
  <si>
    <t>Vinho, Vinho de Talha Ancestral</t>
  </si>
  <si>
    <t>Famosa pela recuperação e certificação do vinho de talha em ânforas de barro. Design vanguardista e forte identidade alentejana.</t>
  </si>
  <si>
    <t>+351 284 415 180 | info@herdadedorocim.com</t>
  </si>
  <si>
    <t>Adega Cartuxa</t>
  </si>
  <si>
    <t>Quinta de Valbom, 7000-654 Évora</t>
  </si>
  <si>
    <t>Vinho Pêra-Manca, Vinho do Anfiteatro, Azeite</t>
  </si>
  <si>
    <t>Instalada num antigo edifício jesuíta da Fundação Eugénio de Almeida. Berço do mítico Pêra-Manca — o vinho de culto do Alentejo.</t>
  </si>
  <si>
    <t xml:space="preserve">  🟦  NORTE  ·  34 entradas</t>
  </si>
  <si>
    <t xml:space="preserve">  🟨  CENTRO  ·  33 entradas</t>
  </si>
  <si>
    <t xml:space="preserve">  🟧  ALENTEJO  ·  32 entradas</t>
  </si>
  <si>
    <t>🍇  AGROTURISMO E ENOTURISMO  —  189 entradas</t>
  </si>
  <si>
    <t>🍇  189 entradas  ·  Portugal Vivo</t>
  </si>
  <si>
    <t>Visita / Acesso</t>
  </si>
  <si>
    <t>Largo do Tabolado, 5400-240 Chaves</t>
  </si>
  <si>
    <t>Parque de Vidago, 5425-307 Vidago</t>
  </si>
  <si>
    <t>Parque Pedras Salgadas, 5460-101 Pedras Salgadas</t>
  </si>
  <si>
    <t>Av. Manuel Francisco da Costa, 4845-072 Gerês</t>
  </si>
  <si>
    <t>Parque do Peso, 4960-370 Melgaço</t>
  </si>
  <si>
    <t>R. Dr. Abílio Torres 130, 4810-272 Vizela</t>
  </si>
  <si>
    <t>Av. das Termas, 4950-250 Monção</t>
  </si>
  <si>
    <t>Largo das Caldas, 5085-201 Caldas de Moledo, Peso da Régua</t>
  </si>
  <si>
    <t>Lugar das Termas, 5460-030 Carvalhelhos, Boticas</t>
  </si>
  <si>
    <t>Rua das Termas, 4560-572 S. Vicente, Penafiel</t>
  </si>
  <si>
    <t>Parque das Taipas, 4800-581 Caldas das Taipas, Guimarães</t>
  </si>
  <si>
    <t>R. das Termas, 4600-679 Amarante</t>
  </si>
  <si>
    <t>Av. Dr. João Meireles, 4720-407 Caldelas, Amares</t>
  </si>
  <si>
    <t>Lugar do Carlão, 5070-031 Carlão, Alijó</t>
  </si>
  <si>
    <t>Lugar do Eirogo, 4750-803 Eirogo, Barcelos</t>
  </si>
  <si>
    <t>Entre-os-Rios, 4575-195 Penafiel</t>
  </si>
  <si>
    <t>Caldas da Saúde, 4780-361 Santo Tirso</t>
  </si>
  <si>
    <t>Rua das Termas, 4630-280 Marco de Canaveses</t>
  </si>
  <si>
    <t>Lugar Fonte Vila, 5200-500 Mogadouro</t>
  </si>
  <si>
    <t>Lugar de S. Lourenço, 5300-912 Carrazeda de Ansiães</t>
  </si>
  <si>
    <t>Longroiva, 6430-041 Mêda</t>
  </si>
  <si>
    <t>Lugar das Termas, 4850-820 Moimenta, Terras de Bouro</t>
  </si>
  <si>
    <t>Lugar da Presegueda, 5050-301 Peso da Régua</t>
  </si>
  <si>
    <t>Lugar do Vidoeiro, 4845-050 Gerês, Parque Nacional Peneda-Gerês</t>
  </si>
  <si>
    <t>Caldas de Moledo, 5085-201 Peso da Régua</t>
  </si>
  <si>
    <t>Largo Manuel de Arriaga, 3660-692 Várzea, S. Pedro do Sul</t>
  </si>
  <si>
    <t>R. Dr. José Cid de Oliveira, 3050-224 Luso, Mealhada</t>
  </si>
  <si>
    <t>Monfortinho, 6060-072 Idanha-a-Nova</t>
  </si>
  <si>
    <t>R. das Termas, 3780-541 Curia, Anadia</t>
  </si>
  <si>
    <t>Rua Cândido Madureira, 6215-044 Unhais da Serra, Covilhã</t>
  </si>
  <si>
    <t>Rua das Termas, 3530-141 Alcafache, Viseu</t>
  </si>
  <si>
    <t>Caldas de S. Jorge, 3740-330 Sta. Maria da Feira</t>
  </si>
  <si>
    <t>Rua 1º de Dezembro, 6260-200 Manteigas</t>
  </si>
  <si>
    <t>Lugar da Ladeira, 6120-130 Envendos, Mação</t>
  </si>
  <si>
    <t>Rua das Termas, 3460-706 Sangemil, Tondela</t>
  </si>
  <si>
    <t>Estrada das Termas, 3130-079 Bicanho, Soure</t>
  </si>
  <si>
    <t>Lugar das Caldas, 3130-021 Amieira, Soure</t>
  </si>
  <si>
    <t>Lugar da Felgueira, 3520-157 Nelas</t>
  </si>
  <si>
    <t>Av. Prof. Dr. Sousa Martins, 2425-401 Monte Real, Leiria</t>
  </si>
  <si>
    <t>Cró, 6320-081 Sabugal</t>
  </si>
  <si>
    <t>V. N. de Anços, 3060-052 Soure</t>
  </si>
  <si>
    <t>Oliveira do Hospital, 3400-000 Oliveira do Hospital</t>
  </si>
  <si>
    <t>Rua das Termas, 2460-676 Piedade, Alcobaça</t>
  </si>
  <si>
    <t>Fonte Santa, 6350-011 Almeida</t>
  </si>
  <si>
    <t>Estrada de Portalegre, 7320-012 Castelo de Vide</t>
  </si>
  <si>
    <t>Vale Cavalos, 2150-073 Golegã</t>
  </si>
  <si>
    <t>Rua das Nascentes, 2380-400 Alviela, Alcanena</t>
  </si>
  <si>
    <t>Fadagosa, 6050-082 Nisa</t>
  </si>
  <si>
    <t>Juncatão, 6370-152 Fornos de Algodres</t>
  </si>
  <si>
    <t>Alcongosta, 6230-051 Fundão</t>
  </si>
  <si>
    <t>Cavaca, 3670-313 Aguiar da Beira</t>
  </si>
  <si>
    <t>Sortelha, 6320-536 Sabugal</t>
  </si>
  <si>
    <t>Lugar da Ega, 3150-131 Condeixa-a-Nova</t>
  </si>
  <si>
    <t>Galega, 2140-155 Chamusca</t>
  </si>
  <si>
    <t>Largo Rainha D. Leonor, 2500-162 Caldas da Rainha</t>
  </si>
  <si>
    <t>Praia do Vimeiro, 2560-046 Torres Vedras</t>
  </si>
  <si>
    <t>Av. Clotilde 7, 2765-225 Estoril, Cascais</t>
  </si>
  <si>
    <t>Beco do Marquês de Aguilar, 1100-001 Lisboa (Alfama)</t>
  </si>
  <si>
    <t>Estrada de Caneças, 2675-301 Caneças, Odivelas</t>
  </si>
  <si>
    <t>Cucas, 2560-421 Torres Vedras</t>
  </si>
  <si>
    <t>Cabeço de Vide, 7460-107 Fronteira</t>
  </si>
  <si>
    <t>Estrada de Nisa, 6030-208 Nisa</t>
  </si>
  <si>
    <t>Rua do Banho, 8550-257 Caldas de Monchique</t>
  </si>
  <si>
    <t>R. Pescadores, 8200-592 Olhos de Água, Albufeira</t>
  </si>
  <si>
    <t>Rua Miguel Corvo, 9675-061 Furnas, São Miguel, Açores</t>
  </si>
  <si>
    <t>Rua dos Moinhos 2, 9675-044 Furnas, São Miguel, Açores</t>
  </si>
  <si>
    <t>Ponta da Ferraria, 9555-315 Ginetes, São Miguel, Açores</t>
  </si>
  <si>
    <t>Caldeira Velha, 9600-001 Ribeira Grande, São Miguel, Açores</t>
  </si>
  <si>
    <t>Caldeiras, 9600-034 Ribeira Grande, São Miguel, Açores</t>
  </si>
  <si>
    <t>Furnas, 9675-068 São Miguel, Açores</t>
  </si>
  <si>
    <t>Lombadas, 9600-120 São Miguel, Açores</t>
  </si>
  <si>
    <t>Varadouro, 9901-012 Faial, Açores</t>
  </si>
  <si>
    <t>Carapacho, 9880-172 Graciosa, Açores</t>
  </si>
  <si>
    <t>Furna do Enxofre, 9880-052 Graciosa, Açores</t>
  </si>
  <si>
    <t>S. Roque do Pico, 9940-328 Pico, Açores</t>
  </si>
  <si>
    <t>S. Vicente Ferreira, 9560-202 São Miguel, Açores</t>
  </si>
  <si>
    <t>Av. Vieira de Castro, 9400-281 Porto Santo, Madeira</t>
  </si>
  <si>
    <t>Fonte Areia, 9400-043 Porto Santo, Madeira</t>
  </si>
  <si>
    <t>Poço do Bacalhau, 9270-062 Fajã da Ovelha, Madeira</t>
  </si>
  <si>
    <t>Frente Ribeirinha, 2870-355 Montijo</t>
  </si>
  <si>
    <t>Largo do Descarregador 1, 2860-035 Alhos Vedros, Moita</t>
  </si>
  <si>
    <t>Lugar de Montedor, Carreço, 4935-205 Viana do Castelo</t>
  </si>
  <si>
    <t>Serra da Atalhada, 3360-454 Penacova</t>
  </si>
  <si>
    <t>Ponta do Alburrica, 2830-401 Barreiro</t>
  </si>
  <si>
    <t>R. dos Almocreves, Cunhas, 3080-380 Figueira da Foz</t>
  </si>
  <si>
    <t>Lugar de Góis, 3330-001 Góis, Coimbra</t>
  </si>
  <si>
    <t>Aldeia de Moimenta da Raia, 5320-311 Vinhais</t>
  </si>
  <si>
    <t>Serra da Portela, Pousaflores, 3240-532 Ansião</t>
  </si>
  <si>
    <t>Largo do Moinho, 7540-209 Santiago do Cacém</t>
  </si>
  <si>
    <t>Geoparque Algarvensis, 8365-024 Alte, Loulé</t>
  </si>
  <si>
    <t>Entrevinhas, 2200-113 Sardoal</t>
  </si>
  <si>
    <t>Lograssol, 3050-261 Mealhada</t>
  </si>
  <si>
    <t>Largo do Moinho, 6050-369 Nisa</t>
  </si>
  <si>
    <t>Monte do Trigo, 7150-249 Portel</t>
  </si>
  <si>
    <t>Sapal de Alcácer, 7580-129 Alcácer do Sal</t>
  </si>
  <si>
    <t>Monte Faia, 7600-223 Aljustrel</t>
  </si>
  <si>
    <t>Benaciate, 7570-211 Grândola</t>
  </si>
  <si>
    <t>Lugar de Lemos, 4750-560 Barcelos</t>
  </si>
  <si>
    <t>Rio Olo, 4880-073 Mondim de Basto, Parque Natural Alvão</t>
  </si>
  <si>
    <t>Abação, 4835-001 Guimarães</t>
  </si>
  <si>
    <t>Caldas do Moledo, 5085-201 Peso da Régua</t>
  </si>
  <si>
    <t>Foz do Rio Cávado, 4740-236 Esposende</t>
  </si>
  <si>
    <t>Portela, 5400-741 Chaves</t>
  </si>
  <si>
    <t>Lugar do Espirro, Vila Verde, 4730-801 Braga</t>
  </si>
  <si>
    <t>Lagoa, 9560-067 São Miguel, Açores</t>
  </si>
  <si>
    <t>Feteira, 9900-340 Faial, Açores</t>
  </si>
  <si>
    <t>Lombo dos Carros, 9230-076 Santana, Madeira</t>
  </si>
  <si>
    <t>Ribeira da Ponta, 9200-069 Machico, Madeira</t>
  </si>
  <si>
    <t>Moinho de maré do séc. XVIII junto ao Tejo, com rodas hidráulicas ainda visíveis. Um dos poucos exemplares preservados do estuário do Tejo, testemunho do antigo engenho de maré do Montijo.</t>
  </si>
  <si>
    <t>Moinho de maré de grande porte em alvenaria de pedra, junto ao estuário do Sado. Rodas e comportas hidráulicas preservadas num dos conjuntos molinológicos mais completos da Península de Setúbal.</t>
  </si>
  <si>
    <t>Conjunto de moinhos de vento em alvenaria de granito no promontório de Montedor, sobre o mar. Vistas sobre o Atlântico e a costa do Alto Minho; estruturas cilíndricas com capelo rotativo visíveis.</t>
  </si>
  <si>
    <t>Alinhamento de moinhos de vento na cumeada da Serra da Atalhada, em xisto e granito. Panorama sobre o vale do Mondego; acesso a pé por trilho sinalizado. Eventos molinológicos anuais.</t>
  </si>
  <si>
    <t>Moinho de vento em torre de pedra na Ponta do Alburrica, com vista sobre o estuário do Tejo. Restaurado pela Câmara do Barreiro; visitas mensais com demonstração do mecanismo de moagem.</t>
  </si>
  <si>
    <t>Núcleo museológico com seis moinhos de água restaurados, junto ao rio Mondego. Equipamento original preservado — rodas de palhetas, mós e engrenagens em funcionamento. Acesso por percurso pedestre.</t>
  </si>
  <si>
    <t>Azenha em xisto sobre o rio Ceira, com rodas de colher e canal de rego histórico. Uma das azenhas melhor preservadas do interior de Coimbra, visível do trilho ribeirinho.</t>
  </si>
  <si>
    <t>Moinho de água em granito na aldeia de Moimenta da Raia, com mó movida pelo ribeiro local. Demonstrações de moagem em fins de semana; parte de percurso molinológico do Parque Natural de Montesinho.</t>
  </si>
  <si>
    <t>Conjunto de moinhos de vento de torre na cumeada da Serra da Portela, com capéus cónicos de colmo. Abertura ao público aos domingos; demonstração do processo de moagem de cereal.</t>
  </si>
  <si>
    <t>Moinho de vento de torre cilíndrica em alvenaria, com pás de lona restauradas. Localizado no Museu Rural da Quintinha, com demonstrações de moagem e artesanato local do Alentejo Litoral.</t>
  </si>
  <si>
    <t>Azenha de pedra junto à ribeira, inserida no Geoparque Algarvensis. Rodas hidráulicas e canal visíveis; contexto geológico único do calcário algarvio com fósseis expostos nas paredes.</t>
  </si>
  <si>
    <t>Moinho de vento do séc. XIX em Entrevinhas, integrado em núcleo museológico sobre tradições agrícolas do Ribatejo. Mecanismo de moagem restaurado com mó original em pedra de granito.</t>
  </si>
  <si>
    <t>Moinho de vento em pedra calcária com telhado rotativo em madeira, na encosta da Mealhada. Restaurado e aberto para visitas mediante marcação; envolvente de vinha e olival.</t>
  </si>
  <si>
    <t>Moinho de vento de torre cilíndrica no centro histórico de Nisa, com capéu e pás restauradas. Aberto ao público com horário definido; exposição sobre a molinologia do Alto Alentejo.</t>
  </si>
  <si>
    <t>Moinho de água em xisto sobre ribeira, integrado na herdade de Monte do Trigo. Estrutura hidráulica preservada com comportas e aliviadeiro originais; acesso exterior livre.</t>
  </si>
  <si>
    <t>Conjunto de moinhos de maré em alvenaria no sapal do Sado, junto a Alcácer do Sal. Estruturas de pedra com comportas e câmaras de acumulação ainda visíveis na maré baixa.</t>
  </si>
  <si>
    <t>Moinho de vento em torre de pedra calcária no Monte Faia, com silhueta característica do Baixo Alentejo. Estrutura exterior preservada; envolvente de planície cerealifeira.</t>
  </si>
  <si>
    <t>Azenha sobre ribeira em Benaciate, com rodas hidráulicas parcialmente restauradas. Uma das poucas azenhas preservadas no sotavento algarvio, junto ao sapal da Comporta.</t>
  </si>
  <si>
    <t>Moinho de vento de alvenaria de granito no Lugar de Lemos, com pás restauradas. Parte do acervo molinológico do Minho; visível da estrada municipal com acesso exterior.</t>
  </si>
  <si>
    <t>Conjunto de moinhos de água ao longo do Rio Olo, no Parque Natural do Alvão. Mós e rodas de colher em granito preservadas; percurso pedestre entre moinhos com levadas históricas.</t>
  </si>
  <si>
    <t>Moinho de vento de torre em granito em Abação, com capéu e mecanismo parcialmente conservados. Integrado na rota molinológica do Minho; vista sobre o vale do Ave.</t>
  </si>
  <si>
    <t>Azenha sobre ribeira nas Caldas do Moledo, com rodas e mó visíveis. Contexto vinhateiro do Douro; acesso por trilho junto à linha férrea do Douro.</t>
  </si>
  <si>
    <t>Moinho de maré na foz do Rio Cávado, com planta quadrangular e comportas hidráulicas visíveis. Um dos raros exemplares de moinho de maré do litoral norte português.</t>
  </si>
  <si>
    <t>Azenha em granito sobre ribeiro afluente do Tâmega, em Portela. Estrutura completa com canal, mó e roda de colher preservadas; parte de percurso de turismo rural.</t>
  </si>
  <si>
    <t>Moinho de água em granito sobre rio, em Vila Verde. Mecanismo hidráulico original com roda de palhetão e mó de granito; integrado em percurso pedestre do vale do Homem.</t>
  </si>
  <si>
    <t>Moinho de vento de torre cilíndrica em basalto negro na vila de Lagoa, São Miguel. Um dos poucos moinhos de vento preservados dos Açores; integrado no núcleo histórico da vila.</t>
  </si>
  <si>
    <t>Moinho de vento em basalto sobre a falésia da Feteira, no Faial. Estrutura cilíndrica com capéu cónico preservado; vista sobre o canal Faial-Pico e o vulcão do Pico.</t>
  </si>
  <si>
    <t>Azenha em pedra basáltica na Levada dos Carros, em Santana. Movida pelas águas da levada histórica da Madeira; integrada no percurso de levada com floresta laurissilva envolvente.</t>
  </si>
  <si>
    <t>Moinho de água sobre a Ribeira da Ponta, em Machico. Estrutura em basalto com comportas e canal originais; uma das poucas azenhas preservadas do litoral sul da Madeira.</t>
  </si>
  <si>
    <t>Ter e Qui 14h-17h30; Sáb-Dom 14h30-18h00</t>
  </si>
  <si>
    <t>Por marcação prévia (+351 212 064 130)</t>
  </si>
  <si>
    <t>Abr-Out: Sáb-Dom 10h-13h; Jul-Set: diariamente</t>
  </si>
  <si>
    <t>Livre (exterior); eventos molinológicos em Abr</t>
  </si>
  <si>
    <t>1º Sáb do mês 15h-18h (marcação obrigatória)</t>
  </si>
  <si>
    <t>Seg-Sex 09h30-17h00; encerra agosto</t>
  </si>
  <si>
    <t>Livre (exterior todo o ano)</t>
  </si>
  <si>
    <t>Fins de semana e eventos molinológicos (Abr)</t>
  </si>
  <si>
    <t>Dom 14h-17h (abr-out); eventos molinológicos</t>
  </si>
  <si>
    <t>Seg-Dom 10h-18h (museu); exterior livre</t>
  </si>
  <si>
    <t>Livre todo o ano (acesso exterior)</t>
  </si>
  <si>
    <t>Núcleo museológico; marcação: CM Sardoal</t>
  </si>
  <si>
    <t>Sob marcação prévia</t>
  </si>
  <si>
    <t>Seg-Sex 9h-13h / 14h-18h (entrada livre)</t>
  </si>
  <si>
    <t>Exterior livre; herdade com marcação prévia</t>
  </si>
  <si>
    <t>Exterior livre (acesso a pé pelo sapal)</t>
  </si>
  <si>
    <t>Jun-Set: Ter-Dom 9h-18h (PN Alvão)</t>
  </si>
  <si>
    <t>Mai-Out: Ter-Dom 10h-17h</t>
  </si>
  <si>
    <t>Exterior livre (acesso pela foz do Cávado)</t>
  </si>
  <si>
    <t>Visível no percurso da levada (livre)</t>
  </si>
  <si>
    <t>Azenhas de D. Prior (CMIA)</t>
  </si>
  <si>
    <t>Ribeiro de S. Vicente, Meadela, 4900-856 Viana do Castelo</t>
  </si>
  <si>
    <t>Ter-Sex 09h-17h; Sáb-Dom 10h-18h (entrada livre)</t>
  </si>
  <si>
    <t>+351 258 809 340</t>
  </si>
  <si>
    <t>Moinho de maré do séc. XIX no limite da cidade, no CMIA de Viana do Castelo. Único exemplo em Portugal de serração hidráulica associada a moinho de maré. Com 8 pares de mós e turbinas hidráulicas — caso único na molinologia portuguesa.</t>
  </si>
  <si>
    <t>Moinho de Vento de Marinheiro (Carreço)</t>
  </si>
  <si>
    <t>Carreço, 4935-181 Viana do Castelo</t>
  </si>
  <si>
    <t>Abr-Out: fins de semana 10h-13h; Dia Nacional Moinhos (7 Abr)</t>
  </si>
  <si>
    <t>CM Viana do Castelo +351 258 809 300</t>
  </si>
  <si>
    <t>Moinho de vento de granito em promontório junto ao mar, na aldeia de Carreço. Um dos três moinhos de vento restaurados da Serra de Montedor com vistas extraordinárias sobre o Atlântico. Aberto no Dia Nacional dos Moinhos.</t>
  </si>
  <si>
    <t>Azenha d'Almerinda (Alvarães)</t>
  </si>
  <si>
    <t>Alvarães, 4935-011 Viana do Castelo</t>
  </si>
  <si>
    <t>Abr-Out: fins de semana 10h-17h (entrada livre)</t>
  </si>
  <si>
    <t>Azenha de roda vertical em granito sobre ribeiro, em Alvarães. Mecanismo original preservado com mó, tremonha e roda de colher. Integrada na rota molinológica do concelho de Viana do Castelo.</t>
  </si>
  <si>
    <t>Moinho de Água do Inácio (Vila de Punhe)</t>
  </si>
  <si>
    <t>Vila de Punhe, 4905-480 Viana do Castelo</t>
  </si>
  <si>
    <t>Fins de semana Abr-Out 14h-17h; visita com degustação de broa com mel</t>
  </si>
  <si>
    <t>Junta de Freguesia de Vila de Punhe</t>
  </si>
  <si>
    <t>Moinho de água de rodízio em pleno funcionamento, em Vila de Punhe. Visitas com demonstração de moagem e degustação de broa com mel. Um dos raros moinhos de rodízio ainda activo no Minho.</t>
  </si>
  <si>
    <t>Parque da Azenha e Moinho de Ouca (Vagos)</t>
  </si>
  <si>
    <t>Ouca, 3840-450 Vagos</t>
  </si>
  <si>
    <t>Livre (parque); visitas guiadas fins de semana Abr-Set</t>
  </si>
  <si>
    <t>CM Vagos +351 234 799 600</t>
  </si>
  <si>
    <t>Parque molinológico com azenha de roda vertical, moinho de água, fonte centenária e forno comunitário. Azenha com casal de mós em funcionamento; acesso por parque verde junto ao ribeiro.</t>
  </si>
  <si>
    <t>Moinho de Vento de Santo António (Vagos)</t>
  </si>
  <si>
    <t>Santo António de Vagos, 3840-301 Vagos</t>
  </si>
  <si>
    <t>Fins de semana 10h-17h; Dia Nacional Moinhos (7 Abr)</t>
  </si>
  <si>
    <t>Grupo Folclórico Santo António +351 234 799 600</t>
  </si>
  <si>
    <t>Único moinho de vento giratório de madeira tipo gandarês em funcionamento no distrito de Aveiro. Doado pelos proprietários ao Grupo Folclórico; demostrações de moagem com mecanismo completo original.</t>
  </si>
  <si>
    <t>Moinho de Maré de Corroios (Ecomuseu Seixal)</t>
  </si>
  <si>
    <t>Av. Combatentes de Grande Guerra, 2855-088 Corroios, Seixal</t>
  </si>
  <si>
    <t>Ter-Sáb 10h-18h; Dom 10h-17h (entrada livre)</t>
  </si>
  <si>
    <t>+351 212 183 370</t>
  </si>
  <si>
    <t>Moinho de maré de 1403, mandado edificar por Nuno Álvares Pereira. Imóvel de Interesse Público e núcleo do Ecomuseu Municipal do Seixal. Único em funcionamento no estuário do Tejo, com exposição permanente '600 Anos de Moagem'.</t>
  </si>
  <si>
    <t>Moinho de Maré Poente do Barreiro</t>
  </si>
  <si>
    <t>Av. Bento Gonçalves, 2830-001 Barreiro</t>
  </si>
  <si>
    <t>Exterior livre; visitas organizadas pelo Arquivo Municipal</t>
  </si>
  <si>
    <t>CM Barreiro +351 212 069 600</t>
  </si>
  <si>
    <t>Moinho de vento de tipologia tradicional portuguesa (2 pisos, torre fixa, cobertura móvel), edificado em 1852 junto à orla ribeirinha do Barreiro. Um dos quatro moinhos eólicos históricos preservados na Ponta do Alburrica.</t>
  </si>
  <si>
    <t>Moinho de Madeira das Boisias (Caldas da Rainha)</t>
  </si>
  <si>
    <t>Boisias, 2500-601 Caldas da Rainha</t>
  </si>
  <si>
    <t>Visitas guiadas com moleiro residente (marcação westsidestories.pt)</t>
  </si>
  <si>
    <t>+351 917 000 000</t>
  </si>
  <si>
    <t>Moinho de vento raro por ser inteiramente de madeira, numa região onde predominam os de alvenaria. Moleiro residente que recebe visitantes com pequeno-almoço rústico; um dos poucos moinhos de madeira ainda activos em Portugal.</t>
  </si>
  <si>
    <t>Moinhos da Pinhôa (Lourinhã)</t>
  </si>
  <si>
    <t>Moita dos Ferreiros, 2530-461 Lourinhã</t>
  </si>
  <si>
    <t>Visitas guiadas com moleiro (marcação prévia); Rota dos Moinhos do Oeste</t>
  </si>
  <si>
    <t>+351 261 099 000</t>
  </si>
  <si>
    <t>Conjunto de moinhos de vento no concelho com maior densidade de moinhos em Portugal. Moleiro residente guia visitas com demonstração de moagem. Contexto de planície litoral com panorama sobre a costa da Lourinhã.</t>
  </si>
  <si>
    <t>Moinhos da Serra de Montejunto (Cadaval)</t>
  </si>
  <si>
    <t>Serra de Montejunto, 2550-162 Cadaval</t>
  </si>
  <si>
    <t>Livre (exterior); acessível no percurso pedestre da Serra de Montejunto</t>
  </si>
  <si>
    <t>CM Cadaval +351 262 690 100</t>
  </si>
  <si>
    <t>Conjunto de moinhos de vento na cumeada da Serra de Montejunto, a 666m de altitude. Alguns em plenas condições de funcionamento; panoramas sobre o Oeste, o Tejo e a Serra dos Candeeiros. Parte da Rota dos Moinhos do Oeste.</t>
  </si>
  <si>
    <t>Moinhos de Vento de Albergaria-a-Velha</t>
  </si>
  <si>
    <t>Concelho de Albergaria-a-Velha, 3850-001 Albergaria-a-Velha</t>
  </si>
  <si>
    <t>Festival dos Moinhos (Abr); Rota molinológica concelhia</t>
  </si>
  <si>
    <t>CM Albergaria-a-Velha +351 234 520 600</t>
  </si>
  <si>
    <t>Albergaria-a-Velha é o concelho europeu com maior número de moinhos de água inventariados. Rota molinológica com dezenas de moinhos de rodízio ao longo dos ribeiros do concelho; Festival dos Moinhos em Abril.</t>
  </si>
  <si>
    <t>Azenhas do Boco (Vagos)</t>
  </si>
  <si>
    <t>Boco, 3840-351 Vagos</t>
  </si>
  <si>
    <t>Abr-Out: Sáb-Dom 10h-17h com degustação de broa</t>
  </si>
  <si>
    <t>Conjunto de azenhas históricas com registos desde 1453, originalmente aforadas do Convento de Jesus de Aveiro. A Azenha da Ti Luísa com roda vertical, casal de mós e casa de moleiros. Broa mimosa à moda antiga na visita.</t>
  </si>
  <si>
    <t>Moinho de Vento de Peniche (Estrada Óbidos)</t>
  </si>
  <si>
    <t>Estrada Óbidos-Peniche, 2520-001 Peniche</t>
  </si>
  <si>
    <t>Aberto para visita e compra de farinha; Rota dos Moinhos do Oeste</t>
  </si>
  <si>
    <t>+351 262 780 100</t>
  </si>
  <si>
    <t>Moinho de vento em plenas condições de funcionamento na antiga estrada Óbidos-Peniche. Processo de moagem visível e farinha produzida de forma tradicional disponível para compra. Um dos exemplares mais completos da Rota dos Moinhos do Oeste.</t>
  </si>
  <si>
    <t>Moinho dos Caixeiros — Torres Vedras</t>
  </si>
  <si>
    <t>Silveira, 2560-421 Torres Vedras</t>
  </si>
  <si>
    <t>Visitas e compra de pão artesanal; marcação prévia</t>
  </si>
  <si>
    <t>CM Torres Vedras +351 261 310 700</t>
  </si>
  <si>
    <t>Moinho de vento construído em 1836, em pleno funcionamento como local de moagem e fabrico de pão artesanal. Única padaria instalada num moinho histórico activo em Portugal. Pão disponível para compra na visita.</t>
  </si>
  <si>
    <t>Moinhos de Água de Odemira (Ribeira de Mira)</t>
  </si>
  <si>
    <t>Odemira, 7630-101 Odemira</t>
  </si>
  <si>
    <t>Abr-Out: Sáb 9h-17h; Dom 9h-16h (Câmara de Odemira)</t>
  </si>
  <si>
    <t>CM Odemira +351 283 321 700</t>
  </si>
  <si>
    <t>Conjunto de moinhos de água de rodízio dos séc. XVII e XVIII ao longo da Ribeira de Mira. Caminhada interpretativa de 4 km entre os moinhos dos Ameixiais de Cima e Ameixiais da Rocha. Funcionamento afectado por alterações climáticas.</t>
  </si>
  <si>
    <t>Moinho de Vento de Campo Maior</t>
  </si>
  <si>
    <t>Campo Maior, 7370-001 Campo Maior</t>
  </si>
  <si>
    <t>Exterior livre; integrado em percurso urbano</t>
  </si>
  <si>
    <t>CM Campo Maior +351 268 686 200</t>
  </si>
  <si>
    <t>Moinho de vento de torre cilíndrica em alvenaria, no cimo da colina de Campo Maior. Silhueta icónica sobre a planície alentejana fronteiriça com Espanha. Integrado em percurso patrimonial urbano da vila.</t>
  </si>
  <si>
    <t>Moinhos de Vento de Alcoutim</t>
  </si>
  <si>
    <t>Castro da Cola, 8970-051 Alcoutim</t>
  </si>
  <si>
    <t>Exterior livre; acesso por trilho rural</t>
  </si>
  <si>
    <t>CM Alcoutim +351 281 546 264</t>
  </si>
  <si>
    <t>Conjunto de moinhos de vento em calcário no alto dos montes do Barrocal de Alcoutim. Silhuetas únicas no interior algarvio, com vistas sobre o Guadiana e a serra espanhola. Um dos conjuntos molinológicos menos conhecidos do Algarve.</t>
  </si>
  <si>
    <t>Moinho de Vento de Silves</t>
  </si>
  <si>
    <t>Cerro, 8300-001 Silves</t>
  </si>
  <si>
    <t>Exterior livre; integrado em roteiro histórico de Silves</t>
  </si>
  <si>
    <t>CM Silves +351 282 440 800</t>
  </si>
  <si>
    <t>Moinho de vento em alvenaria de calcário no cerro de Silves, com vista sobre o castelo árabe e o vale do Arade. Restaurado exteriormente; integrado no percurso patrimonial do centro histórico de Silves.</t>
  </si>
  <si>
    <t>Moinho de Vento das Lajes (Pico)</t>
  </si>
  <si>
    <t>Lajes do Pico, 9930-158 Pico, Açores</t>
  </si>
  <si>
    <t>Exterior livre; integrado no centro histórico das Lajes</t>
  </si>
  <si>
    <t>CM Madalena +351 292 620 400</t>
  </si>
  <si>
    <t>Moinho de vento de basalto negro nas Lajes do Pico, junto ao museu dos baleeiros. Testemunho da tradição molinológica açoriana numa ilha de vinhas UNESCO. Contraste único entre basalto vulcânico e estrutura moageira.</t>
  </si>
  <si>
    <t>Moinho do Castelejo (Câmara de Lobos)</t>
  </si>
  <si>
    <t>Câmara de Lobos, 9300-001 Madeira</t>
  </si>
  <si>
    <t>Exterior livre; visível na Levada do Norte</t>
  </si>
  <si>
    <t>CM Câmara de Lobos +351 291 310 500</t>
  </si>
  <si>
    <t>Moinho de água integrado no percurso da Levada do Norte, em Câmara de Lobos. Alimentado pelas águas da levada histórica; estrutura em basalto com comportas e canal originais. Contexto da cultura de levadas da Madeira.</t>
  </si>
  <si>
    <t>⚙️  MOINHOS E AZENHAS DE PORTUGAL  —  50 entradas</t>
  </si>
  <si>
    <t>⚙️  50 entradas  ·  Portugal Vivo  ·  MOINHOS E AZENHAS</t>
  </si>
  <si>
    <t>R. Dom João de Castro 210, 4150-417 Porto</t>
  </si>
  <si>
    <t>R. da Aveleda 2, 4560-286 Penafiel</t>
  </si>
  <si>
    <t>Fundação Casa de Mateus, 5000-291 Vila Real</t>
  </si>
  <si>
    <t>R. da Cunha, Avintes, 4430-812 V. N. de Gaia</t>
  </si>
  <si>
    <t>EN 308-1, Portela do Homem, 4850-012 Terras de Bouro</t>
  </si>
  <si>
    <t>R. Morgado de Mateus, Quinta do Alão, 4450-072 Matosinhos</t>
  </si>
  <si>
    <t>R. de S. Roque da Lameira, 4300-430 Porto</t>
  </si>
  <si>
    <t>R. D. Manuel II, 4050-341 Porto</t>
  </si>
  <si>
    <t>Av. da Boavista 4611, 4100-139 Porto</t>
  </si>
  <si>
    <t>R. Alfredo Guimarães 101, 4810-283 Guimarães</t>
  </si>
  <si>
    <t>Av. Central, 4710-225 Braga</t>
  </si>
  <si>
    <t>Bom Jesus do Monte, 4715-056 Braga</t>
  </si>
  <si>
    <t>R. Dom Paio Mendes, 4700-411 Braga</t>
  </si>
  <si>
    <t>Parque de Lazer de Castelões, 4770-210 V. N. Famalicão</t>
  </si>
  <si>
    <t>Rua General Luís do Rego, 4900-487 Viana do Castelo</t>
  </si>
  <si>
    <t>Parque Dr. Manuel Braga, 3000-248 Coimbra</t>
  </si>
  <si>
    <t>Estrada de Casal, 3160-229 Lousada</t>
  </si>
  <si>
    <t>Campus do IPB, Av. D. Afonso V, 5300-253 Bragança</t>
  </si>
  <si>
    <t>Quinta de Prados, 5001-801 Vila Real</t>
  </si>
  <si>
    <t>Parque Nacional Peneda-Gerês, 4840-030 Terras de Bouro</t>
  </si>
  <si>
    <t>Mata do Buçaco, 3050-261 Luso, Mealhada</t>
  </si>
  <si>
    <t>Campia, 3680-058 Vouzela</t>
  </si>
  <si>
    <t>R. António Augusto Gonçalves, 3040-091 Coimbra</t>
  </si>
  <si>
    <t>R. Bartolomeu da Costa, 6000-266 Castelo Branco</t>
  </si>
  <si>
    <t>Cimeira, 6440-173 Figueira de Castelo Rodrigo</t>
  </si>
  <si>
    <t>Mata Nacional do Choupal, 3030-264 Coimbra</t>
  </si>
  <si>
    <t>EN 242, 2430-543 Marinha Grande</t>
  </si>
  <si>
    <t>R. do Paço 1, 3530-130 Mangualde</t>
  </si>
  <si>
    <t>Parque D. Carlos I, 2500-255 Caldas da Rainha</t>
  </si>
  <si>
    <t>R. João de Ruão 10, 3000-229 Coimbra</t>
  </si>
  <si>
    <t>R. Dr. Mário Sacramento, 3810-191 Aveiro</t>
  </si>
  <si>
    <t>Curia, 3780-541 Anadia</t>
  </si>
  <si>
    <t>Santar, 3520-131 Nelas</t>
  </si>
  <si>
    <t>R. Dr. Fortunato de Almeida, 6230-215 Fundão</t>
  </si>
  <si>
    <t>Alameda Pêro da Covilhã, 6200-506 Covilhã</t>
  </si>
  <si>
    <t>Cabanas de Viriato, 3560-036 Carregal do Sal</t>
  </si>
  <si>
    <t>Av. Capitão Silva Pereira, 3500-137 Viseu</t>
  </si>
  <si>
    <t>Mata Nacional de Leiria, 2430-018 Marinha Grande</t>
  </si>
  <si>
    <t>EN 327, S. Jacinto, 3800-257 Aveiro</t>
  </si>
  <si>
    <t>Estrada de Monserrate, 2710-405 Sintra</t>
  </si>
  <si>
    <t>Calçada da Ajuda 55, 1349-021 Lisboa</t>
  </si>
  <si>
    <t>Calçada das Necessidades 28, 1399-009 Lisboa</t>
  </si>
  <si>
    <t>Largo dos Jerónimos, 1400-201 Lisboa</t>
  </si>
  <si>
    <t>Portão do Coche, 2640-491 Mafra</t>
  </si>
  <si>
    <t>Parque da Liberdade, 2710-591 Sintra</t>
  </si>
  <si>
    <t>R. Barbosa du Bocage 5, 2710-567 Sintra</t>
  </si>
  <si>
    <t>R. do Jardim, 2745-191 Queluz</t>
  </si>
  <si>
    <t>R. da Cidadela, 2750-374 Cascais</t>
  </si>
  <si>
    <t>Rua Dr. Manuel Pereira Gomes, 2900-433 Setúbal</t>
  </si>
  <si>
    <t>EN 379-1, 2900-300 Setúbal</t>
  </si>
  <si>
    <t>Praça da Estrela, 1200-667 Lisboa</t>
  </si>
  <si>
    <t>R. da Escola Politécnica 58, 1250-102 Lisboa</t>
  </si>
  <si>
    <t>R. Alberto Ralha, 2784-533 Oeiras</t>
  </si>
  <si>
    <t>Tapada da Ajuda, 1349-017 Lisboa</t>
  </si>
  <si>
    <t>Praça 1º de Maio, 7000-650 Évora</t>
  </si>
  <si>
    <t>R. da República 26, 7800-406 Beja</t>
  </si>
  <si>
    <t>R. de Santa Clara, 7800-488 Beja</t>
  </si>
  <si>
    <t>Aldeia da Serra, 7170-120 Redondo</t>
  </si>
  <si>
    <t>Tapada do Outeiro, 7440-909 Alter do Chão</t>
  </si>
  <si>
    <t>R. de Santa Maria 11, 7320-101 Castelo de Vide</t>
  </si>
  <si>
    <t>Salir, 8100-266 Loulé</t>
  </si>
  <si>
    <t>Campus da Penha, R. da Penha 22, 8005-139 Faro</t>
  </si>
  <si>
    <t>Mata Nacional de VRSA, 8900-415 Vila Real de Santo António</t>
  </si>
  <si>
    <t>Herdade da Fonte do Bispo, 7780-001 Castro Verde</t>
  </si>
  <si>
    <t>R. José do Canto 22, 9500-354 Ponta Delgada</t>
  </si>
  <si>
    <t>R. Padre José Jacinto Botelho, 9675-061 Furnas</t>
  </si>
  <si>
    <t>R. Direita, 9700-050 Angra do Heroísmo</t>
  </si>
  <si>
    <t>Quinta de S. Lourenço, 9900-187 Horta</t>
  </si>
  <si>
    <t>Serreta, 9760-501 Angra do Heroísmo, Terceira</t>
  </si>
  <si>
    <t>Av. Infante D. Henrique, 9700-085 Angra do Heroísmo</t>
  </si>
  <si>
    <t>Parque Municipal, 9970-328 Santa Cruz das Flores</t>
  </si>
  <si>
    <t>Silveira, 9760-701 Praia da Vitória, Terceira</t>
  </si>
  <si>
    <t>Prainha, 9580-535 Vila do Porto, Santa Maria</t>
  </si>
  <si>
    <t>Av. Dr. Lopes Vieira, 9500-132 Ponta Delgada</t>
  </si>
  <si>
    <t>Lagoa do Fogo, 9560-301 S. Miguel</t>
  </si>
  <si>
    <t>R. de Machado, 9500-348 Ponta Delgada</t>
  </si>
  <si>
    <t>Caminho do Monte 174, 9050-288 Funchal</t>
  </si>
  <si>
    <t>Caminho do Meio, Bom Sucesso, 9064-512 Funchal</t>
  </si>
  <si>
    <t>R. da Boa Nova 32, 9050-031 Funchal</t>
  </si>
  <si>
    <t>R. Pita 2A, 9000-082 Funchal</t>
  </si>
  <si>
    <t>R. da Estalagem 23, 9060-415 Funchal</t>
  </si>
  <si>
    <t>Calçada do Pico 1, 9000-208 Funchal</t>
  </si>
  <si>
    <t>Av. do Infante, 9004-513 Funchal</t>
  </si>
  <si>
    <t>Av. Arriaga 10, 9000-060 Funchal</t>
  </si>
  <si>
    <t>Arco de S. Jorge, 9230-108 Santana</t>
  </si>
  <si>
    <t>R. de S. Francisco, 9100-159 Santa Cruz, Madeira</t>
  </si>
  <si>
    <t>Ribeiro Frio, 9230-034 Santana</t>
  </si>
  <si>
    <t>Posto Florestal do Fanal, 9400-350 Porto Moniz</t>
  </si>
  <si>
    <t xml:space="preserve">  🟦  AÇORES  ·  3 entradas</t>
  </si>
  <si>
    <t>Capital dos Açores. Base para Sete Cidades, Furnas e Nordeste. Arquipélago vulcânico atlântico.</t>
  </si>
  <si>
    <t>pousadasjuventude.pt</t>
  </si>
  <si>
    <t>Rua Bento de Jesus Caraça, 9700-073 Angra do Heroísmo</t>
  </si>
  <si>
    <t>Cidade Património Mundial UNESCO. Base para touradas à corda e Algar do Carvão.</t>
  </si>
  <si>
    <t>Porto das viagens atlânticas. Peter Café Sport com fotos de barcos de todo o mundo. Capelinhos e miradouros.</t>
  </si>
  <si>
    <t>🎒  47 entradas  ·  Portugal Vivo  ·  POUSADAS DE JUVENTUDE DE PORTUGAL</t>
  </si>
  <si>
    <t>🎒  POUSADAS DE JUVENTUDE  —  47 entradas</t>
  </si>
  <si>
    <t xml:space="preserve">  🟪  ILHAS  ·  4 entradas  ·  Madeira &amp; Açores</t>
  </si>
  <si>
    <t>14€ – 22€</t>
  </si>
  <si>
    <t>13€ – 20€</t>
  </si>
  <si>
    <t>15€ – 24€</t>
  </si>
  <si>
    <t>13€ – 19€</t>
  </si>
  <si>
    <t>16€ – 28€</t>
  </si>
  <si>
    <t>12€ – 17€</t>
  </si>
  <si>
    <t>13€ – 22€</t>
  </si>
  <si>
    <t>14€ – 24€</t>
  </si>
  <si>
    <t>13€ – 21€</t>
  </si>
  <si>
    <t>🗺 Rota no Maps (pontos)</t>
  </si>
  <si>
    <t>🗺️  ROTAS TEMÁTICAS DE PORTUGAL  —  174 entradas</t>
  </si>
  <si>
    <t>🗺 Trilho no Maps (pontos)</t>
  </si>
  <si>
    <t>📍 POIs: Portela do Homem (marco da Geira Romana) · Campo do Gerês · Caldas do Gerês (termas) · Vilar da Veiga (espigueiros) · Covide · Ermida de São Bento · Aldeias de brandas e inverneiras medievais · Único Parque Nacional de Portugal · Carvalhos-alvarhinhos e garrano selvagem</t>
  </si>
  <si>
    <t>📍 POIs: Planalto granítico da Calcedónia · Moinhos de pedra medievais do Rio Homem · Piscina natural do Rio Homem · Carvalhos milenares · Lenda da Cidade da Calcedónia · Afloramentos de granito pré-câmbrico · Fauna de Lobo Ibérico e garrano</t>
  </si>
  <si>
    <t>📍 POIs: Castelo medieval de Gerês (séc. XII) · Muralha romana via XVII Geira · Ruínas das Termas Romanas do séc. I · Miradouro sobre o Rio Caldo · Albufeira da Caniçada · Vegetação de carvalho-alvarinho e pinheiro-bravo</t>
  </si>
  <si>
    <t>📍 POIs: Currais de vezeira medievais (pastoreio comunitário único em Portugal) · Planaltos de altitude do Gerês · Garranos selvagens (raça equina autóctone) · Habitat de Lobo Ibérico · Brandas de altitude com pastores sazonais · Granito e urzal</t>
  </si>
  <si>
    <t>📍 POIs: Moinhos de água do séc. XVII em fileira · Sistema de regadios tradicionais de Vilar da Veiga · Açudes e levadas históricas · Lontra e garça-real nos ribeiros · Azenhas restauradas · Piscinas naturais de xisto e granito</t>
  </si>
  <si>
    <t>📍 POIs: Habitat de Águia-Real (Aquila chrysaetos) · Pinheiros bravos seculares · Carvalhos-alvarhinhos · Miradouro sobre o Vale do Homem · Planalto do Gerês a 1000m · Sarilhão (zona de observação de rapinas) · Corredeiras do Rio Homem</t>
  </si>
  <si>
    <t>📍 POIs: Série de miradouros panorâmicos · Rio Caldo em garganta profunda · Albufeira da Caniçada (espelho de água) · Granitos polidos glaciares · Serra do Gerês ao entardecer · Vegetação de azevinho e loendro endémico</t>
  </si>
  <si>
    <t>📍 POIs: Couto de São Bento da Porta Aberta (séc. XVII) · Capelas barrocas entre carvalhos · Nascentes de água ferruginosa (teor de ferro elevado) · Berço espiritual do Gerês · Mosteiro de São Bento · Floresta de carvalho e vidoeiro</t>
  </si>
  <si>
    <t>📍 POIs: Aldeia de Souto com espigueiros centenários medievais · Brandas de altitude do Gerês · Prados de cervum-vulgaris · Habitação sazonal de pastores (brandas/inverneiras) · Lontra no Rio do Souto · Fauna de roedores e rapinas</t>
  </si>
  <si>
    <t>📍 POIs: Via Romana XVII Geira (estrada militar de 2000 anos) · Miliários romanos in situ · Calçada original de granito · Passagem entre Bracara Augusta e Asturica Augusta · Marcadores de milhas romanos · Marco de Santa Comba · Puente do Homem (fronteira hispano-lusitana)</t>
  </si>
  <si>
    <t>📍 POIs: Penhascos de granito em formas escultóricas · Vidoeiros (Betula celtiberica) · Azevinho (Ilex aquifolium) endémico · Teixo e lírio-do-Gerês · Ribeiro com fauna piscícola · Paisagem glaciar de altitude · Piscinas naturais de água fria</t>
  </si>
  <si>
    <t>📍 POIs: Silhas de abelhas medievais nas fragas de granito · Mel do Gerês DOP (denominação de origem protegida) · Colmeias tradicionais em socalcos de pedra · Espigueiros de xisto · Planaltos de altitude com urze branca · Produtores locais de mel orgânico</t>
  </si>
  <si>
    <t>📍 POIs: Fileira de moinhos medievais de água de Santa Isabel · Caldeiras de granito naturais · Quedas de água em cascata · Levada de rega do séc. XVIII em funcionamento · Azenhas com mecanismo original · Ribeiro com flora ripícola de salix e freixo</t>
  </si>
  <si>
    <t>📍 POIs: Albufeira da Caniçada (espelho de água com 34km²) · Veado e corço na galeria ripícola · Aldeia submersa da Caniçada (visível em seca) · Granitos polidos pelo glaciar · Observação de garça-real e lontra · Espelhos de água entre mámores</t>
  </si>
  <si>
    <t>📍 POIs: Sobreiral único do Alto Gerês (Quercus suber em montanha) · Ermida de calcário branco no bosque denso · Ribeiro selvagem de granito · Rio Gerês em caudal natural · Fauna de bordão-de-pescador e garça-cinzenta · Floresta ripícola densa</t>
  </si>
  <si>
    <t>📍 POIs: Branda de Altitude de Lindoso (séc. XIII) · Espigueiros medievais de Lindoso (os mais bem preservados da Península Ibérica) · Castro de Lindoso do séc. X · Miradouro sobre o Vale do Lima · Lima International Park · Fronteira com Espanha</t>
  </si>
  <si>
    <t>📍 POIs: Brandas do Sistelo (terraços de cultivo medieval suspensos) · Sistelo (pequeno Tibet português) · Socalcos vertiginosos sobre o Rio Vez · Granito antigo com musgo · Paisagem eleita uma das mais belas de Portugal · Agro-turismo activo</t>
  </si>
  <si>
    <t>📍 POIs: Santuário de Nossa Senhora da Peneda (séc. XVIII) · Romaria bianual de agosto · Granito e névoa montanhosa · Corça e garrano ibérico na descida · Vale do Lima · Lago de Lindoso · Castro de Laboreiro · Espigueiros medievais</t>
  </si>
  <si>
    <t>📍 POIs: Urzal e cultivo de centeno de montanha · Eira e mó para trilhar cereais · Garranos nos prados de altitude · Cheiro a urze queimada (gestão de pastagem tradicional) · Aldeia de brandas com forno comunitário · Paisagem de transumância</t>
  </si>
  <si>
    <t>📍 POIs: Planalto megalítico de Castro Laboreiro · Antas neolíticas (4000-3000 a.C.) · Mamoas funerárias do Calcolítico · Menhires isolados · Castro Laboreiro (aldeia medieval) · Paisagem granítica mais arcaica do noroeste ibérico · Cão de Castro Laboreiro (raça autóctone)</t>
  </si>
  <si>
    <t>📍 POIs: Castro Laboreiro (aldeia de granito) · Cão de Castro Laboreiro (raça autóctone em fase de recuperação) · Castros celtas medievais · Espigueiros e eiras medievais · Rota dos pastores serranos · Lima International Park</t>
  </si>
  <si>
    <t>📍 POIs: Moinhos medievais de água em fileira (Parada) · Ponte de pedra romana · Espigueiros medievais alinhados junto ao adro · Forno comunitário da aldeia · Eira de pedra · Vida agrária da Beira Transmontana intacta</t>
  </si>
  <si>
    <t>📍 POIs: Vale do Leiranco em granito e xisto · Cascata do Leiranco · Planalto de Montalegre (900m) · Vistas para a Galiza · Aldeia de xisto semi-abandonada · Fauna de lontra e cegonha-preta · Ribeiro limpo de montanha</t>
  </si>
  <si>
    <t>📍 POIs: Rota histórica dos passadores da fronteira (séc. XVIII-XX) · Aldeias fronteiriças de xisto transmontano · Caminhos clandestinos entre Portugal e Espanha · Granito e xisto em paisagem de montanha · Parque Natural de Montesinho · Fauna de javali e corço</t>
  </si>
  <si>
    <t>📍 POIs: Castro de Avelãs (mosteiro beneditino do séc. XII) · Único claustro absidal românico de Portugal · Ruínas do maior mosteiro beneditino de Trás-os-Montes · Capitéis decorados com bestiário medieval · Torre campanária de abside</t>
  </si>
  <si>
    <t>📍 POIs: Aldeia de Viduedo (xisto hibernada no Montesinho) · Veado ibérico e corço em habitat natural · Castanheiros e carvalhos-negros seculares · Parque Natural de Montesinho · Silêncio transmontano absoluto · Fauna de doninha e fuinha</t>
  </si>
  <si>
    <t>📍 POIs: Rio de Onor (aldeia bilingue português/leonês mirandês) · Comunitarismo medieval preservado (hortas e pastagens partilhadas) · Candidata a Património UNESCO · Fronteira ibérica histórica · Arquitetura vernacular de granito · Fauna de lobo-ibérico no Montesinho</t>
  </si>
  <si>
    <t>📍 POIs: Guadramil (aldeia de Montesinho) · Habitat do maior veado ibérico do país · Bramido outonal de veado (setembro/outubro) · Paisagem de carvalhos negros medievais · Parque Natural de Montesinho · Colónias de corvos à tarde</t>
  </si>
  <si>
    <t>📍 POIs: Montesinho (aldeia de xisto no topo da serra) · Arquitetura vernacular transmontana · Gastronomia a lenha (fumeiro, presunto, alheira) · Pão de centeio de forno comunitário · Silêncio serrano absoluto · Fauna de lobo e javali</t>
  </si>
  <si>
    <t>📍 POIs: Serra da Calçada de Vinhais em xisto · Calçada medieval em xisto escuro · Presunto de Vinhais DOP (o mais fino do norte de Portugal) · Aldeias de montanha entre faias e carvalhos negros · Gastronomia transmontana de fumeiro</t>
  </si>
  <si>
    <t>📍 POIs: Fisgas de Ermelo (150m em cascata, as mais altas de Portugal) · Ermida de Nossa Senhora da Graça suspensa na rocha · Floresta caducifólia densa do Vale do Tâmega · Lontra e salamandra nos ribeiros · Parque Natural do Alvão</t>
  </si>
  <si>
    <t>📍 POIs: Levada histórica de Piscaredo em xisto e granito · Ribeiro com lontra e salamandra-de-pintas-amarelas · Paisagem do Alto Tâmega · Aldeia de xisto de Ermelo · Pinhais e matos de urze · Vista sobre o Alvão</t>
  </si>
  <si>
    <t>📍 POIs: Ponte medieval de Cabril sobre o Rio Tâmega · Arco de volta perfeita em granito (séc. XIV) · Aldeia de Cabril com espigueiros e moagens fluviais · Moinhos de azenha em funcionamento parcial · Rio Tâmega em caudal natural</t>
  </si>
  <si>
    <t>📍 POIs: Serra do Alvão (Parque Natural) · Fisgas de Ermelo (quedas de água mais altas) · Lupina (Lupinus lusitanicus) e mirtilo silvestre · Aldeias de Campeã e Vreia de Bouro em xisto e granito · Fauna de garrano e lobo-ibérico</t>
  </si>
  <si>
    <t>📍 POIs: Arribes do Douro (canhões fluviais de 500m — os mais profundos da Península Ibérica) · Abutre do Egipto e grifo em colónias rupícolas · Miranda do Douro com dialecto mirandês · Parque Natural do Douro Internacional · Vista para o Rio Douro a 500m abaixo</t>
  </si>
  <si>
    <t>📍 POIs: Ermida de São Cristóvão sobre o Douro · Estelas funerárias medievais em granito · Aldeia de Mogadouro entre vinha e oliveira centenária · Rio Douro em fronteira natural · Fauna de grifos e abutres nas ribanceiras · Arqueologia funerária medieva</t>
  </si>
  <si>
    <t>📍 POIs: Faia da Água Alta (queda de 50m sobre o Douro) · Xisto negro de 600 milhões de anos · Fauna mediterrânica de açor e grifo · Termas das ribanceiras rochosas · Parque Natural do Douro Internacional · Observação de rapinas em voo</t>
  </si>
  <si>
    <t>📍 POIs: Fraga do Sapato (monólito basáltico de 73m junto ao Douro) · Lenda do sapateiro encantado medieval · Ribanceiras de xisto com oliveiras milenares em terraços · Rio Douro a 400m abaixo · Fauna de lontra e garça-real · Aldeia de xisto de Sendim</t>
  </si>
  <si>
    <t>📍 POIs: Ribeiro Marancinho entre xisto e quartzito · Cagarras e perdiz-vermelha · Lagar de varas para azeite (séc. XVIII) · Aldeia de Almendra com pelourinho manuelino (séc. XVI) · Olivais centenários em socalcos · Rio Sabor em caudal natural</t>
  </si>
  <si>
    <t>📍 POIs: Socalcos de vinha em granito protegidos pela UNESCO · Quintais do Alto Douro Vinhateiro · Vista sobre o Rio Douro a grande altitude · Encostas com Touriga Nacional e Tinta Roriz · Paisagem vinhateira Património Mundial UNESCO · Pombais e lagares históricos</t>
  </si>
  <si>
    <t>📍 POIs: Vinha secular do Vinho do Porto em socalcos de xisto · Quintas históricas do Alto Douro (Quinta do Crasto, Quinta do Vale Meão) · Lagar de pedra com esmagamento tradicional a pés · Adega de vinho de palhete · UNESCO Alto Douro Vinhateiro · Prova de vinhos na rota</t>
  </si>
  <si>
    <t>📍 POIs: Socalcos milenares de Tabuaço sobre o Rio Douro · Vinha de Tinta Roriz e Touriga Franca · Aldeias de xisto com lagares de granito · Moinhos de vento abandonados do séc. XVIII · Paisagem vinhateira única do Alto Douro · Quinta de São João Batista</t>
  </si>
  <si>
    <t>📍 POIs: Quinta de Jacinto de Eça de Queirós (inspiração do romance 'A Cidade e as Serras') · Quintas e solares do Douro vinhateiro · Bosques de castanheiro centenário · Régua como capital do Douro Vinhateiro · Museu do Douro · Rio Douro e vinha</t>
  </si>
  <si>
    <t>📍 POIs: Rio Neiva em estuário · Lameiro com garça-real e maçarico-real · Duna litorânea do litoral minhoto · Estuário e orla dunar de Esposende · Pinheiro-marítimo centenário · Aves limícolas migrantes no inverno · Porto de pesca de Esposende</t>
  </si>
  <si>
    <t>📍 POIs: Arriba fóssil terciária de São da Guia a Monte Faro · Fósseis de baleia e tubarão no calcário (Miocénico) · Vistas sobre o Atlântico e estuário do Cávado · Faro romano e farol moderno · Dunas e pinhal do litoral minhoto</t>
  </si>
  <si>
    <t>📍 POIs: Serra calcária do Corno de Bico (única no Minho) · Falcão-peregrino e gavião em ninhos na falésia · Vistas sobre o Vale do Coura e oceano Atlântico · Afloramentos calcários medievais únicos · Fauna de corço e javali · Minhota paisagem de granito e calcário</t>
  </si>
  <si>
    <t>📍 POIs: Varanda do Coura (miradouro natural sobre o Vale do Coura) · Quinta centenária em produção · Pomar de Maçã Bravo de Esmolfe (IGP) · Pera Rocha em socalcos milenares · Vale do Coura · Paisagem minhota entre granito e carvalho</t>
  </si>
  <si>
    <t>📍 POIs: Serra D'Arga (habitat do lobo-atlântico) · Última presença de lince registada no Minho (séc. XX) · Carvalho pedunculado e azevinho endémico · Mosteiro de São João D'Arga (séc. XII) · Vistas sobre o Lima · Fauna de javali e lobo</t>
  </si>
  <si>
    <t>📍 POIs: Monte Faro (castro celta romanizado) · Muralha pré-histórica de granito · Vistas sobre Valença, Tui e o Rio Minho · Fortins romanos · Fronteira ibérica histórica · Muralhas de Valença (séc. XVII, Vauban) ao longe · Rio Minho e Galiza</t>
  </si>
  <si>
    <t>📍 POIs: Aldeia de Podence (Caretos, UNESCO 2019) · Máscaras de lã multicolor de rituais de fertilidade pré-cristãos · Museu dos Caretos · Parque Natural de Montesinho · Aldeia medieval de xisto · Planalto de Macedo de Cavaleiros</t>
  </si>
  <si>
    <t>📍 POIs: Fraga dos Corvos (afloramento granítico com líquenes) · Nidificação de corvos e bufo-real · Panorâmicas sobre o Planalto de Mirandela · Olivais centenários do Baixo Tua · Aldeia de Salselas com pelourinho · Rio Tua ao fundo</t>
  </si>
  <si>
    <t>📍 POIs: Trilho do Tua (leito da linha ferroviária histórica do Tua, encerrada 2008) · Vale fluvial profundo encaixado · Arqueologia industrial de betão e ferro · Tuneis ferroviários abandonados · Rio Tua em caudal natural · Paredão de xisto negro</t>
  </si>
  <si>
    <t>📍 POIs: Olivais centenários de Alfândega da Fé · Azeite DOP Trás-os-Montes · Rio Vilariça com castor e lontra · Dolmens do Neolítico (3500 a.C.) · Aldeia de Vilares em xisto · Pombais medievais transmontanos · Fauna de corço e javali</t>
  </si>
  <si>
    <t>📍 POIs: Foz do Tua na albufeira do Douro · Confluência do Tua e Douro em xisto · Ruínas da Central Hidroelétrica do Tua (séc. XX) · Vista para aldeias em socalco sobre o rio · Rio Douro em fronteira com Espanha · Ruínas de moinhos fluviais</t>
  </si>
  <si>
    <t>📍 POIs: Alturas do Barroso (planalto a 900m) · Bovinicultura extensiva de Raça Barrosã (raça autóctone DOP) · Turbeiras de montanha · Lacas e prados de cervum-vulgaris · Sistema de pastoreio comunitário medieval preservado · Granito e névoa</t>
  </si>
  <si>
    <t>📍 POIs: Tresminas (maior mina de ouro romana do Noroeste Ibérico) · Galerias abertas de extracção de 2000 anos · Museu da Mineração Romana ao ar livre · Sistema de canais de aqueduto romanos · Cortas de mineração a céu aberto · Aldeia de Tresminas</t>
  </si>
  <si>
    <t>📍 POIs: Mosteiro beneditino de Pombeiro (séc. XII) · Ermida de São Salvador de Ribeira de Pena · Granito monástico e silêncio profundo · Vale do Beça em floresta densa · Rio Beça em caudal natural · Caminho beneditino histórico</t>
  </si>
  <si>
    <t>📍 POIs: Torre (1993m — ponto mais alto de Portugal continental) · Vale Glaciar do Zêzere (o mais longo de Portugal) · Lagoa Comprida de altitude · Queijo Serra da Estrela DOP (produção nas aldeias) · Cabeço do Leitão · Sabugueiro (aldeia mais alta de Portugal) · Lobo de pedra em lava</t>
  </si>
  <si>
    <t>📍 POIs: Vale Glaciar do Zêzere (modelo de U perfeito, 300 Ma de geologia exposta) · Corredeiras e piscinas naturais do Zêzere · Manteigas (spa de montanha) · Poço do Inferno · Fauna de cegonha-preta e lontra · Geologia de quartzito e xisto preto</t>
  </si>
  <si>
    <t>📍 POIs: Poço do Inferno (cascata de granito em garganta profunda) · Cones de gelo no inverno (fenómeno único em Portugal) · Linhas de falha visíveis nas paredes rochosas · Rio Zêzere nascente · Lagoa de Manteigas · Fauna de rapinas de altitude</t>
  </si>
  <si>
    <t>📍 POIs: Torre da Serra da Estrela (1993m) · Cântaro Magro (1928m) · Lagoa do Covão do Ferro · Campainha-da-estrela (endémica) · Lobo de pedra em granito granítico · Névoa e gelo invernal · Nascentes do Rio Mondego · Flora de altitude: piorno, zimbro-anão</t>
  </si>
  <si>
    <t>📍 POIs: Covão dos Conchos (tomada de água circular em granito — fenómeno arquitectónico único) · Covão d'Ametade · Lagoa do Covão da Ponte · Espelho de montanha viral nas redes sociais · Granito da Estrela com líquenes · Nascentes de altitude</t>
  </si>
  <si>
    <t>📍 POIs: Garganta de Loriga (canhão granítico profundo do Rio Loriga) · Cascatas em cascata entre penhascos de granito · Aldeia de Loriga (tradição têxtil laneira de 400 anos — capital dos lanifícios da Beira) · Fábrica de lanifícios histórica · Piscinas naturais</t>
  </si>
  <si>
    <t>📍 POIs: Penedos Mouros de Gouveia · Petroglifos medievais em granito · Lenda das mouras encantadas · Flora rupícola endémica da Serra da Estrela · Brumas da Beira · Vista sobre Gouveia e planície · Fauna de falcão-peregrino nas fragas</t>
  </si>
  <si>
    <t>📍 POIs: Cardo silvestre (Cynara cardunculus — a flor que coalha o Queijo Serra) · Terras de centeio e castanho da Beira · Feira Medieval de Celorico da Beira (queijo DOP) · Aldeia de calcário e granito · Museu do Queijo da Estrela · Produção de queijo in situ</t>
  </si>
  <si>
    <t>📍 POIs: Barreiras e Cabeços da Estrela (percurso de altitude extremo) · Gelo e neve invernal · Nascentes do Rio Mondego · Aves estepárias de montanha · Lagoa de Altitude · Torre (1993m) ao fundo · Flora de piorno-da-estrela (endémica)</t>
  </si>
  <si>
    <t>📍 POIs: Belmonte (berço de Pedro Álvares Cabral, descobridor do Brasil) · Judiaria medieval de Belmonte (séc. XIV-XV) · Sinagoga Beth Eliahu quinhentista activa · Museu Judaico da Beira · Castelo de Belmonte (séc. XIII) · Torre Medieval · Serra da Estrela ao fundo</t>
  </si>
  <si>
    <t>📍 POIs: Levadas de Seia (irrigação de montanha do séc. XVIII) · Pastagens de altitude com ovelha churra · Flor do Piorno-da-Estrela (endémica, floresce em maio-junho) · Queijo Serra da Estrela DOP em produção local · Paisagem de granito e névoa · Seia histórica</t>
  </si>
  <si>
    <t>📍 POIs: Fragas do Cântaro Gordo (penhascos de formas insólitas glaciares) · Tors glaciares de granito · Vista privilegiada para a Cova da Beira · Fauna de falcão-peregrino e açor · Serra da Estrela a 1700m · Paisagem lunar de granito e líquenes</t>
  </si>
  <si>
    <t>📍 POIs: Via Sacra de Gouveia (14 capelas barrocas de granito) · Capelas do séc. XVII-XVIII em enfiada pela encosta · Procissões de Páscoa anuais · Azevinho e carvalho negral · Vista sobre Gouveia · Devoção popular beirã única</t>
  </si>
  <si>
    <t>📍 POIs: Levada de Cerdeira (sistema de rega histórico) · Aldeia da Cerdeira (aldeia do xisto reabilitada — design e artesanato) · Aldeia do Candal · Rede Aldeias do Xisto · Xisto preto e cal branca · Floresta de xisto e carvalho · Rio da Cerdeira</t>
  </si>
  <si>
    <t>📍 POIs: Fileira de moinhos medievais de Castelo de Arouce · Azenha de maré em funcionamento · Aldeia de xisto de Castelo de Arouce · Forno comunitário de pedra · Rio Lousã em caudal natural · Paisagem da Serra da Lousã</t>
  </si>
  <si>
    <t>📍 POIs: Aigra Nova e Aigra Velha (aldeias gémeas do xisto) · Casal Novo (aldeia do xisto com lareira de fumeiro) · Chiqueiro (aldeia isolada de montanha) · Mel de urze da Lousã · Lareiras de pedra · Rede Aldeias do Xisto · Forno comunitário</t>
  </si>
  <si>
    <t>📍 POIs: Serra do Açor (1342m — ponto mais elevado da Lousã) · Aquífero do Açor (nascente de água pura) · Piorno e esteva na encosta · Salamandra-lusitânica (endémica) em ribeiros de granito e xisto · Vista sobre as Beiras · Aldeias de xisto ao fundo</t>
  </si>
  <si>
    <t>📍 POIs: Vale do Ceira (rio em caudal natural) · Azenhas medievais em funcionamento parcial · Pesca da truta e lampreia (novembro-março) · Sobreiro e castanho seculares · Ponte romana de Góis (séc. I) · Aldeia de Góis com pelourinho · Carvalhal ripícola</t>
  </si>
  <si>
    <t>📍 POIs: Aldeia de Fajão (Aldeias do Xisto) · Fojo do lobo do séc. XVII (armadilha de pedra para lobos) · Habitações de xisto negro em penhascos verticais · Silêncio de aldeia quase deserta · Ribeiro de Fajão · Artesanato de xisto local</t>
  </si>
  <si>
    <t>📍 POIs: Aldeia das Dez (medieval em circo de montanha) · Socalcos de milho, batata e feijão medievais · Várzeas do Alvoco com piscinas naturais de água fria · Rio Alvoco em corrente rápida · Aldeias do Xisto · Floresta de carvalho e sobreiro</t>
  </si>
  <si>
    <t>📍 POIs: Porto histórico de Penacova (bateira e barco rabelo) · Pesca da lampreia do Mondego (fevereiro-março) · Rio Mondego em curva · Convento medieval de Santa Maria de Celas à beira-rio · Paisagem entre serras e rio · Gastronomia de lampreia à bordalesa</t>
  </si>
  <si>
    <t>📍 POIs: Serra da Lua (calcário com grutas de espeleologia) · Fonte termal de Torres Novas · Vista para Serra da Estrela e litoral · Castelo medieval de Torres Novas (séc. XIV) · Grutas calcárias · Fauna de morcego-de-ferradura</t>
  </si>
  <si>
    <t>📍 POIs: Lapa dos Pocilgões (segunda maior gruta de Portugal em extensão) · Formações de aragonite únicas em Portugal · Espeleologia activa na gruta · Dolinas e lapiás de superfície · Paisagem cársica do Maciço Calcário Estremenho · Fauna de morcego cavernícola</t>
  </si>
  <si>
    <t>📍 POIs: Estrada Romana identificada e visitável (séc. I) · Lapiás de Porto de Mós (calcário lapiazado) · Pegadas de dinossauros in situ na falésia calcária (séc. Jurássico, 150 Ma) · Porto de Mós com castelo gótico · Grutas de Mira de Aire a 5km</t>
  </si>
  <si>
    <t>📍 POIs: Fórnea (maior dolina de Portugal — 200m de profundidade) · Caldeirão calcário que acumula frio e humidade · Flora de alta montanha no fundo da dolina · Lapiás circundante · Maciço Calcário Estremenho · Fauna de morcego e coruja-do-mato</t>
  </si>
  <si>
    <t>📍 POIs: Grutas do Almonda (complexo de cavernas com arte paleolítica única) · Ossos de rinoceronte-lanoso e mamute encontrados · Maior gruta de Portugal em extensão · Rio Almonda a emergir da rocha calcária · Torres Novas · Paleontologia activa</t>
  </si>
  <si>
    <t>📍 POIs: Lagoa de São José (lagoa cársica de água doce) · Cão-de-água português em habitat natural · Lontra nas margens · Galeria ripícola com freixos e álamos · Espelho d'água entre pinhais · Pinheiro-manso e pinheiro-bravo centenários</t>
  </si>
  <si>
    <t>📍 POIs: Cascata do Orvalho (nova sobre xisto) · Passadiços suspensos modernos · Aldeia do Orvalho em transição para turismo sustentável · Ribeiro do Orvalho em xisto · Vista sobre o vale da Lousã · Rede Aldeias do Xisto</t>
  </si>
  <si>
    <t>📍 POIs: Maior colónia ibérica de Abutre-do-Egipto em Portugal · Grifo e buitre negro em planaltos calcários do Tejo Internacional · Fronteira selvagem com Espanha · Rio Tejo Internacional em canhão de xisto · Observatório de aves de rapina · Aldeia de Idanha-a-Nova</t>
  </si>
  <si>
    <t>📍 POIs: Idanha-a-Velha (cidade romana e visigótica in situ) · Catedral Visigótica do séc. VI com mosaicos · Torre romana de Igaedis do séc. II · Pelourinho sobre ruínas romanas · Rua romana visível · Muralha baixo-imperial · A mais completa cidade romana de Portugal</t>
  </si>
  <si>
    <t>📍 POIs: Minas de volfrâmio e estanho abandonadas (séc. XX) · Chaminés industriais e estruturas mineiras de betão · Biodiversidade pós-industrial surpresa · Museu de Mineração de Idanha · Paisagem de extracção a céu aberto · Aldeia de Ladoeiro</t>
  </si>
  <si>
    <t>📍 POIs: Porta de Ródão (canyon do Rio Tejo em xisto) · Pinturas Rupestres do Paleolítico no Vale de Foz do Enxarrique (gravuras de 30.000 anos) · Castelo de Vila Velha de Ródão · Gargantas rochosas do Tejo · Abutre e grifo em colónias rupícolas · Rio Tejo selvagem</t>
  </si>
  <si>
    <t>📍 POIs: Calçada romana entre villae e castros (séc. I-IV) · Aldeia de Proença-a-Nova com forno de cal histórico · Barragem romana de Segura (séc. I) · Vila Romana de Segura · Rio Ocreza em caudal natural · Fauna de lontra e cegonha-preta</t>
  </si>
  <si>
    <t>📍 POIs: Mocho-de-orelhas (espécie rara) em habitat natural · Serra da Sertã em xisto e granito · Moinhos abandonados do séc. XVII-XVIII · Ribeiro da Sertã · Aldeia da Sertã com castelo medieval · Fauna de coruja-das-torres e morcego-anão</t>
  </si>
  <si>
    <t>📍 POIs: Circo granítico da Serra da Gardunha · Cerejeira em flor em março-abril (espetáculo único) · Fundão, capital nacional da Cereja · Aldeia de Castelo Novo com pelourinho gótico (séc. XV) · Castelo de Castelo Novo (séc. XII) · Vista sobre a Beira Baixa</t>
  </si>
  <si>
    <t>📍 POIs: Sortelha (Aldeia Histórica medieval com muralha intacta) · Monsanto (Aldeia Histórica com casas entre penhascos) · Relógio solar romano em Sortelha · Muralhas medievais integradas nos penhascos graníticos · Vida medieval quotidiana preservada · Pelourinho manuelino</t>
  </si>
  <si>
    <t>📍 POIs: Cerejal florido do Fundão (marco visual de março) · Miradouro sobre mar de flores brancas · Gastronomia de ginja, mel de urze e queijo de cabra da Gardunha · Produtores locais de cereja · Serra da Gardunha · Aldeia de Alcongosta</t>
  </si>
  <si>
    <t>📍 POIs: Antigas Fábricas de Lanifícios do séc. XVIII-XIX no Rio Goldra · Covilhã (capital dos lanifícios portugueses) · Museu de Lanifícios (in situ na fábrica) · Rio Zêzere nascente · Serra da Estrela a 1993m · Arquitetura industrial têxtil do séc. XIX</t>
  </si>
  <si>
    <t>📍 POIs: Castelo medieval de Penamacor em granito (séc. XIII) · Reserva Natural Serra da Malcata (lince-ibérico em recuperação) · Paisagem de xisto e carvalho-negral · Aldeia da raia com arquitetura medieval · Fronteira com Espanha · Rio Bazágueda</t>
  </si>
  <si>
    <t>📍 POIs: Castelo de Marvão (862m — o mais alto de Portugal) · Vista até Espanha e Alentejo profundo · Aldeia medieval de granito suspensa nas nuvens · Muralha medieval intacta do séc. XIII · Igreja de Santa Maria (séc. XIV) · Serra de São Mamede ao fundo</t>
  </si>
  <si>
    <t>📍 POIs: Castelo de Vide com judiaria medieval (séc. XIV) · Fonte da Vila de 1583 (in situ) · Menhir de São Paulo (megalítico do Neolítico) · Manantiais e caldeiras naturais · Sinagoga medieval · Pelourinho manuelino · Castelo de Vide (séc. XIII)</t>
  </si>
  <si>
    <t>📍 POIs: Nisa em xisto negro da Beira Baixa · Pedras com Buraco (granito eólico singular) · Termas de Nisa com águas sulfurosas · Portas de Ródão (canhão do Tejo) rio acima · Rio Tejo em fronteira natural · Aldeia do Castelo de Vide ao longe</t>
  </si>
  <si>
    <t>📍 POIs: Arronches entre o Rio Caia e afluentes · Azinhais e sobreirais de montado · Castelo medieval de Arronches sobre o Rio Caia (séc. XIII) · Olivais centenários de Portalegre · Fauna de veado e javali · Serra de São Mamede ao fundo</t>
  </si>
  <si>
    <t>📍 POIs: Real Fábrica de Lanifícios de Portalegre (séc. XVIII, em funcionamento) · Castelo de Portalegre com muralha árabe (séc. XII) · Portalegre entre granito e xisto · Catedral de Portalegre (séc. XVI) · Museu da Tapeçaria · Serra de São Mamede</t>
  </si>
  <si>
    <t>📍 POIs: Buçaco (floresta-convento dos Carmelitas Descalços, séc. XVII) · Batalha de Buçaco (1810, Wellington vs. Napoleão) · Palace Hotel do Buçaco (neomanuelino, 1907) · 700 espécies de árvores exóticas plantadas pelos Carmelitas · Museu da Batalha · Capelas barrocas da Via Sacra</t>
  </si>
  <si>
    <t>📍 POIs: Conímbriga (maior sítio arqueológico romano de Portugal) · Mosaicos de 60 d.C. (entre os melhores da Europa) · Muralha baixo-imperial (3m de altura ainda em pé) · Termas Romanas · Fórum e Basílica · Casas com implúvio e jardins romanos</t>
  </si>
  <si>
    <t>📍 POIs: Grande Fórnea de Alvaiázere (segunda maior dolina de Portugal) · Calcário cársico do Centro · Fungos e orquídeas silvestres na dolina · Paisagem lunar de lapiás · Fauna de morcego-de-ferradura e coruja-do-mato · Aldeia de Alvaiázere medieval</t>
  </si>
  <si>
    <t>📍 POIs: Moinhos de vento e de água históricos do Buçaco · Levada do Buçaco · Floresta Nacional do Buçaco (700 árvores exóticas) · Aquedutos e canais de rega históricos · Palace Hotel ao fundo · Capelas barrocas na encosta</t>
  </si>
  <si>
    <t>📍 POIs: Mamoas e antas megalíticas de Ansião (4000-3000 a.C.) · Castro do séc. IV a.C. · Menir de Ansião · Transição paisagística Litoral-Interior · Fauna de corço e javali · Calcário Estremenho ao longe · Aldeia de Ansião com pelourinho</t>
  </si>
  <si>
    <t>📍 POIs: Forte de Santa Catarina de Figueira da Foz (séc. XVII) · Estuário do Rio Mondego · Salinas históricas · Maior praia urbana de Portugal (6km) · Museu Municipal Dr. Santos Rocha · Arte piscatória e etnografia costeira · Porto de abrigo histórico</t>
  </si>
  <si>
    <t>📍 POIs: Castelo de Sardoal com vista para o Tejo (séc. XIII) · Vila medieval com muralha quinhentista · Charnecas e pinhal · Fauna de javali e veado · Rio Tejo ao fundo · Pelourinho manuelino (séc. XVI) · Aldeias serranas do Ribatejo</t>
  </si>
  <si>
    <t>📍 POIs: Antas e mamoas de Sardoal (3000 a.C.) · Lenda medieval do tesouro da Moura Encantada · Olivais e soutos de castanheiros · Fauna de corço · Serra de Tomar ao longe · Aldeia de Santiago de Montalvo · Pelourinho de Sardoal</t>
  </si>
  <si>
    <t>📍 POIs: Pico do Coelho (falésia sobre o Rio Tejo) · Castelo medieval de Abrantes (séc. XII, vista de 360°) · Cruzeiro de pedra medieval · Tulipa-brava (Tulipa sylvestris) nos campos · Rio Tejo panorâmica · Museu D. Lopo de Almeida · Igreja de Santa Maria</t>
  </si>
  <si>
    <t>📍 POIs: Barragem de Belver (albufeira do Tejo) · Castelo medieval de Belver sobre o rio (séc. XIII) · Vale encaixado do Rio Tejo · Lontra e cegonha-preta nas margens · Cascata do Poio do Corvo · Fauna de garça-real e martin-pescador · Rio Sever afluente</t>
  </si>
  <si>
    <t>📍 POIs: Olhos de Água do Alviela (maior nascente cársica da Península Ibérica) · Aqueduto de Alviela (abastece Lisboa há 150 anos) · Arqueologia romana na nascente · Calcário cársico do Maciço Estremenho · Rio Alviela nascente · Fauna de lontra</t>
  </si>
  <si>
    <t>📍 POIs: Paúl do Boquilobo (única Reserva da Biosfera do interior de Portugal) · Habitat de garça-vermelha, garça-pequena e cegonha-branca · Cheia sazonal do Tejo (novembro-março) · Fauna de garça-real e colhereiro · Galeria ripícola de freixo e álamo</t>
  </si>
  <si>
    <t>📍 POIs: Cabo da Roca (ponta mais ocidental da Europa continental — 9°30'W) · Farol do Cabo da Roca (séc. XIX) · Falésias de calcário com erosão marinha intensa · Sintra na névoa ao longe · Praia da Ursa (inacessível por estrada) · Centro de Interpretação</t>
  </si>
  <si>
    <t>📍 POIs: Palácio Nacional da Pena (obra-prima do Romantismo, séc. XIX) · Palácio Nacional de Sintra (séc. XIV-XV) · UNESCO Património Mundial da Humanidade · Floresta mesozóica com espécies de todo o mundo · Palácio de Monserrate (jardins com 3000 espécies) · Cabo da Roca</t>
  </si>
  <si>
    <t>📍 POIs: Centro de Recuperação do Lobo Ibérico (único em Portugal a permitir observação) · Tapada Nacional de Mafra (muralha de 21km, a maior do mundo) · Palácio de Mafra (séc. XVIII) · Lobo-ibérico em cativeiro · Bosque nativo da Tapada · Linhas de Wellington</t>
  </si>
  <si>
    <t>📍 POIs: Quintas vinícolas das colinas de Torres Vedras · Linhas Defensivas de Wellington em ruínas (1810) · Vinho de Lisboa DOP (Aragonez e Fernão Pires) · Vale do Sizandro · Castelo de Torres Vedras (séc. XIII) · Vista sobre o litoral atlântico</t>
  </si>
  <si>
    <t>📍 POIs: Palácio de Monserrate (séc. XIX, neomourisco-neogótico) · Jardins de Monserrate (3000 espécies de 5 continentes) · Palácio de Seteais (séc. XVIII) · Convento dos Capuchos (1560, forrado a cortiça — único no mundo) · Palácio da Regaleira · UNESCO Sintra</t>
  </si>
  <si>
    <t>📍 POIs: Forte da Cidadela de Cascais (séc. XVI) · Duna de Guincho (a maior do centro de Portugal) · Farol do Cabo Raso (séc. XIX) · Forte de Santa Marta · Boca do Inferno (fenómeno de erosão marinha) · Praia do Guincho (World Surf League) · Farol do Cabo da Roca</t>
  </si>
  <si>
    <t>📍 POIs: Região com mais espécies de dinossauros de Portugal e mundo (Jurássico Superior) · Pegadas de terópodes in situ na falésia · Museu da Lourinhã (coleção de ovos de dinossauros) · Falésia de calcário com estratigrafia visível · Costa atlântica de oeste</t>
  </si>
  <si>
    <t>📍 POIs: Marinhas de Sal de Rio Maior (único em Portugal — salinas em plena encosta) · Sal de nascente natural (água salgada sub-terrânea única) · Produção artesanal desde o séc. X · Museu do Sal · Caldeiras de evaporação em funcionamento · Salineiros activos</t>
  </si>
  <si>
    <t>📍 POIs: Sesimbra no coração do Parque Natural da Arrábida · Falésias calcárias sobre o mar azul-turquesa · Castelo medieval dos Mouros (séc. XIII) · Forte de Santiago (séc. XVII) · Reserva Natural Marinha da Arrábida · Porto de pesca de Sesimbra</t>
  </si>
  <si>
    <t>📍 POIs: Cabo Espichel (santuário e farol do séc. XIV) · Santuário de Nossa Senhora do Cabo (séc. XVIII) · Pegadas de dinossauros do Jurássico (150 Ma) in situ na falésia · Farol do Cabo Espichel (séc. XVIII) · Miradouro sobre o oceano · Ermida Memória</t>
  </si>
  <si>
    <t>📍 POIs: UNESCO Património Mundial de Sintra · Palácios Românticos de Sintra · Jardins históricos com azulejos e fontes neomanuelinas · Convento dos Capuchos (cortiça) · Quinta da Regaleira (maçonaria e simbolismo) · Câmara Municipal de Sintra histórica</t>
  </si>
  <si>
    <t>📍 POIs: Castelo dos Mouros de Sintra (séc. VIII-IX) · Muros medievais árabes com vistas atlânticas · Palácio Nacional da Pena ao fundo · Neblina atlântica permanente · Vistas sobre o Atlântico e Lisboa · Vegetação mesozóica endémica</t>
  </si>
  <si>
    <t>📍 POIs: Cabo da Roca (ponto mais ocidental da Europa) · Falésias abruptas sobre o Atlântico · Praia do Guincho (World Surf League) · Forte do Guincho · Dois monumentos naturais num percurso · Costa de calcário e granito</t>
  </si>
  <si>
    <t>📍 POIs: Floresta mediterrânica densa da Arrábida · Falésias calcárias sobre mar turquesa · Portinho da Arrábida (praia protegida) · Reserva Natural da Arrábida · Convento da Arrábida (séc. XVI) · Grutas de Lapa de Santa Margarida</t>
  </si>
  <si>
    <t>📍 POIs: Costa calcária mais preservada de Portugal · Arqueologia pré-histórica (Lapa do Fumo — Mesolítico) · Reserva Marinha da Arrábida (flora e fauna marinhas únicas) · Falésias de calcário cretácico · Comunidade de monges da Arrábida</t>
  </si>
  <si>
    <t>📍 POIs: Jardins barrocos do Marquês de Pombal em Oeiras (séc. XVIII) · Palácio do Marquês de Pombal · Antigos palácios de veraneio da nobreza (Caxias, Oeiras) · Rio Tejo e marginal · Forte de São Julião da Barra (séc. XVI) ao longe · Estuário do Tejo</t>
  </si>
  <si>
    <t>📍 POIs: Muralha de pedra de 21km da Tapada Nacional de Mafra (a maior do mundo) · Interior da Tapada com veado, javali e lince · Palácio Nacional de Mafra (basílica barroca, séc. XVIII) · Silêncio absoluto da tapada · Fauna de lobo-ibérico</t>
  </si>
  <si>
    <t>📍 POIs: Reserva Natural do Estuário do Sado (maior estuário de Portugal) · Golfinho-roaz residente (65 indivíduos da população de Sado) · Moinhos de maré medievais em funcionamento · Salinas activas · Pinheiro-manso centenário · Aves aquáticas migrantes</t>
  </si>
  <si>
    <t>📍 POIs: Jardins Românticos de Monserrate (3000 espécies de 4 continentes) · Palácio de Monserrate (séc. XIX) · Capelas medievais de Peninha sobre o Atlântico · Ermida de Peninha (séc. XV) · Vista sobre o Atlântico e Cabo da Roca · UNESCO Sintra</t>
  </si>
  <si>
    <t>📍 POIs: Sacavém histórica (passagem do Caminho Português) · Carimbo do Caminho de Santiago em igrejas · Paisagens ribeirinhas do Tejo · Igreja de São Nicolau de Sacavém · Margem do Tejo histórica · Lisboa ao longe</t>
  </si>
  <si>
    <t>📍 POIs: Falésia fóssil do Plioceno da Costa da Caparica · Percebes e ouriços-do-mar na maré baixa · Miradouro sobre o Atlântico · Surf em ondas de classe mundial · Fósseis visíveis na estratigrafia da arriba · Costa Atlântica de areia fina</t>
  </si>
  <si>
    <t>📍 POIs: Convento dos Capuchos (1560, forrado a cortiça — único no mundo) · Celas forradas a cortiça e musgo · Floresta mesozóica de Sintra · Humildade franciscana em plena selva · Fonte dos Noves · Silêncio profundo · Cruz Alta (séc. XVI)</t>
  </si>
  <si>
    <t>📍 POIs: Elevador Panorâmico de Almada · Doca histórica de Almada · Vedação sobre o Tejo (miradouro) · Cristo Rei ao pôr-do-sol · Rio Tejo em panorâmica total · Ferry histórico Almada-Lisboa · Cacilhas e restaurantes de peixe</t>
  </si>
  <si>
    <t>📍 POIs: Fortaleza de Peniche (séc. XVI) · Muralha sobre o Atlântico · Embarque para as Berlengas (Reserva Natural) · Faróis históricos · Porto de pesca activo · Museu Municipal de Peniche · Ponta da Papoa · Lagoa de Óbidos a 10km</t>
  </si>
  <si>
    <t>📍 POIs: Boca do Inferno (erosão marinha espectacular) · Dunas do Guincho (as maiores do centro de Portugal) · Forte de São Julião da Barra (séc. XVI) · Cascais histórica com frente ribeirinha · Museu dos Condes de Castro Guimarães · Farol do Cabo Raso</t>
  </si>
  <si>
    <t>📍 POIs: Ericeira (World Surfing Reserve — única em Portugal) · Aldeia de pescadores com casas caiadas de branco · Porto de pesca activo de pedra · Miradouro de Santa Marta · Praias de surf de classe mundial · Igreja Nossa Senhora do Mar</t>
  </si>
  <si>
    <t>📍 POIs: Encostas calcárias da Serra da Arrábida · Portinho da Arrábida (praia de águas turquesa) · Convento da Arrábida (séc. XVI) · Monges medievais da Arrábida · Mar de cor impossível azul-turquesa · Reserva Natural Marinha</t>
  </si>
  <si>
    <t>📍 POIs: Ruínas das Linhas de Torres Vedras (1810 — Linha Norte) · Fortes de artilharia de Wellington · Batalha da Serra do Barregão · Museu das Linhas de Torres · Paisagem de matos e pinhais · Quinta do Bom Sucesso</t>
  </si>
  <si>
    <t>📍 POIs: Mata da Penha Longa (floresta mista com sequoia e cedro) · Convento da Penha Longa (séc. XIV) · Silêncio e musgos da floresta atlântica · Fauna de rapinas de floresta · Hotel Penha Longa (campo de golfe histórico) · Ribeiro da Penha Longa</t>
  </si>
  <si>
    <t>📍 POIs: Travessia completa da Serra de Sintra (20km) · Paisagem que inspirou Byron e Beckford (séc. XVIII-XIX) · Descida ao Atlântico pelo Guincho · Via de almocreves históricas · UNESCO Sintra · Cabo da Roca ao longe · Cascais histórica na chegada</t>
  </si>
  <si>
    <t>📍 POIs: Palmela entre vinha moscatel e castelo (séc. XII) · Reserva Natural da Biosfera do Sado · Estuário do Sado com golfinhos e flamingos · Vinha moscatel de Setúbal DOP · Castelo de Palmela (séc. XII — Ordem de Santiago) · Museu Municipal de Palmela</t>
  </si>
  <si>
    <t>📍 POIs: Castelo de Alcácer do Sal sobre o Sado (séc. III a.C. — fenícios!) · Camadas arqueológicas sobrepostas: fenícios, romanos, visigodos, árabes e cristãos · Rio Sado calmo · Museu de Arqueologia de Alcácer · Cigonhas brancas nidificantes · Salinas históricas</t>
  </si>
  <si>
    <t>📍 POIs: Serra de Grândola (elevação isolada da planície alentejana) · Azinhal e sobreiral centenários · Cortiça e caça maior · Grândola vila imortal do 25 de Abril (Zeca Afonso) · Montes alentejanos de arquitectura popular · Fauna de veado e javali</t>
  </si>
  <si>
    <t>📍 POIs: Porto Covo (aldeia piscatória preservada) · Ilha do Pessegueiro (ruínas romanas e forte do séc. XVII) · Praias selvagens de areia dourada · Falésias basálticas sobre o Atlântico · Costa Vicentina Área de Paisagem Protegida · Vila Nova de Milfontes</t>
  </si>
  <si>
    <t>📍 POIs: Estuário do Rio Mira (tartaruga-careta em migração) · Falésias com nidificação de cegonha-preta · Praias desertas sem acesso por estrada · Vila Nova de Milfontes com forte (séc. XVII) · Costa Vicentina selvagem · Almograve (praias sem bandeira de acesso)</t>
  </si>
  <si>
    <t>📍 POIs: Praia de Almograve (basalto negro sobre oceano turquesa) · Praias escondidas inacessíveis por estrada · Penhasco basáltico de 50m sobre o oceano · Zambujeira do Mar (praia em baía rochosa) · Biodiversidade costeira · Cetáceos ao largo</t>
  </si>
  <si>
    <t>📍 POIs: Zambujeira do Mar (festival NOS Alive) · Dunas fósseis e matos de esteva · Pôr-do-sol atlântico infinito a oeste · Costa Vicentina mais selvagem · Biodiversidade de maquis costeiro · Odeceixe (aldeia-fronteira Alentejo-Algarve)</t>
  </si>
  <si>
    <t>📍 POIs: Lapa das Pombas (gruta arqueológica de 5000 a.C.) · Ossos humanos e artefactos do Neolítico · Pinhal e montado alentejano · Rio Mira em vale encaixado de xisto negro · Odemira histórica · Fauna de lontra e cegonha-preta</t>
  </si>
  <si>
    <t>📍 POIs: Rota de Peregrinos medievais para Santiago de Compostela · Capelas pré-românicas do séc. IX-X · Santiago do Cacém com castelo medieval · Miróbriga (cidade romana) · Vale Seco em paisagem de transição · Fauna de rapinas migrantes</t>
  </si>
  <si>
    <t>📍 POIs: Encostas da Raposeira (prenúncio da Escola de Navegação de Sagres) · Ermidas do séc. XV em calcário · Vestígios de rotas de navegação africana pré-colombiana · Henrique o Navegador (1394-1460) · Fauna de falcão-peregrino · Costa Vicentina ao longe</t>
  </si>
  <si>
    <t>📍 POIs: Rio Guadiana entre Mértola e Alcoutim (rio fronteiriço em xisto) · Paisagem de xisto negro e maquis mediterrânico · Pesca de savelha e boga artesanal · Barcos de fundo plano históricos · Castelo de Mértola sobre o rio · Vila Museu de Mértola</t>
  </si>
  <si>
    <t>📍 POIs: Pulo do Lobo (cascata do Guadiana — a mais volumosa do sul de Portugal) · Falcão-de-Eleonora e bufo-real nas margens · Rio Guadiana em xisto preto · Escalda do Guadiana · Barragem do Alqueva ao longe · Fauna de lontra e cágado-mediterrânico</t>
  </si>
  <si>
    <t>📍 POIs: Mina de São Domingos (maior mina de pirite do mundo, séc. XIX) · Lago ácido de cor ferrugem (pH 2 — sem vida) · Chaminé monumental da fundição · Paisagem apocalíptica de mineração · Vila Operária de São Domingos (arquitectura inglesa) · Barco de São Domingos</t>
  </si>
  <si>
    <t>📍 POIs: Azinhal (aldeia alentejana com vista para a Andaluzia) · Rio Guadiana calmo em fronteira natural · Lontra e cágado-mediterrânico no rio · Arquitectura popular alentejana de cal branca · Vista para Sanlúcar de Guadiana · Fauna de garça e pernilongo</t>
  </si>
  <si>
    <t>📍 POIs: Serra do Caldeirão no Sotavento (floresta mediterrânica densa) · Cabra Algarvia (raça ameaçada de extinção) · Mascaradas de Carnaval de aldeias serranas do interior · Cistus e alecrim · Fauna de javali e raposa · Aldeias isoladas do Caldeirão</t>
  </si>
  <si>
    <t>📍 POIs: Parque Natureza de Noudar (herdade privada de 8000ha em Barrancos) · Lince-ibérico em recuperação activa · Corça, javali, cervo e veado em liberdade · Natureza alentejana sem pressão humana · Fauna de águia-imperial e bufo-real</t>
  </si>
  <si>
    <t>📍 POIs: Campina de Castro Verde (batalha de Santiago, 1139 — origem do Reino de Portugal) · Aves estepárias raras (sisão, abetarda, tartaranhão-caçador) · Reserva Natural do Castro Verde · Planície cerealífera · Fauna de águia-caçadeira</t>
  </si>
  <si>
    <t>📍 POIs: Altar Celeste de Castro Verde (miradouro de rapinas) · Reserva de aves de rapina mais importante do Alentejo · Buitre negro (Aegypius monachus) e águia-imperial (Aquila adalberti) · Campina cerealífera aberta · Observatório de aves de rapina · SPEA activa</t>
  </si>
  <si>
    <t>📍 POIs: Linha de fortes sobre o Rio Guadiana (séc. XVII) · Ribeiras de xisto com lontra e cágado-mediterrânico · Azenhas medievais de granito em actividade parcial · Fortes de Mértola sobre o rio · Paisagem de xisto e savana mediterrânica · Fauna de garça e cegonha</t>
  </si>
  <si>
    <t>📍 POIs: Mourão sobre o Lago Alqueva (maior lago artificial da Europa — 250km²) · Mar de luz do Alqueva em toda a extensão · Anel de terra rodeado por água · Aldeia de Mourão medieval · Dark Sky Alqueva (Starlight Reserve — o mais escuro da Europa) · Barcos de pesca artesanal</t>
  </si>
  <si>
    <t>📍 POIs: Alandroal sobre o Lago Alqueva · Antas Neolíticas do 4.º milénio a.C. · Cromeleque dos Almendres visível na rota (Stonehenge português) · Rota do Sol (astroturismo) · Castelo de Alandroal (séc. XIII) · Lago Alqueva a 360°</t>
  </si>
  <si>
    <t>📍 POIs: Serra de Monfurado (montanha alentejana de azinhais milenares) · Morcego-de-ferradura e lince em área de recuperação · Azinhais e sobreirais de Quercus suber · Vistas sobre a planície alentejana · Fauna de rapinas nocturnas · Montemor-o-Novo ao longe</t>
  </si>
  <si>
    <t>📍 POIs: Aqueduto de Évora (17km de arcos renascentistas, ainda funcionando) · Templo Romano de Évora (séc. I — o mais bem preservado da Península) · Évora cidade-museu UNESCO · Catedral de Évora (séc. XII-XIII) · Cromeleque dos Almendres a 15km · Muralhas romanas e medievais</t>
  </si>
  <si>
    <t>📍 POIs: Cromeleque dos Almendres (o Stonehenge português — 95 menhires, 5000 a.C.) · Maior conjunto megalítico da Península Ibérica · Anta Grande do Zambujeiro (maior dólmen da Península Ibérica) · Monte do Olival (menhir isolado) · Paisagem de azinhal com garranos · Évora UNESCO</t>
  </si>
  <si>
    <t>📍 POIs: Fóia (902m — pico mais alto do Algarve) · Miradouro com vista para o Algarve inteiro e Marrocos em dia limpo · Eucaliptal e pinheiro em regeneração natural · Caldas de Monchique (termas) a 8km · Fauna de rapinas de altitude · Antenas de comunicação no topo</t>
  </si>
  <si>
    <t>📍 POIs: Passadiços do Barranco do Demo (suspensão sobre barranco calcário) · Bufo-real e coruja-do-mato em habitat nocturno · Vegetação mediterrânica densa (cistus, alecrim, medronheiro) · Ribeira do Demo em caudal invernal · Fauna de lontra e cágado · Serra de Monchique</t>
  </si>
  <si>
    <t>📍 POIs: Picota (773m — segundo pico de Monchique) · Nascentes termais de Monchique (32°C, teor de enxofre) · Caldas de Monchique histórica · Chouriço de Monchique e aguardente de medronho · Miradouro sobre o Barlavento Algarvio · Fauna de corça e javali</t>
  </si>
  <si>
    <t>📍 POIs: Pedra do Galo (Lagos) · Costa calcária entre Lagos e Sagres · Formações geológicas de calcário carsificado · Forte medieval de Lagos (séc. XV) · Mercado de Escravos de Lagos (séc. XV — o primeiro da Europa) · Arqueologia fenícia e romana</t>
  </si>
  <si>
    <t>📍 POIs: Ponta da Piedade (arcos naturais mais fotografados do Algarve) · Formações calcárias do Miocénico (5-20 Ma) · Barcos de gruta típicos do Algarve · Forte de Santo António (séc. XVII) · Lagos histórica com muralhas · Museu de Lagos</t>
  </si>
  <si>
    <t>📍 POIs: Castelo de Paderne (ruínas do castelo Almóada do séc. XII) · Ribeira de Quarteira com lontra e cágado · Ponte mourisca romana (séc. I) · Medronheiro e alecrim em maquis mediterrânico · Aldeia de Paderne histórica · Fauna de cobras e lagartos</t>
  </si>
  <si>
    <t>📍 POIs: Alcoutim (vila medieval sobre o Guadiana) · Xisto negro e carvalho-cerquinho (cork oak) · Marinlongo (aldeia serrana com café de aldeia) · Serra do Caldeirão · Rota pedestre tranquila sem turismo de massas · Fauna de lontra e javali</t>
  </si>
  <si>
    <t>📍 POIs: Fonte Benémola (nascente cársica pristina) · Lontra e cágado-mediterrânico em habitat natural · Galeria ripícola única do Algarve interior · Ribeira de Menalva em caudal natural · Aldeia de Querença · Caldas de Alte próximas</t>
  </si>
  <si>
    <t>📍 POIs: Rocha da Pena (única fortaleza natural calcária do interior do Algarve) · Fósseis mesozóicos do Jurássico (calcário de recife) · Orquídeas espelho (Ophrys speculum) e erva-abelha na primavera · Tomilho-cabeçudo (endémico do Algarve) · Fauna de falcão-peregrino</t>
  </si>
  <si>
    <t>📍 POIs: Hortas medievais de irrigação árabe de Tavira (calhas e açudes activos) · Tavira com 37 igrejas (a mais eclesiástica do Algarve) · Ribeira de Séqua com tartaruga-mediterrânica · Estuário da Ria Formosa · Ponte romana de Tavira · Castelo de Tavira (séc. XIII)</t>
  </si>
  <si>
    <t>📍 POIs: Cortiça DOP de São Brás de Alportel (capital da cortiça portuguesa) · Antigos caminhos de arrieiro com mulas para a costa (séc. XVII-XIX) · Museu do Traje de São Brás · Encostas calcárias com medronheiro e cistus · Serra do Caldeirão ao fundo</t>
  </si>
  <si>
    <t>📍 POIs: Alcoutim medieval sobre o Guadiana · Sanlúcar de Guadiana em frente (Espanha) · Vila mais quente de Portugal (temperatura record) · Laranjal e limoeiro em hortas ribeirinhas históricas · Castelo de Alcoutim (séc. XIV) · Rio Guadiana em fronteira calm</t>
  </si>
  <si>
    <t>📍 POIs: Antiga capital árabe de Silves (Al-Xilb — séc. XI) · Castelo árabe-cristão de São Bartolomeu de Messines · Cante alentejano no sul algarvio (tradição rara) · Mistura cultural árabe-cristã · Ribeira de Odelouca · Aldeia de Messines medieval</t>
  </si>
  <si>
    <t>📍 POIs: Rota histórica de contrabando de tabaco e café pela Ria Formosa (séc. XVIII-XIX) · Bairros piscatórios de Olhão em estilo cubista único (sem arquitecto, séc. XIX) · Mercado de Olhão · Cubismo popular português · Embarque para ilhas da Ria</t>
  </si>
  <si>
    <t>📍 POIs: Parque Natural da Ria Formosa (maior laguna costeira da Europa) · Lagoas costeiras com garça-real e flamingo · Golfe de Quinta do Lago em convivência com natureza · Fauna de maçarico e pernilongo · Lagoa do Ludo · Tartaruga-careta em migração</t>
  </si>
  <si>
    <t>📍 POIs: Vila Real de Santo António (cidade pombalina de 1773 — grelha urbana perfeita) · Rio Guadiana em fronteira natural com Espanha · Pesca histórica do atum com armação (séc. XVII-XX) · Museu Manuel Cabanas · Ayamonte (Espanha) ao outro lado · Praia de Monte Gordo</t>
  </si>
  <si>
    <t>📍 POIs: Cacela Velha (a aldeia mais bonita do sotavento algarvio) · Muralha medieval sobre a Ria Formosa · Ribeiras com caracol-romano e víbora-cornuda · Vista sobre a Ria Formosa e mar · Igreja de Nossa Senhora da Assunção (séc. XVI) · Forte de Cacela Velha</t>
  </si>
  <si>
    <t>📍 POIs: Sete Vales Suspensos de Carvoeiro · Praia de Benagil com gruta de cúpula natural · Sete praias enclausuradas acessíveis a pé · Falésias calcárias do Miocénico multicoloridas · Barcos de gruta típicos · Gastronomia de Lagoa (cataplana)</t>
  </si>
  <si>
    <t>📍 POIs: Alcoutim medieval (Porto das Figueiras sobre o Guadiana) · Casas de xisto com azulejo artístico · Figueiras de porte enorme junto ao rio (séc. XIX) · Castelo de Alcoutim · Rio Guadiana calmo em fronteira · Fauna de lontra e lagarto-de-água</t>
  </si>
  <si>
    <t>📍 POIs: Lagoa de Santo André (com toupeira-de-água e pato-real) · Transição ecológica Atlântico-Mediterrânico · Serra de Santiago com castelo medieval · Miróbriga (cidade romana) a 3km · Fauna de flamingo e garça · Costa alentejana ao fundo</t>
  </si>
  <si>
    <t>📍 POIs: Praia de Melides (praia virgem e lagoa de Melides) · Duna litoral e pinheiro-manso centenário · Cooperativa de pesca artesanal de Melides activa · Lagoa de Melides com aves aquáticas · Grândola vila Caetano ao longe · Serra de Grândola</t>
  </si>
  <si>
    <t>📍 POIs: Calcário branco de Santiago do Cacém (contraste com Alentejo escuro) · Azinhais centenários de Quercus ilex · Rota geológica de afloramentos calcários · Miróbriga (cidade romano-suevo) · Castelo de Santiago do Cacém (Templários) · Fauna de corça</t>
  </si>
  <si>
    <t>📍 POIs: Monte da Guerra de Ourique (1139 — batalha do Ourique onde D. Afonso Henriques se proclamou rei) · Estepe cerealífera de Ourique · Cante alentejano vivo · Montado de azinho com cortiça · Aves estepárias: sisão, faisão e abetarda · Monumento da batalha</t>
  </si>
  <si>
    <t>📍 POIs: Serra do Louro (pico mais alto da Arrábida — 380m) · Sobreirais e pinhais centenários · Vista panorâmica sobre a Baía de Setúbal e Serra da Arrábida · Ruínas do Castelo de Palmela (Ordem de Santiago, séc. XII) · Estuário do Sado ao fundo · Fauna de açor</t>
  </si>
  <si>
    <t>📍 POIs: Megalíticos do 4.º milénio a.C. em Monsaraz · Cromeleque dos Almendres (Stonehenge português) · Monte do Olival com menhir isolado · Alqueva ao fundo em espelho de água · Aldeia medieval de Monsaraz sobre o lago · UNESCO candidatura</t>
  </si>
  <si>
    <t>📍 POIs: Aqueduto Prateado de Évora (17km, 843 arcos, ainda em funcionamento) · Prata do Rio Prata filtrada em calcário · Arcos renascentistas do séc. XVI · Évora cidade-museu UNESCO · Templo Romano do séc. I · Muralhas medievais</t>
  </si>
  <si>
    <t>📍 POIs: Castelo de Marvão (862m — o mais alto castelo de Portugal) · Vista até Espanha e Serra de São Mamede · Aldeia medieval de granito nas nuvens · Igreja de Santa Maria do séc. XIV · Muralha medieval do séc. XIII intacta · Museu Municipal de Marvão</t>
  </si>
  <si>
    <t>📍 POIs: Castelo de Portel sobre a planície alentejana · Azinhais e sobreiros centenários do montado · Observação de aves de rapina em colónias · Paisagem de estepe mediterrânica · Alqueva ao fundo · Fauna de bufo-real e falcão-peregrino</t>
  </si>
  <si>
    <t>📍 POIs: Ribeira de Pisões (cársica com lontra e cágado mediterrânico) · Galeria ripícola densa de freixo e amieiro · Achados arqueológicos romanos de Pisões (séc. I) · Villa Romana de Pisões (em escavação) · Rio com habitat pristino · Beja histórica</t>
  </si>
  <si>
    <t>📍 POIs: Antas e menhires de Santiago do Cacém (4000-3000 a.C.) · Ruínas romanas de Miróbriga · Paisagem de transição atlântico-mediterrânica · Serra de Santiago com castelo templário · Fauna de rapinas migrantes · Arqueologia em continuidade</t>
  </si>
  <si>
    <t>📍 POIs: Baluartes abaluartados de Elvas (UNESCO — os mais completos do mundo) · Aqueduto de Amoreira (7km, séc. XVI) · Fronteira com Espanha (Badajoz) visível · Castelo de Elvas (séc. XIII) · Igreja Nossa Senhora da Assunção · Praça de armas histórica</t>
  </si>
  <si>
    <t>📍 POIs: Rio Guadiana com lontra e cegonha-preta · Aldeias brancas de cal alentejanas · Barragem do Alqueva ao longe (espelho de água) · Monsaraz medieval · Rio em fronteira com Espanha · Fauna de garça-cinzenta e martin-pescador</t>
  </si>
  <si>
    <t>📍 POIs: Estepe cerealífera de Ourique · Aves estepárias: sisão (Tetrax tetrax) e abetarda (Otis tarda) · Monte da Guerra de Ourique (1139 — origem de Portugal) · Batalha de Santiago · Fauna de tartaranhão-caçador · Planície de cerealicultura extensiva</t>
  </si>
  <si>
    <t>📍 POIs: Castelo fenícia-romano-árabe-cristão de Alcácer do Sal (4 civilizações sobrepostas) · Estuário do Sado em panorâmica · Salinas históricas activas · Cigonha branca nidificante (colónia) · Museu de Arqueologia de Alcácer · Rio Sado navegável</t>
  </si>
  <si>
    <t>📍 POIs: Montado mediterrânico intacto de Azinheira dos Barros · Lince-ibérico em recuperação activa (população em crescimento) · Silêncio absoluto de montado de sobreiro · Fauna de veado, javali e lobo · Sobreiro centenário em descortiçamento</t>
  </si>
  <si>
    <t>📍 POIs: Villa Romana dos Pinheiros de Vila de Frades (séc. I-IV) · Mosaicos romanos de Frades in situ · Azeite e vinho romanos do Alentejo histórico · Vinha do Alentejo DOC · Aldeia de Vila de Frades medieval · Lagar de varas romano</t>
  </si>
  <si>
    <t>📍 POIs: Granitos com buracos esculpidos pelo vento (erosão eólica única) · Serra de São Mamede em panorâmica · Termas de Nisa (águas sulfurosas) · Portas de Ródão (canhão do Tejo) · Aldeia de Nisa com torre medieval · Fauna de falcão e coruja</t>
  </si>
  <si>
    <t>📍 POIs: Barragem de Belver (albufeira do Rio Tejo) · Castelo medieval de Belver sobre o rio (Templários, séc. XIII) · Vale encaixado do Tejo em xisto · Lontra e cegonha-preta nas margens · Rio Sever afluente · Aldeia de Belver medieval</t>
  </si>
  <si>
    <t>📍 POIs: Ribeira do Vascão (fronteira natural Alentejo-Algarve) · Anfíbios endémicos (salamandra-lusitânica, sapo-de-unha-negra) · A mais selvagem ribeira do sul de Portugal · Xisto e grauvaque · Fauna de lontra e víbora-cornuda · Flora aquática de nascente</t>
  </si>
  <si>
    <t>📍 POIs: Monsaraz (Starlight Destination — o céu mais escuro da Europa) · Céu nocturno sem poluição luminosa · Megálitos iluminados pela Via Láctea · Dark Sky Alqueva (Reserva Starlight) · Observatório astronómico · Lago Alqueva em reflexo das estrelas</t>
  </si>
  <si>
    <t>📍 POIs: Mértola Vila Museu (única mesquita muçulmana convertida em Igreja em Portugal — séc. XII) · Muralhas islâmicas da Kura de Mértola · Rio Guadiana em canhão de xisto · Museu de Arte Islâmica de Mértola · Necropole islâmica medieval · Bastion romano</t>
  </si>
  <si>
    <t>📍 POIs: Ponto mais alto do Alentejo na Serra de Ossa · Mármores de Estremoz (brancos com veios azuis) · Conventos e castelos medievais em paisagem de mármores brancos · Estremoz com castelo e torre das Três Coroas · Pedreira histórica de mármore</t>
  </si>
  <si>
    <t>📍 POIs: Barrancos (único lugar em Portugal com tourada à morte) · Dehesa ibérica com lince em recuperação · Fronteira trilingue português-espanhol-extremenho · Fauna de javali, cervo e lince · Charcinas (lamaçais mediterrânicos) · Carnaval de Barrancos (UNESCO candidatura)</t>
  </si>
  <si>
    <t>📍 POIs: Muralhas medievais de Serpa com cata-vento árabe único (séc. XII) · Queijo de Serpa DOP (em produção local) · Aqueduto romano-medieval ainda em funcionamento · Relógio de sol na muralha · Torre das Portas de Beja · Museu Etnográfico de Serpa</t>
  </si>
  <si>
    <t>📍 POIs: Ponta da Piedade (arcos e grutas calcárias mais fotografadas do Algarve) · Luz dourada ao entardecer sobre calcário dourado · Barcos de gruta · Farol de Lagos · Forte da Ponta da Bandeira (séc. XVII) · Lagos histórica com mercado de escravos (séc. XV)</t>
  </si>
  <si>
    <t>📍 POIs: Fóia (902m — pico mais alto do Algarve) · Vista para Marrocos em dia limpo (140km) · Águas termais de Monchique a 32°C · Medronheiro e eucalipto · Caldas de Monchique (spa histórico) · Miradouro panorâmico sobre o Barlavento</t>
  </si>
  <si>
    <t>📍 POIs: Salinas de Tavira (flamingo e pernilongo em bandos) · Ria Formosa em barco (percurso de barco integrado) · Tavira romano-árabe-medieval (37 igrejas) · Ponte romana de Tavira (séc. I) · Castelo de Tavira (séc. XIII) · Ilha de Tavira em frente</t>
  </si>
  <si>
    <t>📍 POIs: Rocha da Pena (única fortaleza natural calcária interior do Algarve) · Fósseis mesozóicos do Jurássico (calcário recifal) · Orquídeas espelho (Ophrys speculum) na primavera · Tomilho-cabeçudo (Thymus capitellatus — endémico) · Fauna de falcão-peregrino · Vista sobre o Barrocal</t>
  </si>
  <si>
    <t>📍 POIs: Sagres (ponta mais sudoeste da Europa — o Fim do Mundo medieval) · Farol do Cabo de São Vicente (Almirante da Armada, séc. XIX) · Fortaleza de Sagres (Escola de Navegação de Henrique o Navegador, séc. XV) · Rosa dos Ventos (séc. XV) · Boca do Rio · Lagos medieval</t>
  </si>
  <si>
    <t>📍 POIs: Odeceixe (aldeia-fronteira Algarve/Alentejo) · Praia Fluvial do Rio Seixe (no oceano — única em Portugal) · Costa Vicentina mais selvagem · Dunas fósseis e matos de esteva · Praia de Monte Clérigo · Percurso Rota Vicentina — Trilho dos Pescadores</t>
  </si>
  <si>
    <t>📍 POIs: Ilhas barreira da Ria Formosa (Culatra, Armona, Ilha do Farol) · Pesca artesanal em embarcações típicas · Ostras e lingueirão cultivados in situ · Parque Natural da Ria Formosa (maior parque costeiro de Portugal) · Fauna de flamingo e garça-purpúrea · Comunidade de ilhéus</t>
  </si>
  <si>
    <t>📍 POIs: Alte (aldeia mais bonita do Algarve segundo Strabo) · Nascentes frescas de Alte no verão tórrido · Lontra nas ribeiras de Alte · Fontes históricas com azulejo de 1929 · Pelourinho de Alte (séc. XVI) · Arquitetura típica algarvia com chaminés rendilhadas</t>
  </si>
  <si>
    <t>📍 POIs: Floresta de pinheiros de Barão de São João · Esculturas de arte contemporânea integradas no bosque · Rota de escultura ao ar livre (obras permanentes) · Fauna de corça e javali · Silêncio do sotobosque · Barão de São João medieval</t>
  </si>
  <si>
    <t>📍 POIs: Falésias terciárias multicoloridas de Albufeira · Arenitos vermelhos e amarelos do Miocénico · Grutas e arcos naturais de Olhos de Água · Fauna de sardinha e pargo nas grutas · Costa calcária e arenosa de transição · Albufeira histórica</t>
  </si>
  <si>
    <t>📍 POIs: Sete Vales Suspensos (percurso icónico de falésias calcárias de Lagoa) · Sete praias escondidas por grutas acessíveis a pé · Gruta de Benagil (cúpula natural de calcário) · Azul intenso das águas da Lagoa · Fauna marinha de golfinho e tartaruga · Barcos de gruta</t>
  </si>
  <si>
    <t>📍 POIs: Fonte Benémola (nascente cársica de Loulé em habitat pristino) · Lontra e cágado-mediterrânico (Mauremys leprosa) · Galeria ripícola única do Algarve interior · Ribeira de Menalva em caudal constante · Salgueiros e freixos seculares · Fauna de lontra activa</t>
  </si>
  <si>
    <t>📍 POIs: Costa Vicentina selvagem de Aljezur · Dunas-fósseis do Plistocénico de Aljezur · Surf de classe mundial (Arrifana, Amoreira) · Paisagem pré-histórica de estuário e dunas · Castelo de Aljezur (séc. X, árabe) · Museu Arqueológico de Aljezur</t>
  </si>
  <si>
    <t>📍 POIs: Ribeira de Cobres de Mértola (afluente do Guadiana) · Lontra e anfíbios endémicos · Transição geológica Algarve-Alentejo · Xisto e maquis de cistus · Fauna de cegonha-preta e garça-cinzenta · Mértola Vila Museu ao longe · Granito e xisto em contacto</t>
  </si>
  <si>
    <t>📍 POIs: Cacela Velha (aldeia de pescadores no cume de escarpa) · Vista sobre a Ria Formosa e mar azul · Sacos históricos de sal da rota do contrabando · Igreja de Nossa Senhora da Assunção (séc. XVI) · Forte de Cacela Velha · Fauna de tartaruga-careta em migração</t>
  </si>
  <si>
    <t>📍 POIs: Ilha da Culatra (ilha de pescadores sem carros) · Comunidade piscatória tradicional do Algarve · Percurso de ilhas barreira da Ria Formosa · Pharol (aldeia na ponta da Culatra) · Fauna de flamingo e garça · Praias de areia branca isoladas</t>
  </si>
  <si>
    <t>📍 POIs: Levadas históricas de irrigação de Monchique (séc. XVII) · Fetos arbóreos gigantes (Woodwardia radicans — espécie subtropical rara) · Microclima único de Monchique (mais húmido que o litoral) · Cameleiras e magnólias centenárias · Fauna de toutinegra-do-mato</t>
  </si>
  <si>
    <t>📍 POIs: Vila do Bispo (prenúncio da Escola de Sagres de Henrique o Navegador) · Ermidas pré-colombinas do séc. XV (Nossa Senhora de Guadalupe) · O fim do mundo habitado medieval português · Fortaleza de Sagres ao longe · Aldeia da Raposeira com história naval · Cabo de São Vicente</t>
  </si>
  <si>
    <t>📍 POIs: Ruínas romanas de Cerro da Vila (Vilamoura, séc. I-IV) · Mosaicos romanos visíveis in situ · Marina de Vilamoura (moderna) sobre arqueologia romana · Museu de Cerro da Vila · Praia de Vilamoura · Quarteira histórica a 2km</t>
  </si>
  <si>
    <t>📍 POIs: Algar de Benagil (a gruta mais fotografada do mundo — cúpula natural de calcário) · Percurso de falésias antes da afluência turística · Praia de Benagil em baía enclausurada · Formações calcárias do Miocénico · Trilho de falésias sobre grutas · Luz zenital única</t>
  </si>
  <si>
    <t>📍 POIs: Lagoa Azul e Lagoa Verde de Sete Cidades (cores diferentes por óxido de ferro) · Cratera vulcânica de 12km de diâmetro · Caldeira de São Miguel · Hortênsias azuis em explosão · Pico do Carvão (miradouro sobre a cratera) · Aldeias de São Miguel na cratera</t>
  </si>
  <si>
    <t>📍 POIs: Lagoa do Fogo (caldeira vulcânica de cor esmeralda) · Reserva Natural do Fogo em São Miguel · Subida entre fetos gigantes e urze açoreana · Isolamento perfeito sem turismo de massas · Vista sobre toda a ilha de São Miguel · Fauna de andorinha-do-mar</t>
  </si>
  <si>
    <t>📍 POIs: Caldeira do Faial (2km de diâmetro, intacta) · Flora endémica açoreana na caldeira · Vista para o Pico (montanha mais alta de Portugal) em dia limpo · Silêncio de outro mundo · Hortênsias azuis no caminho · Capelinhos ao fundo (erupção de 1957)</t>
  </si>
  <si>
    <t>📍 POIs: Pico (2351m — ponto mais alto de Portugal, montanha vulcânica) · Acima das nuvens na Caldeirinha · Vulcão mais perfeito da Macaronésia · Vinha UNESCO em currais de pedra · Vista sobre o arquipélago dos Açores · Fauna de borrelho-de-coleira na areia volcânica</t>
  </si>
  <si>
    <t>📍 POIs: Flores (ilha mais verde e húmida dos Açores) · Cascatas de Alagoinha de 300m sobre o oceano · Lagoas em caldeira de cor verde-esmeralda · Verde mais intenso do Atlântico · Caldeirão das Flores · Fauna de fardela e cagarra · Isolamento absoluto de ilha</t>
  </si>
  <si>
    <t>📍 POIs: Ilha Graciosa (a mais suave e plana dos Açores) · Moinhos de vento holandeses brancos (séc. XVIII) · Caldeira de Graciosa com gruta de lava (Furna do Enxofre) · Termas do Carapacho · Aldeia de Santa Cruz da Graciosa · Fauna de cagarra e andorinha-do-mar</t>
  </si>
  <si>
    <t>📍 POIs: Serra de Santa Bárbara (ponto mais alto da Terceira — 1021m) · Floresta de teixo e louro-dos-Açores (endémica) · Prado de altitude com endémicas raras (Ilex perado azorica) · Caldeira Guilherme Moniz · Fauna de priolo (endémico crítico) · Vulcanismo activo</t>
  </si>
  <si>
    <t>📍 POIs: Corvo (a menor ilha habitada da Macaronésia — 17km²) · Caldeirão do Corvo (lagoas dentro de caldeirão) · Ilhotes e lagoas dentro da caldeira · Silêncio absoluto (menos de 500 habitantes) · Observação de aves raro (migrantes norte-americanas) · Aldeia do Corvo única</t>
  </si>
  <si>
    <t>📍 POIs: Fajã dos Cubres (plataforma lávica de São Jorge) · Trilho de falésia com vertigens a 700m sobre o Atlântico · Lagoa da Fajã dos Cubres (habitat de ameijoa-das-fajãs) · Fajã dos Tijolos (inacessível por estrada) · Vista sobre o Canal da Terceira · Fauna de cagarra</t>
  </si>
  <si>
    <t>📍 POIs: Santa Maria (a ilha mais antiga e mais árida dos Açores) · Pico Alto de Santa Maria (587m) · Terraços fósseis marinhos (únicas fósseis marinhos dos Açores) · Calcário sedimentar num arquipélago vulcânico (geologia única) · Baía de São Lourenço · Praia Formosa</t>
  </si>
  <si>
    <t>📍 POIs: Cozido das Furnas (cozinhado 6 horas no subsolo geotérmico) · Poças da Dona Beija (termas naturais a 40°C) · Parque Terra Nostra com jardim tropical do séc. XVIII · Lago das Furnas com vulcanismo activo · Caldeiras ferventes de enxofre · Aldeia das Furnas</t>
  </si>
  <si>
    <t>📍 POIs: Vinhas do Pico (UNESCO Património Mundial) em currais de pedra basáltica · Vinho Verdelho das castas mais antigas de Portugal · Museu do Vinho do Pico · Lava negra do séc. XVII-XVIII em formações de biscoito · Fauna de baleia (observação activa) · Marina de Madalena</t>
  </si>
  <si>
    <t>📍 POIs: Capelinhos (erupção de 1957 que emergiu do oceano) · Farol de Capelinhos semienterrado em cinzas vulcânicas · Museu dos Capelinhos (arquitectura subterrânea) · Lava de 2km² que emergiu do Atlântico · Desolação bela de cinerita recente · Caldera do Faial ao fundo</t>
  </si>
  <si>
    <t>📍 POIs: Vista norte da cratera de Sete Cidades (diferente e menos turística) · Lagoa Azul vista do lado norte com luz matinal · Silêncio das lagoas ao amanhecer · Flora endémica açoreana nas margens · Caldeira de São Miguel · Fauna de pato-real e galinha-d'água</t>
  </si>
  <si>
    <t>📍 POIs: Piscinas naturais de lava de Biscoitos na Terceira · Mar turquesa sobre basalto negro milenar · Vinha de Biscoitos em currais de pedra históricos · Adega cooperativa de Biscoitos activa · Vinho de cheiro açoreano · Fauna de espadarte e arraia-da-areia</t>
  </si>
  <si>
    <t>📍 POIs: Levada do Caldeirão Verde (com 4 túneis de basalto escavados) · Caldeirão Verde (queda de 100m em anfiteatro) · Caldeirão do Inferno (0.6km) · Floresta Laurissilva UNESCO (floresta subtropical primitiva) · Fauna de pombo-trocaz e fura-bardos · Queimadas (casa florestal histórica)</t>
  </si>
  <si>
    <t>📍 POIs: 25 Fontes (nascentes em anfiteatro de Laurissilva) · Lagoa Preta (lago esmeralda no Paul da Serra) · Levada das 25 Fontes (a mais popular da Madeira) · Floresta de lauráceas com tília e loureiro · Fauna de pombo-trocaz (endémico) · Paul da Serra ao fundo</t>
  </si>
  <si>
    <t>📍 POIs: Pico Ruivo (1862m — ponto mais alto da Madeira) · Acima das nuvens (inversão térmica) · Pôr-do-sol sobre o arquipélago inteiro · Flora endémica de altitude (Silene) · Fauna de borrelho-de-bico-vermelho · Pico do Arieiro ao fundo (1818m) · Achada do Teixeira</t>
  </si>
  <si>
    <t>📍 POIs: Ponta de São Lourenço (extremo leste desértico da Madeira) · Lavas basálticas sobre o oceano azul · Dunas de calcário fóssil · Contraste de verde e deserto numa ilha tropical · Baleia e golfinho ao largo · Ilhéu da Cevada e Ilhéu do Desembarcadouro · Fauna de cagarra e alma-negra</t>
  </si>
  <si>
    <t>📍 POIs: Levada do Rei (ribeiro bonito com bambuzais gigantes) · Ribeiro Bonito com trutas selvagens · Pombo-trocaz (endémico crítico da Madeira) em voo · Floresta laurissilva primitiva · Lagoa do Caldeirão Verde ao fundo · São Jorge (aldeia histórica) · Fauna de fura-bardos</t>
  </si>
  <si>
    <t>📍 POIs: Cabo Girão (2.ª falésia mais alta da Europa — 580m) · Skywalk de vidro sobre o oceano · Churchill pintou aqui em 1950 · Vinhas suspensas abaixo da falésia (inacessíveis por estrada) · Vista sobre o Funchal e oceano · Fajãs de basalto abaixo</t>
  </si>
  <si>
    <t>📍 POIs: Levada do Norte (histórica de 1953 — traversia norte-sul da ilha) · Encumeada em passagem de montanha · Contraste de cores entre vertente norte (verde escuro) e sul (seco) · Túneis de basalto iluminados · São Vicente no norte · Ponta do Sol no sul</t>
  </si>
  <si>
    <t>📍 POIs: Pico do Arieiro (1818m, 3.º mais alto da Madeira) · Pico Ruivo (1862m — o mais alto) · A mais famosa caminhada da Madeira (7km, 3-4h) · Basalto e névoa acima das nuvens · Mundo anterior ao Homem em altitude · Fauna de borrelho e açor-da-Madeira · Túneis de basalto</t>
  </si>
  <si>
    <t>📍 POIs: Levada do Furado (levada clássica pela Laurissilva) · Ribeiro Frio (restaurante e truta) · Miradouros dos Balcões (vista sobre vale geológico único) · Fanal (levada na floresta primitiva) · Rio de peixes com trutas arco-íris · Fauna de pombo-trocaz e pintarroxo</t>
  </si>
  <si>
    <t>📍 POIs: Vereda do Larano (costa norte inacessível por estrada) · Falésia de basalto de 400m sobre o Atlântico Norte · Pombo-trocaz (endémico) em voo · Fauna de cagarra e andorinha-das-rochas · Aldeia de São Roque do Faial histórica · Laurissilva primitiva</t>
  </si>
  <si>
    <t>📍 POIs: Miradouro dos Balcões (vale geológico mais fotogénico da Madeira) · O mais fotogénico em apenas 2.6km de percurso · Loureiros com séculos (Laurus azorica) · Vista sobre o Ribeiro Frio e vales verdes · Fauna de pombo-trocaz em voo · Ribeiro Frio (piscicultura)</t>
  </si>
  <si>
    <t>📍 POIs: Levada das Flores da ilha das Flores (Açores, não Madeira) · Campos de hortênsias azuis em explosão total · Aldeias isoladas da Ilha das Flores · Fauna de cagarra e pardela em colónias · Caldeira das Flores ao fundo · Poço da Alagoinha com cascatas de 300m</t>
  </si>
  <si>
    <t>📍 POIs: Levada do Caniçal (canal histórico da costa leste) · Vista para as Ilhas Desertas e Porto Santo · Ponta de São Lourenço (extremo leste) como destino visual · Maçico rochoso de basalto · Caniçal (aldeia de baleeiros histórica) · Fauna de cagarra e andorinha-das-rochas</t>
  </si>
  <si>
    <t>📍 POIs: Encumeada (passagem de montanha a 1007m) · Pico Grande (1654m) na crista · Paisagem marciana de basalto e névoa · Vento e neve no verão · Solidão absoluta acima das nuvens · Fauna de borrelho-de-bico-vermelho (endémico) · Vista para ambas as vertentes da Madeira</t>
  </si>
  <si>
    <t>PR 1 — Vereda do Areeiro</t>
  </si>
  <si>
    <t>1 818 m</t>
  </si>
  <si>
    <t>📍 POIs: Pico do Arieiro (1818m — 3.º ponto mais alto da Madeira) · Vereda clássica entre o Arieiro e o Ruivo · Paisagem de basalto e névoa · Túneis escavados no basalto · Flora endémica de altitude · Vista sobre ambas as vertentes da ilha</t>
  </si>
  <si>
    <t>PR 1.1 — Vereda da Ilha</t>
  </si>
  <si>
    <t>📍 POIs: Variante da Vereda do Areeiro · Percurso alternativo pela Ilha (cume central da Madeira) · Basalto negro em cumeada · Flora endémica das altitudes da Madeira · Vistas sobre ambas as vertentes · Pombo-trocaz em voo</t>
  </si>
  <si>
    <t>PR 1.2 — Vereda do Pico Ruivo</t>
  </si>
  <si>
    <t>📍 POIs: Pico Ruivo (1862m — ponto mais alto da Madeira) · Acesso pela Achada do Teixeira · Casa de Abrigo do Pico Ruivo · Vista sobre toda a ilha · Flora endémica de altitude (Silene) · Fauna de borrelho-de-bico-vermelho · Pôr-do-sol único</t>
  </si>
  <si>
    <t>Achada do Teixeira, Madeira</t>
  </si>
  <si>
    <t>PR 1.3 — Vereda da Encumeada</t>
  </si>
  <si>
    <t>📍 POIs: Encumeada (passagem de montanha a 1007m) · Descida pela cumeada central da Madeira · Laurissilva densa em altitude · Vista sobre ambas as vertentes · Fauna de pombo-trocaz e fura-bardos · Passagem por Pico Ruivo</t>
  </si>
  <si>
    <t>Encumeada, Madeira</t>
  </si>
  <si>
    <t>PR 2 — Vereda do Urzal</t>
  </si>
  <si>
    <t>📍 POIs: Urzal (mato de urze atlântica endémica) · Erica platycodon da Madeira em flor · Paisagem de altitude com vistas panorâmicas · Levadas históricas e ribeiros de montanha · Fauna de pombo-trocaz e açor-da-Madeira · Cume central da ilha</t>
  </si>
  <si>
    <t>PR 3 — Vereda do Burro</t>
  </si>
  <si>
    <t>📍 POIs: Vereda do Burro (cumeada central) · Laurissilva e urzal em altitude · Vistas sobre o norte da Madeira · Ribeiro do Juncal · Fauna de pombo-trocaz e fura-bardos · Flora endémica de altitude</t>
  </si>
  <si>
    <t>PR 3.1 — Caminho Real do Monte</t>
  </si>
  <si>
    <t>📍 POIs: Caminho Real do Monte (calçada histórica do séc. XVIII) · Monte (jardins e teleférico) · Igreja de Nossa Senhora do Monte (séc. XIX) · Carros de cesto do Monte (tradição única) · Vista sobre o Funchal · Laurissilva nos arredores</t>
  </si>
  <si>
    <t>Monte, Funchal, Madeira</t>
  </si>
  <si>
    <t>PR 4 — Levada do Barreiro</t>
  </si>
  <si>
    <t>📍 POIs: Levada do Barreiro (canal histórico de rega da Madeira) · Floresta laurissilva em bom estado de conservação · Ribeiro do Barreiro · Fauna de pombo-trocaz e pintarroxo-da-Madeira · Vista sobre o vale norte · Paul da Serra ao longe</t>
  </si>
  <si>
    <t>PR 5 — Vereda das Funduras</t>
  </si>
  <si>
    <t>📍 POIs: Funduras (vale profundo encaixado) · Laurissilva densa com tília e til · Ribeiro das Funduras em caudal permanente · Vista sobre o vale encaixado · Fauna de pombo-trocaz e fura-bardos · Flora endémica de fundo de vale</t>
  </si>
  <si>
    <t>PR 6.1 — Levada do Risco</t>
  </si>
  <si>
    <t>📍 POIs: Cascata do Risco (queda de 100m no Paul da Serra) · Levada do Risco em canal histórico · Floresta laurissilva do Rabaçal · Paul da Serra ao fundo · Fauna de pombo-trocaz e açor-da-Madeira · Percurso curto e acessível</t>
  </si>
  <si>
    <t>Rabaçal, Madeira</t>
  </si>
  <si>
    <t>PR 6.4 — Levada Velha do Rabaçal</t>
  </si>
  <si>
    <t>📍 POIs: Levada Velha do Rabaçal (canal histórico mais antigo do Rabaçal) · Floresta laurissilva densa e primitiva · Musgo e líquen em cada pedra · Silêncio absoluto da floresta · Fauna de pombo-trocaz e fura-bardos · Paul da Serra acima</t>
  </si>
  <si>
    <t>PR 6.5 — Vereda do Pico Fernandes</t>
  </si>
  <si>
    <t>📍 POIs: Pico Fernandes (cume secundário do Paul da Serra) · Vista sobre o Rabaçal e vale norte · Laurissilva em transição para urzal de altitude · Fauna de pombo-trocaz e açor · Paul da Serra ao redor · Silêncio de altitude</t>
  </si>
  <si>
    <t>PR 6.6 — Vereda do Túnel do Cavalo</t>
  </si>
  <si>
    <t>📍 POIs: Túnel do Cavalo (túnel escavado no basalto para passagem da levada) · Percurso com lanterna obrigatória · Laurissilva antes e depois do túnel · Rabaçal (reserva natural) · Paul da Serra ao fundo · Fauna de pombo-trocaz</t>
  </si>
  <si>
    <t>PR 6.8 — Levada do Paul II – Um Caminho para Todos</t>
  </si>
  <si>
    <t>📍 POIs: Percurso acessível para mobilidade condicionada · Paul da Serra (planalto a 1400m) · Vista sobre a Madeira norte e sul · Levada histórica adaptada · Fauna de pombo-trocaz e borrelho · Paisagem de altitude acessível a todos</t>
  </si>
  <si>
    <t>Paul da Serra, Madeira</t>
  </si>
  <si>
    <t>PR 7 — Levada do Moinho</t>
  </si>
  <si>
    <t>📍 POIs: Levada do Moinho (canal histórico do séc. XVII) · Moinhos de água em ruínas ao longo da levada · Vista sobre a costa norte da Madeira · Floresta laurissilva · Fauna de pombo-trocaz e fura-bardos · Porto Moniz ao fundo</t>
  </si>
  <si>
    <t>PR 10 — Levada do Furado</t>
  </si>
  <si>
    <t>📍 POIs: Levada do Furado (percurso clássico pela Laurissilva) · Miradouros dos Balcões integrados no percurso · Ribeiro Frio com piscicultura de trutas · Laurissilva densa com til e loureiro · Fauna de pombo-trocaz e pintarroxo · Vista sobre vale geológico único</t>
  </si>
  <si>
    <t>PR 12 — Caminho Real da Encumeada</t>
  </si>
  <si>
    <t>1 007 m</t>
  </si>
  <si>
    <t>📍 POIs: Encumeada (passagem de montanha a 1007m) · Caminho Real histórico de ligação norte-sul da Madeira · Vista sobre ambas as vertentes da ilha · Laurissilva densa na encosta norte · Serra de Água ao fundo · Fauna de pombo-trocaz</t>
  </si>
  <si>
    <t>PR 13 — Vereda do Fanal</t>
  </si>
  <si>
    <t>1 115 m</t>
  </si>
  <si>
    <t>📍 POIs: Fanal (floresta de faias-das-ilhas milenares numa nebulosa única) · Til (Ocotea foetens) centenários com copas em forma de cogumelo · Névoa permanente e silêncio de outro mundo · Floresta laurissilva classificada UNESCO · Fauna de pombo-trocaz · Paisagem fantasmagórica única</t>
  </si>
  <si>
    <t>Fanal, Porto Moniz, Madeira</t>
  </si>
  <si>
    <t>PR 13.1 — Vereda da Palha Carga</t>
  </si>
  <si>
    <t>📍 POIs: Palha Carga (variante do Fanal) · Laurissilva e faias milenares · Vista sobre a costa norte da Madeira · Silêncio absoluto da floresta primitiva · Fauna de pombo-trocaz endémico · Porto Moniz ao fundo</t>
  </si>
  <si>
    <t>PR 14 — Levada dos Cedros</t>
  </si>
  <si>
    <t>📍 POIs: Levada dos Cedros (percurso clássico do noroeste) · Cedros (aldeia histórica) · Floresta laurissilva primitiva do noroeste · Vista sobre a costa norte selvagem · Ribeiros de montanha em caudal permanente · Fauna de pombo-trocaz e fura-bardos</t>
  </si>
  <si>
    <t>PR 15 — Vereda da Ribeira da Janela</t>
  </si>
  <si>
    <t>📍 POIs: Ribeira da Janela (ribeiro de basalto com ilhéu na foz) · Ilhéu da Janela (marco do noroeste) · Cascatas em degraus de basalto · Vista sobre o oceano Atlântico · Fauna de cagarra e andorinha-das-rochas · Laurissilva no vale encaixado</t>
  </si>
  <si>
    <t>PR 19 — Caminho Real do Paul do Mar</t>
  </si>
  <si>
    <t>📍 POIs: Paul do Mar (aldeia piscatória isolada inacessível por estrada até 2001) · Caminho Real histórico de acesso pela encosta · Calçada de basalto sobre falésia · Vista sobre o oceano Atlântico · Ponto de surf do Jardin · Fauna de andorinha-das-rochas</t>
  </si>
  <si>
    <t>Paul do Mar, Madeira</t>
  </si>
  <si>
    <t>PR 20 — Vereda do Jardim do Mar</t>
  </si>
  <si>
    <t>📍 POIs: Jardim do Mar (aldeia piscatória com jardins tropicais) · Praia de seixos pretos · Surf de classe mundial (The Wall) · Calçada histórica de acesso · Vista sobre o oceano e costa sudoeste · Floração de geraniums e buganvílias · Fauna de cagarra</t>
  </si>
  <si>
    <t>Jardim do Mar, Madeira</t>
  </si>
  <si>
    <t>PR 21 — Caminho do Norte</t>
  </si>
  <si>
    <t>📍 POIs: Caminho do Norte (antiga via de ligação norte-sul da Madeira) · Calçada histórica entre serras e aldeias · Vista sobre a costa norte selvagem · Laurissilva em estado primitivo · São Vicente ao fundo · Fauna de pombo-trocaz e fura-bardos</t>
  </si>
  <si>
    <t>PR 23 — Levada da Azenha</t>
  </si>
  <si>
    <t>📍 POIs: Levada da Azenha (canal histórico de rega) · Azenhas de água históricas em basalto · Vista sobre o vale e costa sul · Floresta laurissilva em vertente sul · Fauna de pombo-trocaz e pintarroxo-da-Madeira · Percurso tranquilo e sombreado</t>
  </si>
  <si>
    <t>PR 27 — Glaciar de Planalto</t>
  </si>
  <si>
    <t>📍 POIs: Paul da Serra (planalto basáltico vulcânico) · Paisagem de glaciar de planalto (morfologia única em ilha atlântica) · Vento e névoa permanentes no planalto · Parques eólicos em operação · Fauna de borrelho e perdiz da Madeira · Vista sobre ambas as vertentes</t>
  </si>
  <si>
    <t>PR 28 — Levada da Rocha Vermelha</t>
  </si>
  <si>
    <t>📍 POIs: Rocha Vermelha (afloramento de basalto avermelhado por óxido de ferro) · Levada histórica de rega · Vista sobre o vale e costa sul da Madeira · Contrastes de cor entre basalto negro e vermelho · Fauna de pombo-trocaz e pintarroxo · Percurso tranquilo e sombreado</t>
  </si>
  <si>
    <t>🏝️  PORTO SANTO  —  Porto Santo  ·  3 percursos</t>
  </si>
  <si>
    <t>PR 1 Porto Santo — Vereda do Pico Branco e Terra Chã</t>
  </si>
  <si>
    <t>517 m</t>
  </si>
  <si>
    <t>📍 POIs: Pico Branco (517m — ponto mais alto do Porto Santo) · Terra Chã (planalto calcário central) · Vista sobre a Praia Dourada (9km de areia fina terapêutica) · Dunas calcárias fósseis · Calcário fossilífero do Miocénico · Fauna de cagarra e andorinha-das-rochas</t>
  </si>
  <si>
    <t>PR 2 Porto Santo — Vereda do Pico do Castelo</t>
  </si>
  <si>
    <t>437 m</t>
  </si>
  <si>
    <t>📍 POIs: Pico do Castelo (437m — miradouro histórico) · Torre de vigia medieval (séc. XV) · Vista sobre a Praia Dourada e ilhéus do Porto Santo · Floresta de pinheiros de sombra única · Fauna de rapinas e cagarra · Estalagem histórica do Castelo</t>
  </si>
  <si>
    <t xml:space="preserve">  🟫  MADEIRA  —  Madeira + Porto Santo  ·  45 percursos</t>
  </si>
  <si>
    <t>PR 17 — Caminho do Pináculo e Folhadal (Bica da Cana)</t>
  </si>
  <si>
    <t>1 560 m</t>
  </si>
  <si>
    <t>📍 POIs: Bica da Cana (1560m — miradouro do Paul da Serra) · Pináculo e Folhadal (cumeadas do planalto) · Paul da Serra (planalto basáltico a 1400m) · Pôr-do-sol acima das nuvens sobre o Atlântico · Fauna de borrelho-de-bico-vermelho e perdiz-da-Madeira · Vento e névoa permanentes</t>
  </si>
  <si>
    <t>Cerros da Carrapateira</t>
  </si>
  <si>
    <t>13,2 km</t>
  </si>
  <si>
    <t>3h30-4h</t>
  </si>
  <si>
    <t>400 m D+</t>
  </si>
  <si>
    <t>📍 POIs: Carrapateira · Parque Natural SW Alentejano e Costa Vicentina · Rota Vicentina · Vistas panorâmicas sobre a costa e praia da Bordeira · Vale da Vilarinha · Campos agrícolas e turismo rural</t>
  </si>
  <si>
    <t>Da Bordeira até ao Mar</t>
  </si>
  <si>
    <t>13,5 km</t>
  </si>
  <si>
    <t>4h-4h30</t>
  </si>
  <si>
    <t>325 m D+</t>
  </si>
  <si>
    <t>📍 POIs: Bordeira · Parque Natural SW Alentejano e Costa Vicentina · Rota Vicentina · Pinhal do Bordalete · Campos dunares suspensos sobre arribas · Afloramentos geológicos · Vistas sobre a linha de costa</t>
  </si>
  <si>
    <t>Endiabrada e os Lagos Escondidos</t>
  </si>
  <si>
    <t>415 m D+</t>
  </si>
  <si>
    <t>📍 POIs: Bordeira · Parque Natural SW Alentejano · Rota Vicentina · Floresta de carvalhos nativos bem conservada · Lagoas de água doce escondidas · Ribeira da Bordeira · Vegetação ripícola densa</t>
  </si>
  <si>
    <t>Circuito Cultural e Ambiental de Aljezur</t>
  </si>
  <si>
    <t>6,4 km</t>
  </si>
  <si>
    <t>1h30-2h</t>
  </si>
  <si>
    <t>200 m D+</t>
  </si>
  <si>
    <t>📍 POIs: Castelo de Aljezur (séc. X árabe) · Ribeira de Aljezur e galeria ripícola · Parque Natural SW Alentejano e Costa Vicentina · Património histórico e cultural · Percurso homologado com áudio-guia</t>
  </si>
  <si>
    <t>Trilho Ambiental do Castelejo</t>
  </si>
  <si>
    <t>3,5 km</t>
  </si>
  <si>
    <t>1h</t>
  </si>
  <si>
    <t>110 m D+</t>
  </si>
  <si>
    <t>📍 POIs: Castelejo · Vila do Bispo · Parque Natural SW Alentejano e Costa Vicentina · Perímetro Florestal · Barranco do Castelejo · Flora e avifauna típica de pinhais costeiros · Vistas sobre a costa</t>
  </si>
  <si>
    <t>A Rocha Delicada</t>
  </si>
  <si>
    <t>6,5 km</t>
  </si>
  <si>
    <t>80 m D+</t>
  </si>
  <si>
    <t>📍 POIs: Quinta da Rocha · Portimão · Sapais e salinas da Ria de Alvor · Avifauna aquática · Centro de Interpretação A Rocha · Via Algarviana · Paisagens agrícolas · Percurso homologado</t>
  </si>
  <si>
    <t>Ao Sabor da Maré</t>
  </si>
  <si>
    <t>4,8 km</t>
  </si>
  <si>
    <t>30 m D+</t>
  </si>
  <si>
    <t>📍 POIs: Praia de Alvor · Portimão · Sistema estuarino-lagunar da Ria de Alvor · Avifauna costeira · Flora e fauna das dunas · Comunidade piscatória e viveirista · Passadiço de madeira · Via Algarviana</t>
  </si>
  <si>
    <t>Caminho dos Promontórios</t>
  </si>
  <si>
    <t>6 km (12 km i/v)</t>
  </si>
  <si>
    <t>3h (6h i/v)</t>
  </si>
  <si>
    <t>365 m D+</t>
  </si>
  <si>
    <t>Todo o ano*</t>
  </si>
  <si>
    <t>📍 POIs: Ferragudo ao Carvoeiro · Lagoa · Paisagem cársica · Flora e fauna de arribas costeiras · Leixão da Gaivota (ZPE — menor de Portugal) · Património histórico · *Evitar dias chuvosos/ventosos</t>
  </si>
  <si>
    <t>Percurso de Interpretação da Praia Grande</t>
  </si>
  <si>
    <t>Litoral Sul</t>
  </si>
  <si>
    <t>5,2 km</t>
  </si>
  <si>
    <t>60 m D+</t>
  </si>
  <si>
    <t>📍 POIs: Lagoa dos Salgados · Pera · Silves · Zona húmida IBA BirdLife International · Sapal e lagoa costeira · Avifauna · Cordão dunar · Arriba fóssil · Duna fóssil</t>
  </si>
  <si>
    <t>Trilho de São Lourenço</t>
  </si>
  <si>
    <t>3,3 km</t>
  </si>
  <si>
    <t>55 m D+</t>
  </si>
  <si>
    <t>📍 POIs: Quinta do Lago · Loulé · Parque Natural da Ria Formosa · Sapais e lagos de água doce · Avifauna aquática · Um dos melhores percursos para conhecer a flora e fauna da Ria Formosa</t>
  </si>
  <si>
    <t>Percursos do Ludo</t>
  </si>
  <si>
    <t>8,4 km</t>
  </si>
  <si>
    <t>2-3h</t>
  </si>
  <si>
    <t>70 m D+</t>
  </si>
  <si>
    <t>📍 POIs: Ludo · Faro e Loulé · Parque Natural da Ria Formosa · Avifauna aquática · Pinhal · Habitats lagunares e bancos de vasa · Sapais e dunas · Complexo de salinas · Rede Natura 2000</t>
  </si>
  <si>
    <t>Trilho da Praia do Barril</t>
  </si>
  <si>
    <t>3 km (i/v)</t>
  </si>
  <si>
    <t>20 m D+</t>
  </si>
  <si>
    <t>📍 POIs: Pedras d'El Rei · Tavira · Parque Natural da Ria Formosa · Flora e fauna de sapal e dunas · Avifauna aquática · Cemitério das âncoras · Antigas instalações do arraial · Paisagens da Ria Formosa</t>
  </si>
  <si>
    <t>Percurso do Parque Municipal do Sítio das Fontes</t>
  </si>
  <si>
    <t>1,3 km</t>
  </si>
  <si>
    <t>📍 POIs: Sítio das Fontes · Estômbar · Lagoa · Rede Natura 2000 Arade/Odelouca · Nascentes do aquífero Querença-Silves · Açude e moinho de maré · CIN Centro de Interpretação da Natureza</t>
  </si>
  <si>
    <t>Percurso da Tôr</t>
  </si>
  <si>
    <t>112 m D+</t>
  </si>
  <si>
    <t>📍 POIs: Tôr · Loulé · Rede Natura 2000 Sítio Barrocal · Ribeira do Algibre · Galeria ripícola · Património cultural de inspiração árabe · Matagal mediterrânico · *Evitar períodos chuvosos</t>
  </si>
  <si>
    <t>Caminhos e Encruzilhadas de ir à Fonte</t>
  </si>
  <si>
    <t>310 m D+</t>
  </si>
  <si>
    <t>📍 POIs: Fonte da Mesquita · São Brás de Alportel · Transição barrocal-serra · Vale do Bengado · Geoponto da Mesquita · Formações geológicas Grés de Silves · Fábricas de terracota · Percurso homologado</t>
  </si>
  <si>
    <t>Trilho das Cascatas</t>
  </si>
  <si>
    <t>17,6 km</t>
  </si>
  <si>
    <t>787 m D+</t>
  </si>
  <si>
    <t>📍 POIs: Monchique · Cascatas de Monchique · Rede Natura 2000 Sítio Monchique · Via Algarviana · Paisagens serranas · Árvores e flora serrana · Fauna · *Evitar dias ventosos/chuvosos</t>
  </si>
  <si>
    <t>Trilho dos Moinhos</t>
  </si>
  <si>
    <t>9,4 km</t>
  </si>
  <si>
    <t>485 m D+</t>
  </si>
  <si>
    <t>📍 POIs: Monchique · Rede Natura 2000 Sítio Monchique · Via Algarviana · Barranco dos Pisões · Moinho do Poucochinho · Árvores classificadas · Paisagem serrana e vegetação</t>
  </si>
  <si>
    <t>Percurso do Lagoão</t>
  </si>
  <si>
    <t>182 m D+</t>
  </si>
  <si>
    <t>📍 POIs: São Marcos da Serra · Silves · Rede Natura 2000 Sítio Monchique · Ribeira de Odelouca · Paisagem rural serrana · Vegetação e fauna ribeirinha · *Evitar dias muito quentes</t>
  </si>
  <si>
    <t>Circuito Arqueológico da Vilarinha – Vale Fuzeiros</t>
  </si>
  <si>
    <t>245 m D+</t>
  </si>
  <si>
    <t>📍 POIs: Vale Fuzeiros · São Bartolomeu de Messines · Silves · Património arqueológico · Formação Grés de Silves · Matagal mediterrânico · Fauna associada</t>
  </si>
  <si>
    <t>Percurso Pedestre Ameixial</t>
  </si>
  <si>
    <t>4,5 km</t>
  </si>
  <si>
    <t>192 m D+</t>
  </si>
  <si>
    <t>📍 POIs: Ameixial · Loulé · Escrita do Sudoeste (a mais antiga grafia da Península Ibérica) · Paisagem rural e florestal serrana · Fonte da Seiceira · Aldeia do Ameixial</t>
  </si>
  <si>
    <t>Percurso Pedestre Revezes</t>
  </si>
  <si>
    <t>4-5h</t>
  </si>
  <si>
    <t>468 m D+</t>
  </si>
  <si>
    <t>📍 POIs: Revezes · Loulé · Ribeira do Vascão · Escrita do Sudoeste · Habitats ribeirinhos bem conservados · Avifauna · Construções em xisto · Rede Natura 2000 Sítio Guadiana</t>
  </si>
  <si>
    <t>Trilho da Ribeira de Alportel</t>
  </si>
  <si>
    <t>12,3 km</t>
  </si>
  <si>
    <t>378 m D+</t>
  </si>
  <si>
    <t>📍 POIs: Alportel · São Brás de Alportel · Rede Natura 2000 Caldeirão · Ribeira do Alportel · Habitats ribeirinhos · Avifauna · Antigos caminhos de almocreves · Miradouros</t>
  </si>
  <si>
    <t>Memória Viva</t>
  </si>
  <si>
    <t>335 m D+</t>
  </si>
  <si>
    <t>📍 POIs: Martim Longo · Alcoutim · Rede Natura 2000 Guadiana · Montes típicos do Baixo Guadiana · Vegetação serrana e fauna associada · Percurso homologado · *Evitar calor</t>
  </si>
  <si>
    <t>Cerro acima, cerro abaixo</t>
  </si>
  <si>
    <t>12,8 km</t>
  </si>
  <si>
    <t>477 m D+</t>
  </si>
  <si>
    <t>📍 POIs: Vaqueiros · Alcoutim · GR13 Via Algarviana · Ribeiras da Foupana e Foupanilha · Vegetação e fauna ribeirinhas · Mina da Cova dos Mouros · Percurso homologado</t>
  </si>
  <si>
    <t>Terras da Ordem</t>
  </si>
  <si>
    <t>380 m D+</t>
  </si>
  <si>
    <t>📍 POIs: Odeleite · Castro Marim · Mata Nacional das Terras da Ordem · Rede Natura 2000 Guadiana · GR15 Grande Rota do Guadiana · Ribeira de Odeleite · Vegetação ribeirinha · Percurso homologado</t>
  </si>
  <si>
    <t>Sapal de Venta Moinhos</t>
  </si>
  <si>
    <t>7 km (i/v)</t>
  </si>
  <si>
    <t>50 m D+</t>
  </si>
  <si>
    <t>📍 POIs: Castro Marim · Reserva Natural do Sapal de Castro Marim · Rede Natura 2000 · Sapal e salinas tradicionais · Pomares de sequeiro · Avifauna aquática e terrestre · Paisagem única</t>
  </si>
  <si>
    <t>Passeio Pombalino</t>
  </si>
  <si>
    <t>25 m D+</t>
  </si>
  <si>
    <t>📍 POIs: Vila Real de Santo António · Cidade pombalina de 1773 (grelha urbana perfeita) · Frente ribeirinha do Guadiana · Rio Guadiana · Espanha (Ayamonte) em frente · Percurso homologado · Património construído</t>
  </si>
  <si>
    <t xml:space="preserve">  🟥  ALGARVE  —  Algarve  ·  47 percursos</t>
  </si>
  <si>
    <t>Mora, um Amor para Sempre — Mora</t>
  </si>
  <si>
    <t>4h30–5h</t>
  </si>
  <si>
    <t>164 m</t>
  </si>
  <si>
    <t>📍 POIs: Cromeleque megalítico de Mora · Terreiro da Misericórdia · Fluviário de Mora (museu vivo de água doce) · Montado de cortiça e sobreiro · Linha de comboio abandonada (ecopista) · Lago do Funcho</t>
  </si>
  <si>
    <t>Monumental Estremoz — Estremoz</t>
  </si>
  <si>
    <t>11.4 km</t>
  </si>
  <si>
    <t>3h–4h</t>
  </si>
  <si>
    <t>423 m</t>
  </si>
  <si>
    <t>📍 POIs: Posto de Turismo de Estremoz · Igreja da Conceição e Convento dos Frades · Alameda monumental de plátanos · Vinhas e searas em paisagem geométrica · Serra de Ossa ao fundo · Mármore branco de Estremoz (palácios e calçada)</t>
  </si>
  <si>
    <t>Descoberta da Estrada Real — Vila Viçosa</t>
  </si>
  <si>
    <t>8.5 km</t>
  </si>
  <si>
    <t>405 m</t>
  </si>
  <si>
    <t>📍 POIs: Castelo e fossos medievais de Vila Viçosa · Estrada Real (rota histórica Vila Viçosa–Elvas) · Convento dos Capuchos com cruzeiro e coreto · Tapada Real da Fundação Casa de Bragança · Olivais seculares · Mármore branco da região</t>
  </si>
  <si>
    <t>Entre Pontos e Colinas de Arraiolos</t>
  </si>
  <si>
    <t>9.4 km</t>
  </si>
  <si>
    <t>356 m</t>
  </si>
  <si>
    <t>📍 POIs: Praça da República de Arraiolos · Bairros medievais de Bordadeiras (tapetes bordados séc. XIV) · Lagos e grandes espaços de montado · Ecopista da linha ferroviária desactivada · Castelo de Arraiolos sobre a planície · Fauna de cegonha e cotovia</t>
  </si>
  <si>
    <t>Rota das Bifanas — Vendas Novas</t>
  </si>
  <si>
    <t>16.8 km</t>
  </si>
  <si>
    <t>4h–5h</t>
  </si>
  <si>
    <t>📍 POIs: Palácio Real de Vendas Novas (Paço Real do séc. XVIII — D. João V) · Igreja Matriz de Vendas Novas · Bifana de Vendas Novas (ícone gastronómico nacional) · Campos agrícolas e espaços florestais · Rua da Boavista histórica</t>
  </si>
  <si>
    <t>Olivais e Montados de Montemor — Montemor-o-Novo</t>
  </si>
  <si>
    <t>13.6 km</t>
  </si>
  <si>
    <t>253 m</t>
  </si>
  <si>
    <t>📍 POIs: Largo Calouste Gulbenkian de Montemor-o-Novo · Olivais centenários e montado de azinheira · Lugar de Ferro da Agulha (Herdade da Infanta com fonte) · Ecopista ferroviária abandonada · Castelo medieval de Montemor · Fauna de lontra</t>
  </si>
  <si>
    <t>De Évora ao Alto de São Bento</t>
  </si>
  <si>
    <t>7.1 km</t>
  </si>
  <si>
    <t>2h–3h</t>
  </si>
  <si>
    <t>369 m</t>
  </si>
  <si>
    <t>📍 POIs: Porta da Lagoa de Évora (start) · Alto de São Bento (principal miradouro de Évora) · Moinhos de vento históricos · Vista 360° sobre Évora e planície · Quinta dos Frades da Graça · Bairro da Malagueira (Siza Vieira, 1977)</t>
  </si>
  <si>
    <t>Rota de Peregrinação a Nossa Sra. de Aires — Viana do Alentejo</t>
  </si>
  <si>
    <t>9.1 km</t>
  </si>
  <si>
    <t>319 m</t>
  </si>
  <si>
    <t>📍 POIs: Santuário de Nossa Sra. de Aires (Barroco Rural — séc. XVIII) · Porta do Castelo de Viana do Alentejo (partida) · Pedreiras de Mármore Verde de Viana (único no mundo) · Rota de peregrinos para Santiago de Compostela · Núcleo histórico de Viana</t>
  </si>
  <si>
    <t>Fantástica Serra d'Ossa — Borba</t>
  </si>
  <si>
    <t>Alqueva / Serra d'Ossa</t>
  </si>
  <si>
    <t>17.3 km</t>
  </si>
  <si>
    <t>6h–7h</t>
  </si>
  <si>
    <t>📍 POIs: Igreja de São Tiago — Rio de Moinhos (partida) · Serra d'Ossa (maior elevação do Alentejo Central — 650m) · Ermida e Aldeia de São Gregório · Ribeira de Lucefécit (nascente na serra) · Topo com vista sobre toda a planície alentejana · Monges eremitas históricos</t>
  </si>
  <si>
    <t>Eremitas da Serra d'Ossa — Redondo</t>
  </si>
  <si>
    <t>📍 POIs: Aldeia da Serra — Serra d'Ossa (partida) · Herdade de Água D'Alte · Anta da Candeeira (megalítico) · Monte Abraão em vale · Igreja do Monte Virgem nos penhascos · Convento de São Paulo (Ordem de São Paulo, fundado 1182) · Tradição monástica eremítica</t>
  </si>
  <si>
    <t>Conquista de Terena — Alandroal</t>
  </si>
  <si>
    <t>Alqueva / Alandroal</t>
  </si>
  <si>
    <t>15.2 km</t>
  </si>
  <si>
    <t>📍 POIs: Largo do Castelo de Terena com Pelourinho · Torre do Relógio medieval · Ponte de Terena (séc. XVI — 6 arcos) · Albufeira de Lucefécit · Templo Fortaleza de Nossa Sra. da Boa Nova · Montado de sobreiro com portadas de gado</t>
  </si>
  <si>
    <t>Escritas de Pedra e Cal — Monsaraz / Reguengos</t>
  </si>
  <si>
    <t>Alqueva / Reguengos de Monsaraz</t>
  </si>
  <si>
    <t>380 m</t>
  </si>
  <si>
    <t>📍 POIs: Ermida de São João Batista em Monsaraz (partida) · Porta da Vila de Monsaraz · Ermida de São Bento · Cromeleque do Xerez (megalítico — 55 blocos fálicos, 4000 a.C.) · Convento da Orada · Ponte Romana da Pêga · Menir da Belhoa</t>
  </si>
  <si>
    <t>De Amieira a Alqueva com o Lago a seus Pés — Portel</t>
  </si>
  <si>
    <t>Alqueva / Portel</t>
  </si>
  <si>
    <t>📍 POIs: Cais Fluvial da Aldeia da Amieira (passadiço sobre o lago) · Antas da Torrejona (megalíticos à margem do Alqueva) · Margens do Lago Alqueva com campos a perder de vista · Ribeira de Codis · Igreja de São Lourenço na Aldeia de Alqueva (chegada)</t>
  </si>
  <si>
    <t>Rota da Água de Moura — Moura</t>
  </si>
  <si>
    <t>Alqueva / Moura</t>
  </si>
  <si>
    <t>📍 POIs: Moura histórica com charme árabe (origem mourisca séc. IX) · Ribeira de Brenhas · Olivais e montado · Alto da Forca com panorâmica · Horta da Vargem · Av. do Carmo e Praça Sacadura Cabral (centro histórico) · Balneário e fonte árabe de Moura</t>
  </si>
  <si>
    <t>Da Serra Colorada ao Cerro do Calvário — Barrancos</t>
  </si>
  <si>
    <t>Alqueva / Barrancos</t>
  </si>
  <si>
    <t>📍 POIs: Serra Colorada de Barrancos (xisto e quartzito colorido) · Cerro do Calvário com ermida · Paisagem de fronteira com Espanha e Badajoz · Charcinas mediterrânicas (pântanos sazonais) · Fauna de lince-ibérico e javali · Vilhão (aldeia de fronteira)</t>
  </si>
  <si>
    <t>Trilho da Azenha da Ordem — Serpa</t>
  </si>
  <si>
    <t>Alqueva / Serpa</t>
  </si>
  <si>
    <t>📍 POIs: Azenha da Ordem (moinho de água em excelente estado de conservação) · Rio Guadiana histórico · Montado de azinho com Monte das Melrinas · Monte do Gago · Eira de São Pedro com capelinha · Serpa medieval com muralhas e aqueduto</t>
  </si>
  <si>
    <t>À Volta do Montado — Barrancos</t>
  </si>
  <si>
    <t>3h30–4h</t>
  </si>
  <si>
    <t>📍 POIs: Montado ibérico intacto de Barrancos com lince em recuperação · Dehesa espanhola transfronteiriça · Touros Barranquenhos (raça ibérica única) · Fauna de javali, cervo e lobo · Carnaval de Barrancos (tradição única) · Vista para Badajoz espanhola</t>
  </si>
  <si>
    <t>Ribeira de Muge, um Tesouro Natural — Almeirim</t>
  </si>
  <si>
    <t>Lezíria do Tejo / Ribatejo</t>
  </si>
  <si>
    <t>11.3 km</t>
  </si>
  <si>
    <t>134 m</t>
  </si>
  <si>
    <t>📍 POIs: Ribeira de Muge (afluente pristino do Tejo com galeria ripícola) · Casal da Tira (ponto de partida) · Freixos, choupos e amieiros centenários · Águia-cobreira (Circaetus gallicus) em caça · Chapim-real em galeria ribeirinha · Almeirim — terra da Sopa da Pedra</t>
  </si>
  <si>
    <t>Pela Reserva do Cavalo do Sorraia — Alpiarça</t>
  </si>
  <si>
    <t>10.2 km</t>
  </si>
  <si>
    <t>70 m</t>
  </si>
  <si>
    <t>📍 POIs: Reserva do Cavalo do Sorraia (raça em perigo de extinção — 5000 a.C.) · Albufeira dos Patudos · Casa dos Patudos (residência de José Relvas — dirigente político e coleccionador de arte) · Vala Real de Alpiarça · Abelharuco (Merops apiaster) em nidificação</t>
  </si>
  <si>
    <t>Castro de Vila Nova de São Pedro — Azambuja</t>
  </si>
  <si>
    <t>7.3 km</t>
  </si>
  <si>
    <t>104 m</t>
  </si>
  <si>
    <t>📍 POIs: Castro de Vila Nova de São Pedro (monumento nacional — Calcolítico 2800-1800 a.C.) · Igreja-palácio inacabada de Manique do Intendente (único exemplar do género em Portugal) · Campos do Alto Tejo · Queijo e pão da Maçussa · Vinho local</t>
  </si>
  <si>
    <t>Rota das Lezírias — Benavente</t>
  </si>
  <si>
    <t>19.2 km</t>
  </si>
  <si>
    <t>📍 POIs: Lezírias do Tejo (campos planos a perder de vista) · Rio Sorraia · Peneireiro-cinzento (Elanus caeruleus — ave rara no Tejo) · Ganadarias e coudelarias de reconhecido valor · Campino ribatejano com vestes garridas · Cozido Bravo à Ribatejana</t>
  </si>
  <si>
    <t>Lado a Lado com o Tejo — Cartaxo / Valada</t>
  </si>
  <si>
    <t>14.6 km</t>
  </si>
  <si>
    <t>📍 POIs: Margens do Rio Tejo (maior rio ibérico — 1007km) · Igreja Matriz de Valada (séc. XIII — 1211) · Aldeia da Valada ribeirinha · Águia-pesqueira (Pandion haliaetus) a capturar peixe · Painel de Santa Iria (reconstruído 1644) · Vistas da lezíria inundável</t>
  </si>
  <si>
    <t>Da Charneca às Margens do Tejo — Chamusca</t>
  </si>
  <si>
    <t>132 m</t>
  </si>
  <si>
    <t>📍 POIs: Chamusca — onde o Tejo se alarga e começam as grandes lezírias · Jardim do Coreto (partida) · Colinas com vistas das mais vastas de Portugal · Vinhas da Chamusca (poupadas pelo Marquês de Pombal) · Aldeia do Arripiado (piscatória) · Castelo de Almourol na ilha do Tejo</t>
  </si>
  <si>
    <t>Caminhos do Vale ao Montado — Coruche</t>
  </si>
  <si>
    <t>9.7 km</t>
  </si>
  <si>
    <t>📍 POIs: Coruche — Capital Mundial da Cortiça · Montado misto de sobreiro e pinheiro-manso · Rio Sorraia (habitado desde o Paleolítico) · Pica-pau-malhado-grande (Dendrocopos major) · Cogumelos e espargos silvestres em época própria · Vila de Vila Nova de Erra</t>
  </si>
  <si>
    <t>Reserva Natural do Paul do Boquilobo — Golegã</t>
  </si>
  <si>
    <t>9.9 km</t>
  </si>
  <si>
    <t>53 m</t>
  </si>
  <si>
    <t>Set–Jun (cond.)</t>
  </si>
  <si>
    <t>📍 POIs: Reserva Natural do Paul do Boquilobo (zona húmida única — área protegida) · Golegã — Capital do Cavalo (Feira Nacional do Cavalo) · Casa-Estúdio Carlos Relvas (fotografia pioneira, única no mundo) · Casa-Museu José Saramago (Nobel) na Azinhaga · Galinha-d'água em lagoas</t>
  </si>
  <si>
    <t>Parque Natural das Serras de Aire e Candeeiros — Rio Maior</t>
  </si>
  <si>
    <t>4.5 km</t>
  </si>
  <si>
    <t>388 m</t>
  </si>
  <si>
    <t>📍 POIs: Aldeia de Chãos na Serra dos Candeeiros · Arquitetura tradicional calcária com cisternas e eiras medievais · Pegadas de dinossauro in situ (155 M.a.) · Serra de Aire e Candeeiros (Parque Natural) · Gruta das Alcobertas (espeleologia) · Calcário cársico com fauna cavernícola</t>
  </si>
  <si>
    <t>A Mata Nacional do Escaroupim — Salvaterra de Magos</t>
  </si>
  <si>
    <t>34 m</t>
  </si>
  <si>
    <t>📍 POIs: Mata Nacional do Escaroupim (floresta ribeirinha histórica) · Largo dos Avieiros junto ao Tejo (partida) · Falcoaria Real de Salvaterra de Magos (UNESCO 2016 — única na Península Ibérica) · Cais fluvial e praia Doce · Aldeia de pescadores do Escaroupim</t>
  </si>
  <si>
    <t>Do Planalto de Santarém ao Rio Tejo</t>
  </si>
  <si>
    <t>6.2 km</t>
  </si>
  <si>
    <t>Médio</t>
  </si>
  <si>
    <t>📍 POIs: Jardim da República de Santarém (partida) · Igreja de São Francisco (mais bela manifestação de arte gótica de Portugal pré-Batalha) · Igreja de Santa Iria (gótica, séc. XIII) · Ribeira de Santarém e Alfange · Mercado municipal com painéis de azulejos históricos · Planalto sobranceiro ao Tejo</t>
  </si>
  <si>
    <t>PR Praia do Sissal — Porto Covo</t>
  </si>
  <si>
    <t>Litoral Alentejano / Porto Covo</t>
  </si>
  <si>
    <t>📍 POIs: Ilha do Pessegueiro (centro romano de processamento de peixe — séc. I-III) · Forte da Ilha do Pessegueiro (séc. XVII) · Baía de Porto Covo (enseada entre falésias) · Praia do Sissal e Praia da Samonqueira · Dunas fósseis sobre falésias atlânticas · Costa Vicentina</t>
  </si>
  <si>
    <t>PR3 Porto Covo da Costa ao Montado</t>
  </si>
  <si>
    <t>22.4 km</t>
  </si>
  <si>
    <t>5h–6h</t>
  </si>
  <si>
    <t>90 m</t>
  </si>
  <si>
    <t>📍 POIs: Costa atlântica de Porto Covo com falésias · Montado de sobreiro e azinho do planalto alentejano · Campos cerealíferos e pastagens de gado · Ilha do Pessegueiro ao largo · Parque Natural do Sudoeste Alentejano e Costa Vicentina · Troço final em praia junto à Ilha</t>
  </si>
  <si>
    <t>PR4 Planalto de Porto Covo</t>
  </si>
  <si>
    <t>📍 POIs: Planalto rural de Porto Covo (campos entre falésias atlânticas) · Necrópole pré-histórica do Pessegueiro (Idade do Cobre) · Linhas de água que deságuam nas falésias · Paisagem rural com talhões diversificados · Parque Natural Costa Vicentina</t>
  </si>
  <si>
    <t xml:space="preserve">  🟩  LISBOA  —  Lisboa  ·  46 percursos</t>
  </si>
  <si>
    <t>Trilho da Mina de Ouro do Conhal — Nisa</t>
  </si>
  <si>
    <t>Alto Alentejo / Nisa</t>
  </si>
  <si>
    <t>211 m</t>
  </si>
  <si>
    <t>POIs: Rio Tejo e Portas de Rôdão · Maior colônia de grifos de Portugal (envergadura 2.6m) · Extração aurífera romana · Centro Interpretativo do Conhal · Pego das Portas de Rôdão · Marco geodésico da Serrinha</t>
  </si>
  <si>
    <t>Paisagens Fantásticas de Póvoa e Meadas — Castelo de Vide</t>
  </si>
  <si>
    <t>Alto Alentejo / Castelo de Vide</t>
  </si>
  <si>
    <t>13.2 km</t>
  </si>
  <si>
    <t>POIs: Torre do Relógio com azulejos históricos · Marcos miliários romanos · Bosques de carvalho e azinheiras · Ponte Eng. Duarte Pacheco (1940) · Ponte Velha de Póvoa e Meadas · Afloramentos de granito arredondado</t>
  </si>
  <si>
    <t>Fabulosa Barragem da Apartadura — Marvão</t>
  </si>
  <si>
    <t>Alto Alentejo / Marvão</t>
  </si>
  <si>
    <t>723 m</t>
  </si>
  <si>
    <t>POIs: Barragem da Apartadura (lago de montanha) · Parque Natural Serra de São Mamede · Quinta do Barrieiro com Parque de Esculturas de Maria Leal da Costa · Vista sobre Marvão no rochedo · Aldeia de Rasa (árabe) · Castanheiros e vales férteis</t>
  </si>
  <si>
    <t>Rota Histórica de Flor da Rosa — Crato</t>
  </si>
  <si>
    <t>Alto Alentejo / Crato</t>
  </si>
  <si>
    <t>20.8 km</t>
  </si>
  <si>
    <t>POIs: Mosteiro de Santa Maria de Flor da Rosa (séc. XIV — D. Álvaro Pereira) · Castelo da Ordem do Hospital · Vila do Crato histórica · Anta do Tapadão (Neolítico) · Vinhas e olivais centenários · Campos férteis da Ordem de Malta</t>
  </si>
  <si>
    <t>Rota de Peregrinação do Senhor dos Aflitos — Portalegre</t>
  </si>
  <si>
    <t>Alto Alentejo / Portalegre</t>
  </si>
  <si>
    <t>336 m</t>
  </si>
  <si>
    <t>POIs: Praça de Touros de Portalegre (partida) · Santuário do Senhor dos Aflitos (peregrinação 1.º domingo de Maio) · Campos de montado e granito · Barragem do Campino · Monte da Vinha · Paisagem rural infinita</t>
  </si>
  <si>
    <t>Rota do Castelo de Seda — Alter do Chão</t>
  </si>
  <si>
    <t>Alto Alentejo / Alter do Chão</t>
  </si>
  <si>
    <t>10.4 km</t>
  </si>
  <si>
    <t>197 m</t>
  </si>
  <si>
    <t>POIs: Castelo de Seda (miradouro histórico) · Jardim das Piscinas de Seda (partida) · Ponte Romana de Vila Formosa (séc. I) · Ribeira de Seda · Vinhas e olivais da planície · Montes alentejanos com barragens agrícolas</t>
  </si>
  <si>
    <t>Olhar Montargil — Ponte de Sôr</t>
  </si>
  <si>
    <t>Alto Alentejo / Ponte de Sôr</t>
  </si>
  <si>
    <t>7.4 km</t>
  </si>
  <si>
    <t>POIs: Albufeira de Montargil (maior albufeira do Alentejo Norte) · Centro Cultural de Montargil (partida) · Igreja de São Sebastião · Capela de Santo António · Antigo lagar a vapor (1945) · Marco Geodésico com panorâmica · Floresta de eucaliptos e sobreiros</t>
  </si>
  <si>
    <t>Espelho de Água do Maranhão de Avis</t>
  </si>
  <si>
    <t>Alto Alentejo / Avis</t>
  </si>
  <si>
    <t>158 m</t>
  </si>
  <si>
    <t>POIs: Albufeira do Maranhão (espelho de água entre olivais e montado) · Lugar do Pisão, Avis (partida) · Lagoa da Carapeta com avifauna · Ordem de Avis (D. João I — O de Boa Memória) · Olivais centenários · Paisagem de horizonte sem fim</t>
  </si>
  <si>
    <t>À Descoberta da Ribeira Grande — Fronteira</t>
  </si>
  <si>
    <t>Alto Alentejo / Fronteira</t>
  </si>
  <si>
    <t>259 m</t>
  </si>
  <si>
    <t>POIs: Praça do Município de Fronteira (partida) · Igreja de Nossa Sra. da Vila Velha (colina histórica) · Passadiço pedonal sobre a Ribeira Grande · Açudes medievais (antigas azenhas) · Galeria ripícola exuberante · Antiga represa com vida selvagem</t>
  </si>
  <si>
    <t>Fantástica Serra de São Miguel — Sousel</t>
  </si>
  <si>
    <t>Alto Alentejo / Sousel</t>
  </si>
  <si>
    <t>10.6 km</t>
  </si>
  <si>
    <t>385 m</t>
  </si>
  <si>
    <t>POIs: Igreja da Orada de Sousel (D. Nuno Álvares Pereira) · Serra de São Miguel calcária (385m) · Praça de Touros no topo · Eremitério de São Miguel · Vista 360° sobre planície alentejana · Fornos de cal históricos</t>
  </si>
  <si>
    <t>Rota das Antas de Rabuje — Monforte</t>
  </si>
  <si>
    <t>Alto Alentejo / Monforte</t>
  </si>
  <si>
    <t>13.4 km</t>
  </si>
  <si>
    <t>294 m</t>
  </si>
  <si>
    <t>POIs: Praça da República de Monforte (partida) · Castelo e Capelinha dos Ossos · Ribeira de Monforte com galerias ripícolas · Pedreiras de granito abandonadas (lagos de pedreira) · Antas de Rabuje (conjunto megalítico funerário único)</t>
  </si>
  <si>
    <t>Defesas de Campo Maior</t>
  </si>
  <si>
    <t>Alto Alentejo / Campo Maior</t>
  </si>
  <si>
    <t>316 m</t>
  </si>
  <si>
    <t>POIs: Largo do Barata, Campo Maior (partida) · Defesas militares com ameias e quartéis históricos · Santa Beatriz da Silva (1.ª santa portuguesa) · Mosteiro da Imaculada Conceição · Vista sobre campos semeados · Fronteira com Espanha (Badajoz) visível</t>
  </si>
  <si>
    <t xml:space="preserve">  🟧  ALENTEJO  —  Alentejo  ·  97 percursos</t>
  </si>
  <si>
    <t>GR48 — Grande Rota do Mondego</t>
  </si>
  <si>
    <t>Centro / Mondego (Figueira da Foz–Oliveira do Hospital)</t>
  </si>
  <si>
    <t>142 km</t>
  </si>
  <si>
    <t>Multi-dia</t>
  </si>
  <si>
    <t>📍 Rio Mondego (maior rio 100% português — 234km) · Figueira da Foz (foz atlântica) · Coimbra cidade-museu UNESCO · Penacova sobre o Mondego · Buçaco · Tábua · Oliveira do Hospital · 6 etapas: Felgueira Velha–Tábua / Tábua–Montebelo / Montebelo–Penacova / Penacova–Coimbra / Coimbra–Montemor / Montemor–Figueira</t>
  </si>
  <si>
    <t>GR49 — Grande Rota do Buçaco</t>
  </si>
  <si>
    <t>Centro / Buçaco (Mealhada, Mortágua, Penacova)</t>
  </si>
  <si>
    <t>56 km</t>
  </si>
  <si>
    <t>Circular (estrela)</t>
  </si>
  <si>
    <t>📍 Floresta do Buçaco (mata monástica séc. XVII) · Palácio-Hotel do Buçaco (neo-manuelino) · Via Sacra com 34 capelas · Batalha do Buçaco 1810 · 3 ramais: Mealhada–Buçaco (12km) / Mortágua–Buçaco (21km) / Penacova–Buçaco (23km)</t>
  </si>
  <si>
    <t>GR51 — Grande Rota do Alva</t>
  </si>
  <si>
    <t>Centro / Vale do Alva (Penacova–Oliveira do Hospital)</t>
  </si>
  <si>
    <t>77 km</t>
  </si>
  <si>
    <t>📍 Rio Alva (afluente do Mondego de águas cristalinas) · Penacova sobre o Mondego · Vila Nova de Poiares · Arganil · Tábua · Oliveira do Hospital · Praias fluviais históricas · Aldeias de xisto da Beira</t>
  </si>
  <si>
    <t>CNE — Caminho Natural da Espiritualidade</t>
  </si>
  <si>
    <t>Centro / Mondego (Coimbra–Santa Comba Dão)</t>
  </si>
  <si>
    <t>67 km</t>
  </si>
  <si>
    <t>📍 Coimbra (Mosteiro de Santa Cruz séc. XII) · Penacova (miradouro sobre o Mondego) · Mortágua (floresta interior) · Santa Comba Dão · Rota espiritual ao longo do rio · Mosteiros e ermidas ao longo do percurso</t>
  </si>
  <si>
    <t>PI Mata da Margaraça — Arganil</t>
  </si>
  <si>
    <t>Centro / Arganil</t>
  </si>
  <si>
    <t>0.9 km</t>
  </si>
  <si>
    <t>📍 Mata da Margaraça (floresta relíquia de laurissilva — azevinho, teixo e azereiro endémicos) · Reserva Botânica Natural · Uma das últimas florestas primárias da Península Ibérica · Musgos e fetos em ambiente húmido</t>
  </si>
  <si>
    <t>PR2 CNT — Rota da Vinha — Cantanhede</t>
  </si>
  <si>
    <t>Centro / Cantanhede</t>
  </si>
  <si>
    <t>📍 Vinhas de Cantanhede (Bairrada DOP) · Caves de espumante da Bairrada · Museu do Vinho da Bairrada · Paisagem de vinhedos · Espumante Bairradino e leitão da Bairrada · Calcário da Bairrada</t>
  </si>
  <si>
    <t>PR3 CNT — Rota do Calcário — Cantanhede</t>
  </si>
  <si>
    <t>📍 Calcário jurássico de Cantanhede · Museu Municipal (fósseis de dinossauro) · Paisagem karst de dolinas e grutas · Coberto vegetal de pinheiro-manso e calcário · Fauna cavernícola específica</t>
  </si>
  <si>
    <t>PI Reserva Natural do Paul de Arzila — Coimbra</t>
  </si>
  <si>
    <t>Centro / Coimbra</t>
  </si>
  <si>
    <t>1.9 km</t>
  </si>
  <si>
    <t>📍 Paul de Arzila (zona húmeda protegida) · Garça-real e garça-vermelha em nidificação · Pato-real e galinha-d'água · Corredor de biodiversidade junto ao Mondego · Passadiço elevado de observação de aves</t>
  </si>
  <si>
    <t>PR1 CBR — Mata Nacional de Vale de Canas — Coimbra</t>
  </si>
  <si>
    <t>1.1 km</t>
  </si>
  <si>
    <t>📍 Mata Nacional de Vale de Canas (mata pública histórica de Coimbra) · Espécies botânicas raras · Trilho interpretativo com painéis · Fauna de aves de jardim · Área verde protegida na periferia urbana</t>
  </si>
  <si>
    <t>PR2 CBR — Vale de Canas à Praia de Palheiros-Zorro</t>
  </si>
  <si>
    <t>3.2 km</t>
  </si>
  <si>
    <t>📍 Vale de Canas (coberto florestal) · Praia Fluvial de Palheiros-Zorro (margem do Mondego) · Galeria ripícola do Mondego · Percurso entre mata e rio · Coimbra histórica ao longe</t>
  </si>
  <si>
    <t>PR3 CBR — Ribeirinho — Coimbra</t>
  </si>
  <si>
    <t>3.75 km</t>
  </si>
  <si>
    <t>1h15</t>
  </si>
  <si>
    <t>📍 Ribeirinho do Mondego em Coimbra · Margem fluvial histórica · Vistas sobre Universidade de Coimbra (UNESCO) · Jardim Botânico próximo · Pontes e passadiços ribeirinhos · Centro histórico acessível</t>
  </si>
  <si>
    <t>PR2 CND — Rota do Sicó — Condeixa-a-Nova</t>
  </si>
  <si>
    <t>Centro / Condeixa-a-Nova</t>
  </si>
  <si>
    <t>23.5 km</t>
  </si>
  <si>
    <t>📍 Serra do Sicó (calcário cársico com grutas e dolinas) · Ruínas romanas de Conímb riga a 3km (maior cidade romana de Portugal) · Paisagem cársica · Grutas de Sicó · Fauna de morcegos cavernícolas</t>
  </si>
  <si>
    <t>PR1 FIG — Rota dos Arrozais — Figueira da Foz</t>
  </si>
  <si>
    <t>Centro / Figueira da Foz</t>
  </si>
  <si>
    <t>📍 Arrozais do Mondego (maior área de cultivo de arroz da Beira Litoral) · Gândara de Figueira · Flamingo-comum e garça-real em campos de arroz · Lagoa de Mira próxima · Figueira da Foz com praia histórica</t>
  </si>
  <si>
    <t>PR6 FIG — Rota das Salinas — Figueira da Foz</t>
  </si>
  <si>
    <t>4.6 km</t>
  </si>
  <si>
    <t>📍 Salinas históricas de Figueira da Foz (produção de sal marinho) · Estuário do Mondego (zona húmida Ramsar) · Flamingo, garça e pernilongo nas salinas · Foz do Mondego</t>
  </si>
  <si>
    <t>PR8 GOI — Trilho do Papel — Góis</t>
  </si>
  <si>
    <t>Centro / Góis</t>
  </si>
  <si>
    <t>~8 km</t>
  </si>
  <si>
    <t>📍 Antigas fábricas de papel do Vale do Ceira (séc. XVIII–XIX) · Rio Ceira em vale encaixado de xisto · Ruínas industriais históricas · Floresta de galeria ribeirinha · Góis medieval</t>
  </si>
  <si>
    <t>PR9 GOI — Trilho do Baile — Góis</t>
  </si>
  <si>
    <t>~9 km</t>
  </si>
  <si>
    <t>📍 Aldeias de xisto de Góis · Tradição do baile popular ribeiro (danças e músicas serranas) · Paisagem de xisto e castanheiros · Rio Ceira · Serra do Açor ao fundo</t>
  </si>
  <si>
    <t>PI Vale do Ceira — Lousã</t>
  </si>
  <si>
    <t>Centro / Lousã</t>
  </si>
  <si>
    <t>~3 km</t>
  </si>
  <si>
    <t>📍 Vale do Rio Ceira junto à Lousã · Galeria ripícola com amieiro e salgueiro · Percurso interpretativo de biodiversidade fluvial · Praia fluvial da Lousã · Castelo da Lousã (séc. XI) ao fundo</t>
  </si>
  <si>
    <t>TAN — Trilhos das Árvores Notáveis — Mealhada</t>
  </si>
  <si>
    <t>Centro / Mealhada</t>
  </si>
  <si>
    <t>~6 km</t>
  </si>
  <si>
    <t>📍 Árvores Notáveis da Mealhada (carvalhos e castanheiros seculares classificados) · Envolvente do Buçaco · Leitão da Bairrada (gastronomia icónica) · Vinhas da Bairrada DOP</t>
  </si>
  <si>
    <t>PR1 MIR — Rota dos Museus — Mira</t>
  </si>
  <si>
    <t>Centro / Mira</t>
  </si>
  <si>
    <t>📍 Lagoa de Mira (lagoa costeira de água doce) · Museu Etnográfico de Mira · Palheiros de Mira (casas tradicionais em madeira elevada) · Pinhal litoral · Praia de Mira com duna fóssil</t>
  </si>
  <si>
    <t>PR4 MIR — Conglomerado — Mira</t>
  </si>
  <si>
    <t>~7 km</t>
  </si>
  <si>
    <t>📍 Conglomerado de Mira (formação geológica sedimentar única) · Pinhal litoral e lagoa · Afloramentos de conglomerado calcário-quartzoso · Geologia litorânea de transição · Fauna de morcego-de-ferradura</t>
  </si>
  <si>
    <t>PR4 MCV — Caminhar ao Longo do Rio — Miranda do Corvo</t>
  </si>
  <si>
    <t>Centro / Miranda do Corvo</t>
  </si>
  <si>
    <t>~10 km</t>
  </si>
  <si>
    <t>📍 Ribeira de Corvo em vale de xisto · Galeria ripícola com lontra e martin-pescador · Miranda do Corvo histórica (castelo medieval) · Paisagem de xisto da Serra da Lousã</t>
  </si>
  <si>
    <t>PR1 MMV — Rota Monumental das Aves — Montemor-o-Velho</t>
  </si>
  <si>
    <t>Centro / Montemor-o-Velho</t>
  </si>
  <si>
    <t>40 m</t>
  </si>
  <si>
    <t>📍 Castelo de Montemor-o-Velho (séc. X — o maior do litoral centro) · Cigonha-branca em nidificação nas ameias · Arrozais do Mondego com avifauna · Paul de Arzila · Flamingo-comum em migração</t>
  </si>
  <si>
    <t>PR1 MRT — Quedas de Água das Paredes — Mortágua</t>
  </si>
  <si>
    <t>Centro / Mortágua</t>
  </si>
  <si>
    <t>📍 Quedas de Água das Paredes (cascatas em granito) · Rio Criz em vale florestal · Floresta mista de pinheiro e eucalipto · Buçaco a 15km · Fauna de lontra e rã-verde</t>
  </si>
  <si>
    <t>PR6 OHP — Rota do Narciso — Oliveira do Hospital</t>
  </si>
  <si>
    <t>Centro / Oliveira do Hospital</t>
  </si>
  <si>
    <t>Fev–Mai</t>
  </si>
  <si>
    <t>📍 Narciso-das-campânulas (tapete amarelo em Fevereiro) · Serra do Açor com afloramentos de granito · Oliveira do Hospital histórica · Paisagem de planalto granítico · Castanheiros e pinheiros-bravos</t>
  </si>
  <si>
    <t>PR7 OHP — Rota das Palheiras — Oliveira do Hospital</t>
  </si>
  <si>
    <t>📍 Palheiras (construções agro-pastorais em pedra seca — séc. XVII-XVIII) · Planalto granítico de Oliveira do Hospital · Rebanhos de ovelha Churra da Terra Quente · Oliveiras milenares · Aldeias serranas isoladas</t>
  </si>
  <si>
    <t>PR8 PPS — Rota do Rio Unhais — Pampilhosa da Serra</t>
  </si>
  <si>
    <t>Centro / Pampilhosa da Serra</t>
  </si>
  <si>
    <t>~12 km</t>
  </si>
  <si>
    <t>📍 Rio Unhais (afluente do Zêzere em vale selvagem) · Pampilhosa da Serra (município mais isolado de Portugal) · Cascatas e pegos de água cristalina · Floresta densa de pinheiro-bravo · Fauna de lobo-ibérico (área de presença)</t>
  </si>
  <si>
    <t>PI Livraria do Mondego — Penacova</t>
  </si>
  <si>
    <t>Centro / Penacova</t>
  </si>
  <si>
    <t>~2 km</t>
  </si>
  <si>
    <t>📍 Miradouro do Mondego em Penacova (vistas panorâmicas sobre o vale) · Percurso interpretativo das espécies ripícolas · Azálea-do-Japão ao longo do Mondego · Lontra e martin-pescador</t>
  </si>
  <si>
    <t>PR1 PNL — Trilho do Rebanho — Penela</t>
  </si>
  <si>
    <t>Centro / Penela</t>
  </si>
  <si>
    <t>📍 Castelo de Penela (séc. XII — linha defensiva de Coimbra) · Rebanhos de cabra-serrana em pastagem livre · Serra do Sicó ao fundo · Aldeias de calcário branco · Fauna de corça e javali</t>
  </si>
  <si>
    <t>PR1 SRE — Rota do Arroz — Soure</t>
  </si>
  <si>
    <t>Centro / Soure</t>
  </si>
  <si>
    <t>📍 Arrozais de Soure (arroz carolino do Mondego) · Campos alagados com flamingo e garça · Ribeira de Soure · Castelo de Soure (templário séc. XII) · Cegonha-branca e galinha-d'água</t>
  </si>
  <si>
    <t>PR8 SRE — Rota das Dolinas e Lagoas — Soure</t>
  </si>
  <si>
    <t>~11 km</t>
  </si>
  <si>
    <t>📍 Dolinas kársticas de Soure (depressões circulares em calcário jurássico) · Lagoas temporárias com fauna anfíbia · Paisagem de calcário cársico · Serra do Sicó ao fundo · Fauna de morcego-de-ferradura</t>
  </si>
  <si>
    <t>PR3 TBU — Rota das Pontes — Tábua</t>
  </si>
  <si>
    <t>Centro / Tábua</t>
  </si>
  <si>
    <t>📍 Pontes históricas sobre o Rio Alva e afluentes · Tábua em vale do Alva (Dão) · Vinho tinto Tábua DOP Dão · Palheiros e moinhos de água · GR48 e GR51 com passagem por Tábua</t>
  </si>
  <si>
    <t>PR1 PRS — Serra do Carvalho — Vila Nova de Poiares</t>
  </si>
  <si>
    <t>Centro / Vila Nova de Poiares</t>
  </si>
  <si>
    <t>📍 Serra do Carvalho (maciço granítico com carvalhal de carvalho-alvarinho) · Rio Alva em vale encaixado · GR51 com passagem · Aldeias de xisto isoladas · Vista panorâmica sobre o vale do Mondego</t>
  </si>
  <si>
    <t>PR2 PRS — Ribeira de Poiares — Vila Nova de Poiares</t>
  </si>
  <si>
    <t>📍 Ribeira de Poiares (linha de água cristalina em vale de granito) · Galeria ripícola com amieiro e choupo · Martin-pescador e lontra · Praias fluviais de granito · GR51 com passagem · Moinhos de água históricos</t>
  </si>
  <si>
    <t xml:space="preserve">  🟨  CENTRO  —  Centro  ·  87 percursos</t>
  </si>
  <si>
    <t>Na Senda dos Galos — Braga</t>
  </si>
  <si>
    <t>Norte / Braga (Parque da Ponte)</t>
  </si>
  <si>
    <t>📍 Parque da Ponte (parque urbano ribeirinho de Braga) · Rio Este em galeria ripícola · Pé de Moleirão (miradouro) · Fauna de lontra e martin-pescador</t>
  </si>
  <si>
    <t>Trilho da Encosta do Sol — Braga</t>
  </si>
  <si>
    <t>Norte / Braga (Gualtar)</t>
  </si>
  <si>
    <t>1h45</t>
  </si>
  <si>
    <t>📍 Igreja Velha de Gualtar (séc. XII — ponto de partida) · Encosta de exposição a sul sobre Braga · Vistas sobre a cidade e Sameiro · Floresta de carvalho-roble e pinheiro-manso</t>
  </si>
  <si>
    <t>Trilho do Monte das Velhas — Braga</t>
  </si>
  <si>
    <t>Norte / Braga (Lamaçães)</t>
  </si>
  <si>
    <t>📍 Igreja de Lamaçães (séc. XII) · Monte das Velhas (maciço granítico sobre Braga) · Largo de Dadim (saída alternativa) · Vistas panorâmicas sobre Braga · Carvalhal nativo</t>
  </si>
  <si>
    <t>Trilho dos Bosques do Rio Este — Braga</t>
  </si>
  <si>
    <t>Norte / Braga (Lomar)</t>
  </si>
  <si>
    <t>📍 Igreja Velha de Lomar (séc. X — ponto de partida) · Rio Este em galeria ripícola nativa · Bosque de amieiro e freixo · Fauna de lontra e garça-real</t>
  </si>
  <si>
    <t>Trilho dos Dois Montes — Braga</t>
  </si>
  <si>
    <t>Norte / Braga (Complexo da Rodovia)</t>
  </si>
  <si>
    <t>📍 Complexo da Rodovia (ponto de partida) · Monte do Picoto e Monte das Velhas · Vistas 360º sobre a bacia de Braga e Serra do Sameiro</t>
  </si>
  <si>
    <t>Grande Rota da Serra dos Picos — Braga</t>
  </si>
  <si>
    <t>Norte / Braga (Serra dos Picos — Espinho)</t>
  </si>
  <si>
    <t>~35 km</t>
  </si>
  <si>
    <t>630 m</t>
  </si>
  <si>
    <t>📍 Serra dos Picos (630m) · Capela de Santo António de Espinho (ponto de partida) · Mamóas e dolémens pré-históricos · Urzais e carvalhal de altitude · Fauna de lobo-ibérico</t>
  </si>
  <si>
    <t>Caminho dos Santuários — Braga</t>
  </si>
  <si>
    <t>Norte / Braga (Bom Jesus – Sameiro)</t>
  </si>
  <si>
    <t>📍 Santuário do Bom Jesus do Monte (Património Mundial UNESCO 2019) · Santuário do Sameiro (maior santuário mariano da Península Ibérica) · Bosque de carvalho-pédulo · Vistas panorâmicas sobre Braga</t>
  </si>
  <si>
    <t>Na Senda do Castelo de Penafiel de Bastúço — Braga</t>
  </si>
  <si>
    <t>Norte / Braga (Bastúço)</t>
  </si>
  <si>
    <t>📍 Castelo de Penafiel de Bastúço (ruínas medievais em cume granítico) · Largo Padre Mário Cesar Marques (ponto de partida) · Vista sobre o vale do Cávado · Carvalhal nativo</t>
  </si>
  <si>
    <t>Por São Pedro da Oliveira — Braga</t>
  </si>
  <si>
    <t>Norte / Braga (Oliveira)</t>
  </si>
  <si>
    <t>📍 Capela de São Bento (ponto de partida) · Igreja de São Pedro da Oliveira (românica séc. XII) · Paisagem agrícola minhota · Ribeira de Oliveira</t>
  </si>
  <si>
    <t>Trilho da Morreira — Braga</t>
  </si>
  <si>
    <t>Norte / Braga (Morreira)</t>
  </si>
  <si>
    <t>📍 Igreja Paroquial de Morreira (ponto de partida) · Paisagem agrícola minhota · Campos de milho e vinha verde · Ribeiro de Morreira · Arquitetura rural de granito</t>
  </si>
  <si>
    <t>Trilho da Santa Marta das Cortiças — Braga</t>
  </si>
  <si>
    <t>Norte / Braga (Esporões – Santa Marta)</t>
  </si>
  <si>
    <t>📍 Igreja de Esporões (ponto de partida) · Santa Marta das Cortiças (santuário rupestre com manancial) · Bosque de carvalho-roble · Soutos e vinhas verdes</t>
  </si>
  <si>
    <t>Trilho do Castro das Caldas — Braga</t>
  </si>
  <si>
    <t>Norte / Braga (Vilaça)</t>
  </si>
  <si>
    <t>📍 Parque de Vilaça (ponto de partida) · Castro das Caldas (castro da Idade do Ferro em cume granítico) · Caldas de São João · Vistas sobre o Cávado e Rio Este</t>
  </si>
  <si>
    <t>Trilho dos Miradouros — Braga</t>
  </si>
  <si>
    <t>Norte / Braga (Guisande)</t>
  </si>
  <si>
    <t>📍 Capela do Padrão de Guisande (ponto de partida) · Miradouro do Alto de Santa Eufémia · Serra do Picoto · Panorama 360º sobre Braga e Barcelos · Fontes e lavaderios históricos</t>
  </si>
  <si>
    <t>A Volta do Rio Este — Braga</t>
  </si>
  <si>
    <t>Norte / Braga (Arentim – Levegada)</t>
  </si>
  <si>
    <t>📍 Parque da Levegada (ponto de partida) · Rio Este na planura aluvionar · Galeria de amieiro e freixo · Fauna de lontra, martin-pescador e garça-real · Junta de Arentim (saída alternativa) · Campos de feijeiro e milho minhoto</t>
  </si>
  <si>
    <t>Descobrindo o Couto de Tibães — Braga</t>
  </si>
  <si>
    <t>Norte / Braga (Mosteiro de Tibães)</t>
  </si>
  <si>
    <t>📍 Mosteiro de São Martínho de Tibães (séc. XI — maior complexo beneditino da Península Ibérica) · Couto histórico · Mata Nacional dos Frades · Fauna de coruja-do-mato e morcego-de-ferradura</t>
  </si>
  <si>
    <t>Pelo Vale do Cávado — Braga</t>
  </si>
  <si>
    <t>Norte / Braga (Moinhos da Presa)</t>
  </si>
  <si>
    <t>📍 Moinhos da Presa (moinhos históricos de água em funcionamento) · Rio Cávado em troço natural · Galeria ripícola de amieiro e choupo · Fauna de lontra e martin-pescador · Pontes românicas históricas</t>
  </si>
  <si>
    <t>Trilho da Margem do Cávado — Braga</t>
  </si>
  <si>
    <t>Norte / Braga (Merelim São Paio)</t>
  </si>
  <si>
    <t>📍 Praia Fluvial de Merelim São Paio (ponto de partida) · Margem do Rio Cávado em troço urbano-natural · Parque Urbano do Cávado · Fauna de lontra e cormorante</t>
  </si>
  <si>
    <t>Trilho dos Moinhos de Priscos — Braga</t>
  </si>
  <si>
    <t>Norte / Braga (Priscos)</t>
  </si>
  <si>
    <t>📍 Junta de Freguesia de Priscos (ponto de partida) · Moinhos de água históricos de Priscos · Rio Este em vale encaixado · Galeria de amieiro e salgueiro · Paisagem agrícola minhota</t>
  </si>
  <si>
    <t>Trilho dos Solares — Braga</t>
  </si>
  <si>
    <t>Norte / Braga (Crespos)</t>
  </si>
  <si>
    <t>📍 Igreja de Crespos (românica séc. XII — ponto de partida) · Solares nobres da região de Braga (séc. XVII-XVIII) · Paisagem de vinha verde e milho · Ribeiro dos Crespos · Quintas históricas de granito</t>
  </si>
  <si>
    <t>Trilho da Mamoa — Braga</t>
  </si>
  <si>
    <t>Norte / Braga (Lamas)</t>
  </si>
  <si>
    <t>📍 Mamoa de Lamas (dolmen megalitíco c. 3000 a.C.) · Paisagem neolítica de planalto · Afloramentos de granito e urzal · Vista sobre o vale do Este · Aldeia de Lamas com arquitetura vernacular</t>
  </si>
  <si>
    <t>Entre Braga e o Cávado — Braga</t>
  </si>
  <si>
    <t>Norte / Braga (Castro Máximo)</t>
  </si>
  <si>
    <t>📍 Castro Máximo (castro da Idade do Ferro com muralha) · Vale do Rio Cávado · Tramo do Caminho de Santiago · Galeria ripícola e moinhos de água · Ponte Românica do Cávado</t>
  </si>
  <si>
    <t>Trilho da Nascente do Rio Este — Braga</t>
  </si>
  <si>
    <t>Norte / Braga (Parque das Cambas)</t>
  </si>
  <si>
    <t>📍 Parque das Cambas (ponto de partida) · Nascente do Rio Este em pleno núcleo urbano de Braga · Galeria ripícola inicial do Este · Fauna de lontra a 2km da cidade · Quintas e eiras históricas</t>
  </si>
  <si>
    <t>Trilho das Fontes — Braga</t>
  </si>
  <si>
    <t>Norte / Braga (Sete Fontes)</t>
  </si>
  <si>
    <t>📍 Sete Fontes de Braga (sistema histórico de abastecimento de água séc. XVIII — classificado) · Chafarizes e aquedutos barrocos · Mata de São Fruçtuoso · Bica da Santa e nascentes históricas</t>
  </si>
  <si>
    <t>Pelos Prados do Rio Torto — Braga</t>
  </si>
  <si>
    <t>Norte / Braga (Monte de São Gregório)</t>
  </si>
  <si>
    <t>📍 Monte de São Gregório (ponto de partida com vista sobre Braga) · Prados e lameiros do Rio Torto · Galeria ripícola de amieiro e freixo · Fauna de rã-ibérica e lontra · Cultivo tradicional minhoto</t>
  </si>
  <si>
    <t>GR117 — Via Romana XVII — Braga</t>
  </si>
  <si>
    <t>~40 km</t>
  </si>
  <si>
    <t>📍 Via Romana XVII (estrada imperial romana Bracara Augusta – Asturica Augusta) · Gualtar (ponto de partida) · Miliários romanos ao longo do percurso · Calçada romana em pedra preservada · PNPG com passagem · Pontes romanas do Cávado</t>
  </si>
  <si>
    <t xml:space="preserve">  🟦  NORTE  —  Norte  ·  86 percursos</t>
  </si>
  <si>
    <t>🥾  PERCURSOS PEDESTRES DE PORTUGAL  —  349 Trilhos por Região</t>
  </si>
  <si>
    <t>PORTUGAL CONTINENTAL</t>
  </si>
  <si>
    <t>ARQUIPÉLAGO DOS AÇORES</t>
  </si>
  <si>
    <t>ARQUIPÉLAGO DA MADEIRA</t>
  </si>
  <si>
    <t>🍽️  PRATOS TÍPICOS PORTUGUESES  —  140 pratos</t>
  </si>
  <si>
    <t>Prato</t>
  </si>
  <si>
    <t>Local Emblemático 1</t>
  </si>
  <si>
    <t>GPS 1</t>
  </si>
  <si>
    <t>Local Emblemático 2</t>
  </si>
  <si>
    <t>GPS 2</t>
  </si>
  <si>
    <t>Sanduíche feita com pão de forma recheado com bife, linguiça, salsicha fresca e fiambre, coberta com queijo derretido e um molho picante à base de tomate e cerveja.</t>
  </si>
  <si>
    <t>Café Santiago (Rua de Passos Manuel 226)</t>
  </si>
  <si>
    <t>Cervejaria Brasão Aliados (Rua de Ramalho Ortigão 28)</t>
  </si>
  <si>
    <t>Estufado de diversos tipos de carnes (tripas, mão de vitela, enchidos) com feijão branco, cenoura e cominhos.</t>
  </si>
  <si>
    <t>Restaurante O Pombeiro (Rua do Capitão Pombeiro 175)</t>
  </si>
  <si>
    <t>Abadia do Porto (Rua do Ateneu Comercial do Porto 22)</t>
  </si>
  <si>
    <t>Arroz malandrinho cozinhado com sangue de porco, diversas carnes desfiadas e temperado com cominhos.</t>
  </si>
  <si>
    <t>Restaurante Encanada (Passeio 25 de Abril)</t>
  </si>
  <si>
    <t>Largo de Camões (Centro Histórico)</t>
  </si>
  <si>
    <t>Bacalhau à Braga (ou à Narcisa)</t>
  </si>
  <si>
    <t>Posta de bacalhau frita acompanhada de batatas às rodelas fritas e uma generosa cobertura de cebolada com pimentão.</t>
  </si>
  <si>
    <t>Restaurante Narcisa (Rua Dr. Francisco Machado Owen)</t>
  </si>
  <si>
    <t>Arco da Porta Nova (Centro Histórico)</t>
  </si>
  <si>
    <t>Corte alto de vitela de raça Mirandesa, grelhada na brasa apenas com sal grosso, mantendo a suculência.</t>
  </si>
  <si>
    <t>Restaurante O Mirandês (Rua da Costanilha 4)</t>
  </si>
  <si>
    <t>Sé Catedral de Miranda do Douro</t>
  </si>
  <si>
    <t>Caldo Verde</t>
  </si>
  <si>
    <t>Sopa de batata e cebola com couve galega cortada muito fina, servida com uma rodela de chouriço e azeite.</t>
  </si>
  <si>
    <t>Casa do Adro (Monção)</t>
  </si>
  <si>
    <t>Praça da República (Viana do Castelo)</t>
  </si>
  <si>
    <t>Rojões à Moda do Minho</t>
  </si>
  <si>
    <t>Pedaços de carne de porco fritos em banha, acompanhados de tripa enfarinhada, sangue cozido e batatas louras.</t>
  </si>
  <si>
    <t>Restaurante O Telheiro (Rua da Bandeira)</t>
  </si>
  <si>
    <t>Santuário de Santa Luzia</t>
  </si>
  <si>
    <t>Papas de Sarrabulho</t>
  </si>
  <si>
    <t>Iguaria líquida e densa feita com sangue de porco, carnes desfiadas, pão ou farinha de milho e especiarias.</t>
  </si>
  <si>
    <t>Restaurante Caniço (Lugar de Dornelas)</t>
  </si>
  <si>
    <t>Mosteiro de Rendufe</t>
  </si>
  <si>
    <t>Cabrito Assado no Forno</t>
  </si>
  <si>
    <t>Cabrito da serra assado lentamente em forno de lenha com batatas e arroz de miúdos.</t>
  </si>
  <si>
    <t>Restaurante O Abocanhado (Brufe)</t>
  </si>
  <si>
    <t>Miradouro da Pedra Bela</t>
  </si>
  <si>
    <t>Enchido de aves e pão, frito ou grelhado, tradicionalmente servido com batata cozida e legumes ou batata frita e ovo.</t>
  </si>
  <si>
    <t>Feijoada Transmontana</t>
  </si>
  <si>
    <t>Mealhada</t>
  </si>
  <si>
    <t>Amêijoas à Bulhão Pato</t>
  </si>
  <si>
    <t>Bacalhau à Brás</t>
  </si>
  <si>
    <t>Sardinhas Assadas</t>
  </si>
  <si>
    <t>Pastéis de Belém</t>
  </si>
  <si>
    <t>Belém</t>
  </si>
  <si>
    <t>Bifana</t>
  </si>
  <si>
    <t>Açorda Alentejana</t>
  </si>
  <si>
    <t>Migas Alentejanas</t>
  </si>
  <si>
    <t>Sopa de Cação</t>
  </si>
  <si>
    <t>Ensopado de Borrego</t>
  </si>
  <si>
    <t>Cataplana de Marisco</t>
  </si>
  <si>
    <t>Xerém</t>
  </si>
  <si>
    <t>Arroz de Lingueirão</t>
  </si>
  <si>
    <t>Guia</t>
  </si>
  <si>
    <t>Dom Rodrigo</t>
  </si>
  <si>
    <t>Norte · Centro · Lisboa · Alentejo · Algarve · Açores · Madeira  ·  Gastronomia Regional  ·  2 de março de 2026</t>
  </si>
  <si>
    <t>Restaurante O Grês (Avenida das Comunidades Europeias)</t>
  </si>
  <si>
    <t>Ponte Velha sobre o Rio Tua</t>
  </si>
  <si>
    <t>Bacalhau à Zé do Pipo</t>
  </si>
  <si>
    <t>Bacalhau lascado, gratinado com puré de batata e maionese, decorado com azeitonas.</t>
  </si>
  <si>
    <t>Restaurante Escondidinho (Rua de Passos Manuel)</t>
  </si>
  <si>
    <t>Ribeira do Porto</t>
  </si>
  <si>
    <t>Arroz de Cabidela</t>
  </si>
  <si>
    <t>Arroz de frango do campo cozinhado com o sangue do próprio animal e vinagre, resultando num caldo escuro e ácido.</t>
  </si>
  <si>
    <t>Tasquinha da Linda (Doca de Pesca)</t>
  </si>
  <si>
    <t>Castelo de Santiago da Barra</t>
  </si>
  <si>
    <t>Vitela Assada à Moda de Fafe</t>
  </si>
  <si>
    <t>Vitela cozinhada em caçoila de barro em forno de lenha, muito tenra.</t>
  </si>
  <si>
    <t>Restaurante A Despensa (Rua de Monsenhor Vieira de Castro)</t>
  </si>
  <si>
    <t>Jardim do Calvário</t>
  </si>
  <si>
    <t>Bacalhau à Gomes de Sá</t>
  </si>
  <si>
    <t>Lascas de bacalhau cozido com batatas, cebolada, ovos cozidos e azeitonas, regado com azeite fino.</t>
  </si>
  <si>
    <t>Restaurante Comercial (Palácio da Bolsa)</t>
  </si>
  <si>
    <t>Butelo com Cascas</t>
  </si>
  <si>
    <t>Estômago de porco recheado com ossinhos e carne, servido com cascas (vagens de feijão secas).</t>
  </si>
  <si>
    <t>Restaurante O Solar Bragançano (Praça da Sé)</t>
  </si>
  <si>
    <t>Broa de Avintes</t>
  </si>
  <si>
    <t>Avintes (Vila Nova de Gaia)</t>
  </si>
  <si>
    <t>Pão denso e escuro de milho e centeio, cozido em forno de lenha por várias horas.</t>
  </si>
  <si>
    <t>Padaria de Avintes (Largo do Palinho)</t>
  </si>
  <si>
    <t>Lampreia à Moda do Minho</t>
  </si>
  <si>
    <t>Monção / Melgaço</t>
  </si>
  <si>
    <t>Lampreia do rio Minho cozinhada num molho de cabidela (sangue e vinho tinto), servida com arroz ou pão torrado.</t>
  </si>
  <si>
    <t>Restaurante Cabral (Monção)</t>
  </si>
  <si>
    <t>Solar do Alvarinho (Melgaço)</t>
  </si>
  <si>
    <t>Anho Assado com Arroz de Forno</t>
  </si>
  <si>
    <t>Cordeiro jovem temperado com vinho e ervas, assado no forno com o arroz por baixo para absorver os sucos.</t>
  </si>
  <si>
    <t>Restaurante O Forno (Tuias)</t>
  </si>
  <si>
    <t>Igreja de Santa Maria (Álvaro Siza Vieira)</t>
  </si>
  <si>
    <t>Bacalhau à Margarida da Praça</t>
  </si>
  <si>
    <t>Bacalhau assado na brasa, servido com batatas a murro e muita cebolada e azeite.</t>
  </si>
  <si>
    <t>Restaurante Margarida da Praça (Largo 5 de Outubro)</t>
  </si>
  <si>
    <t>Navio Hospital Gil Eannes</t>
  </si>
  <si>
    <t>Torta de Viana</t>
  </si>
  <si>
    <t>Doce de ovos enrolado com massa fofa, polvilhado com açúcar e decorado com desenhos de canela.</t>
  </si>
  <si>
    <t>Confeitaria Natário (Rua de Manuel Espregueira)</t>
  </si>
  <si>
    <t>Museu do Traje</t>
  </si>
  <si>
    <t>Leitão Assado à Bairrada</t>
  </si>
  <si>
    <t>Leitão de leite assado lentamente em espeto, em forno de lenha, com molho de pimenta, sal, alho e banha, resultando em pele estaladiça e carne suculenta.</t>
  </si>
  <si>
    <t>Restaurante Pedro dos Leitões (Rua do Leitão, 1)</t>
  </si>
  <si>
    <t>Mata Nacional do Bussaco</t>
  </si>
  <si>
    <t>Chanfana de Cabra Velha</t>
  </si>
  <si>
    <t>Carne de cabra cozinhada em caçoilas de barro preto, submersa em vinho tinto, alho, louro e banha, durante várias horas em forno de lenha.</t>
  </si>
  <si>
    <t>Restaurante O Sesnando (Rua da Liberdade)</t>
  </si>
  <si>
    <t>Mosteiro de Santa Maria de Semide</t>
  </si>
  <si>
    <t>Queijo da Serra da Estrela</t>
  </si>
  <si>
    <t>Queijo curado, de pasta semimole, amanteigada, de cor branca ou amarelada, obtido por esgotamento lento da coalhada após coagulação do leite de ovelha cru pela flor do cardo.</t>
  </si>
  <si>
    <t>Museu do Pão (Quinta do Fonte do Bispo)</t>
  </si>
  <si>
    <t>Arroz de Lampreia de Coimbra</t>
  </si>
  <si>
    <t>Arroz malandrinho de lampreia do Rio Mondego, cozinhado com o sangue do peixe e vinho tinto da região.</t>
  </si>
  <si>
    <t>Restaurante Zé Manel dos Ossos (Beco do Forno, 12)</t>
  </si>
  <si>
    <t>Universidade de Coimbra (Biblioteca Joanina)</t>
  </si>
  <si>
    <t>Bacalhau à Assis</t>
  </si>
  <si>
    <t>Bacalhau desfiado, frito com batata palha e ovos, mas com a particularidade de levar presunto e ser finalizado com salsa.</t>
  </si>
  <si>
    <t>Restaurante O Cortiço (Rua de Augusto Hilário)</t>
  </si>
  <si>
    <t>Sé Catedral de Viseu</t>
  </si>
  <si>
    <t>Pastel de Tentúgal</t>
  </si>
  <si>
    <t>Tentúgal</t>
  </si>
  <si>
    <t>Folhado finíssimo e crocante recheado com ovos moles, típico da doçaria conventual.</t>
  </si>
  <si>
    <t>Pastelaria Tentúgal (Praça da República)</t>
  </si>
  <si>
    <t>Convento de Nossa Senhora do Carmo</t>
  </si>
  <si>
    <t>Cabrito da Gralheira</t>
  </si>
  <si>
    <t>Cabrito da serra cozinhado com batatas, cebola, alho, vinho branco e louro em panela de barro.</t>
  </si>
  <si>
    <t>Restaurante Gralheira (Aldeia de Gralheira)</t>
  </si>
  <si>
    <t>Aldeia de Gralheira</t>
  </si>
  <si>
    <t>Sopa da Beira</t>
  </si>
  <si>
    <t>Sopa consistente de pão com grelos, feijão, chouriço, presunto e azeite.</t>
  </si>
  <si>
    <t>Restaurante O Albicastrense (Castelo Branco)</t>
  </si>
  <si>
    <t>Centro Histórico do Fundão</t>
  </si>
  <si>
    <t>Enchidos da Guarda</t>
  </si>
  <si>
    <t>Chouriços, morcelas e salpicões defumados nas lareiras, feitos com porco da serra.</t>
  </si>
  <si>
    <t>Mercearia A Fonte (Rua de Francisco de Passos)</t>
  </si>
  <si>
    <t>Sé Catedral da Guarda</t>
  </si>
  <si>
    <t>Rancho à Moda de Viseu</t>
  </si>
  <si>
    <t>Prato único de cozido com várias carnes, grão-de-bico, massa e couve.</t>
  </si>
  <si>
    <t>Restaurante Solar do Rancho (Rua Alexandre Lobo)</t>
  </si>
  <si>
    <t>Rossio de Viseu</t>
  </si>
  <si>
    <t>Ovos Moles de Aveiro</t>
  </si>
  <si>
    <t>Doce conventual de gemas de ovo cozidas em calda de açúcar, moldado em formas de conchas e peixes.</t>
  </si>
  <si>
    <t>Confeitaria Peixinho (Rua de Coimbra)</t>
  </si>
  <si>
    <t>Caldeirada de Enguias</t>
  </si>
  <si>
    <t>Guisado de enguias frescas da Ria de Aveiro com batatas, cebola e pimentão.</t>
  </si>
  <si>
    <t>Restaurante A Bóia (Costa Nova)</t>
  </si>
  <si>
    <t>Praia da Costa Nova</t>
  </si>
  <si>
    <t>Tripa Enfarinhada</t>
  </si>
  <si>
    <t>Tripas de porco cozidas com farinha de milho, temperadas com cominhos.</t>
  </si>
  <si>
    <t>Restaurante O Regional (Praça da República)</t>
  </si>
  <si>
    <t>Maranhos</t>
  </si>
  <si>
    <t>Trouxas de estômago de cabra recheadas com arroz, carnes e presunto.</t>
  </si>
  <si>
    <t>Restaurante O Maranho (Oleiros)</t>
  </si>
  <si>
    <t>Sopa de Pedra</t>
  </si>
  <si>
    <t>Sopa densa de feijão encarnado com carnes, enchidos e legumes.</t>
  </si>
  <si>
    <t>Restaurante O Toucinho (Rua das Casas Novas)</t>
  </si>
  <si>
    <t>Praça de Almeirim</t>
  </si>
  <si>
    <t>Amêijoas cozinhadas em azeite, vinho branco, alho e coentros.</t>
  </si>
  <si>
    <t>Cervejaria Ramiro (Avenida Almirante Reis)</t>
  </si>
  <si>
    <t>Cervejaria Trindade (Rua Nova da Trindade)</t>
  </si>
  <si>
    <t>Bacalhau desfiado com batata palha frita e ovos mexidos, servido com azeitonas e salsa.</t>
  </si>
  <si>
    <t>Solar dos Presuntos (Rua das Portas de Santo Antão)</t>
  </si>
  <si>
    <t>Casa do Alentejo (Rua das Portas de Santo Antão)</t>
  </si>
  <si>
    <t>Sardinhas frescas grelhadas na brasa, servidas com batata cozida e pimentos assados.</t>
  </si>
  <si>
    <t>Tasca do Chico (Rua do Diário de Notícias)</t>
  </si>
  <si>
    <t>Ramiro (Avenida Almirante Reis)</t>
  </si>
  <si>
    <t>Pastel de nata com receita secreta conventual, polvilhado com canela e açúcar em pó.</t>
  </si>
  <si>
    <t>Pastéis de Belém (Rua de Belém 84-92)</t>
  </si>
  <si>
    <t>Sandes de carne de porco marinada em vinho, alho e pimentão, servida em pão de trigo.</t>
  </si>
  <si>
    <t>O Trevo (Praça da Figueira)</t>
  </si>
  <si>
    <t>Bifanas do Afonso (Rua da Madalena)</t>
  </si>
  <si>
    <t>Iscas à Portuguesa</t>
  </si>
  <si>
    <t>Fígado de porco marinado em vinho, alho e louro, frito e servido com batatas.</t>
  </si>
  <si>
    <t>Adega do Ribatejo (Rua do Diário de Notícias)</t>
  </si>
  <si>
    <t>Cozido à Portuguesa</t>
  </si>
  <si>
    <t>Prato de cozido com várias carnes, enchidos, legumes e couves.</t>
  </si>
  <si>
    <t>Restaurante Laurentina (Avenida Conde de Valbom)</t>
  </si>
  <si>
    <t>Restaurante O Velho Eurico (Largo de São Cristóvão)</t>
  </si>
  <si>
    <t>Feijoada de Gambas e Amêijoas</t>
  </si>
  <si>
    <t>Feijão branco cozinhado com gambas e amêijoas, temperado com coentros.</t>
  </si>
  <si>
    <t>Restaurante O Farol (Marina de Sesimbra)</t>
  </si>
  <si>
    <t>Mercado do Livramento (Setúbal)</t>
  </si>
  <si>
    <t>Arroz de Pato à Moda de Braga</t>
  </si>
  <si>
    <t>Arroz de forno com pato desfiado, chouriço, presunto e laranja.</t>
  </si>
  <si>
    <t>Restaurante D'Avis (Rua do Grilo)</t>
  </si>
  <si>
    <t>Choco cortado em tiras, panado e frito, servido com batatas fritas.</t>
  </si>
  <si>
    <t>Restaurante O Choco (Rua do Brejo)</t>
  </si>
  <si>
    <t>Casa Santiago (Avenida Luísa Todi)</t>
  </si>
  <si>
    <t>Caldeirada de Peixe</t>
  </si>
  <si>
    <t>Guisado de vários peixes com batatas, tomate, cebola e pimentos.</t>
  </si>
  <si>
    <t>Porto de Sesimbra</t>
  </si>
  <si>
    <t>Queijadas de Sintra</t>
  </si>
  <si>
    <t>Queijada de queijo fresco com ovos, açúcar e canela, cozida em formas de papel.</t>
  </si>
  <si>
    <t>Piriquita (Rua das Padarias 1)</t>
  </si>
  <si>
    <t>Travesseiros de Sintra</t>
  </si>
  <si>
    <t>Folhado crocante recheado com creme de ovos e amêndoa, polvilhado com açúcar.</t>
  </si>
  <si>
    <t>Casa Piriquita (Rua das Padarias 1)</t>
  </si>
  <si>
    <t>Folar de Olhão</t>
  </si>
  <si>
    <t>Empada de massa folhada recheada com carne, presunto, ovo cozido e chouriço.</t>
  </si>
  <si>
    <t>Pastelaria Olhanense (Rua do Comércio)</t>
  </si>
  <si>
    <t>Mercado de Olhão</t>
  </si>
  <si>
    <t>Caracóis</t>
  </si>
  <si>
    <t>Caracóis pequenos cozidos em água com alho, orégãos, piri-piri e louro.</t>
  </si>
  <si>
    <t>Tasca do Caracol (Graça)</t>
  </si>
  <si>
    <t>Sopa de pão com azeite, alho, coentros e ovo escalfado.</t>
  </si>
  <si>
    <t>Restaurante Fialho (Travessa das Mascarenhas)</t>
  </si>
  <si>
    <t>Botequim da Mouraria (Rua da Mouraria)</t>
  </si>
  <si>
    <t>Pão esfarelado frito em banha com carne de porco ou entrecosto.</t>
  </si>
  <si>
    <t>Restaurante O Alencastre (Rua 31 de Janeiro)</t>
  </si>
  <si>
    <t>Centro Histórico de Portalegre</t>
  </si>
  <si>
    <t>Carne de Porco à Alentejana</t>
  </si>
  <si>
    <t>Carne de porco marinada com massa de pimentão, frita com amêijoas.</t>
  </si>
  <si>
    <t>Restaurante Botequim da Mouraria (Rua da Mouraria)</t>
  </si>
  <si>
    <t>Templo de Diana (Évora)</t>
  </si>
  <si>
    <t>Borrego cozinhado com batatas, tomate, cebola e especiarias.</t>
  </si>
  <si>
    <t>Restaurante A Colher de Pau (Rua 5 de Outubro)</t>
  </si>
  <si>
    <t>Castelo de Montemor-o-Novo</t>
  </si>
  <si>
    <t>Sopa de cação com batatas, alho, coentros e pão.</t>
  </si>
  <si>
    <t>Restaurante O Porto (Vila Nova de Milfontes)</t>
  </si>
  <si>
    <t>Praia de Vila Nova de Milfontes</t>
  </si>
  <si>
    <t>Sericaia</t>
  </si>
  <si>
    <t>Doce de ovos cozido em banho-maria, aromatizado com canela.</t>
  </si>
  <si>
    <t>Restaurante El Rei D. Sancho (Praça da República)</t>
  </si>
  <si>
    <t>Forte de Santa Luzia (Elvas)</t>
  </si>
  <si>
    <t>Gaspacho Alentejano</t>
  </si>
  <si>
    <t>Sopa fria de tomate, pepino, pimento, alho, azeite e vinagre.</t>
  </si>
  <si>
    <t>Restaurante O Pulo do Lobo (Rua da Cidade de São Paulo)</t>
  </si>
  <si>
    <t>Empadas de Galinha</t>
  </si>
  <si>
    <t>Empadas de massa tenra recheadas com galinha desfiada.</t>
  </si>
  <si>
    <t>Pastelaria Ramos (Praça do Giraldo)</t>
  </si>
  <si>
    <t>Igreja de Santo Antão (Évora)</t>
  </si>
  <si>
    <t>Pezinhos de Coentrada</t>
  </si>
  <si>
    <t>Pés de porco cozinhados em molho de coentros, alho e vinagre.</t>
  </si>
  <si>
    <t>Restaurante O Gato (Estremoz)</t>
  </si>
  <si>
    <t>Borrego Assado no Forno</t>
  </si>
  <si>
    <t>Borrego assado em forno de lenha com batatas e alecrim.</t>
  </si>
  <si>
    <t>Restaurante Adega do Isaías (Rua da Cadeia)</t>
  </si>
  <si>
    <t>Muralhas de Serpa</t>
  </si>
  <si>
    <t>Cachola de Porco</t>
  </si>
  <si>
    <t>Carne de porco desfiada com sangue, fígado e pão.</t>
  </si>
  <si>
    <t>Restaurante A Muralha (Rua do Capucho)</t>
  </si>
  <si>
    <t>Jardim do Tarro (Portalegre)</t>
  </si>
  <si>
    <t>Queijo de Nisa</t>
  </si>
  <si>
    <t>Queijo curado de ovelha, de pasta semidura e sabor pronunciado.</t>
  </si>
  <si>
    <t>Mercearia do Queijo (Praça da República)</t>
  </si>
  <si>
    <t>Centro Histórico de Nisa</t>
  </si>
  <si>
    <t>Feijoada de Couves</t>
  </si>
  <si>
    <t>Feijão branco com couves, entrecosto e enchidos.</t>
  </si>
  <si>
    <t>Restaurante O Varanda do Alentejo (Rua do Espírito Santo)</t>
  </si>
  <si>
    <t>Toucinho-do-Céu</t>
  </si>
  <si>
    <t>Doce conventual de amêndoa e ovos, com textura húmida.</t>
  </si>
  <si>
    <t>Pastelaria Conventual Pão de Rala (Rua do Cicioso)</t>
  </si>
  <si>
    <t>Sé de Évora</t>
  </si>
  <si>
    <t>Marisco variado cozinhado em cataplana com tomate, cebola e pimento.</t>
  </si>
  <si>
    <t>Restaurante Dois Irmãos (Largo Terreiro do Bispo)</t>
  </si>
  <si>
    <t>Papa de milho com amêijoas ou conquilhas, temperada com azeite.</t>
  </si>
  <si>
    <t>Restaurante A Forja (Rua dos Ferreiros)</t>
  </si>
  <si>
    <t>Centro Histórico de Lagos</t>
  </si>
  <si>
    <t>Arroz caldoso com lingueirões da Ria Formosa.</t>
  </si>
  <si>
    <t>Restaurante O Bote (Avenida 5 de Outubro)</t>
  </si>
  <si>
    <t>Frango Piripiri de Guia</t>
  </si>
  <si>
    <t>Guia (Albufeira)</t>
  </si>
  <si>
    <t>Frango grelhado na brasa com molho piripiri tradicional.</t>
  </si>
  <si>
    <t>Restaurante Ramires (Rua 25 de Abril)</t>
  </si>
  <si>
    <t>Praia da Galé</t>
  </si>
  <si>
    <t>Doce conventual de ovos, açúcar e amêndoa em forma de monte.</t>
  </si>
  <si>
    <t>Pastelaria Golfinho (Rua Cândido dos Reis)</t>
  </si>
  <si>
    <t>Igreja de Santo António</t>
  </si>
  <si>
    <t>Morgado de Figo</t>
  </si>
  <si>
    <t>Doce de figos secos, amêndoas, açúcar e especiarias.</t>
  </si>
  <si>
    <t>Pastelaria Veneza (Praça da República)</t>
  </si>
  <si>
    <t>Ponte Romana de Tavira</t>
  </si>
  <si>
    <t>Conquilhas à Algarvia</t>
  </si>
  <si>
    <t>Conquilhas cozinhadas com alho, coentros, limão e azeite.</t>
  </si>
  <si>
    <t>Restaurante Meia Praia (Praia de Alvor)</t>
  </si>
  <si>
    <t>Praia de Alvor</t>
  </si>
  <si>
    <t>Percebes</t>
  </si>
  <si>
    <t>Percebes cozidos em água do mar e sal.</t>
  </si>
  <si>
    <t>Restaurante Ponto de Encontro (Rua Comandante Matoso)</t>
  </si>
  <si>
    <t>Caldeirada de Peixe Algarvia</t>
  </si>
  <si>
    <t>Guisado de peixes variados com batatas, tomate e pimentão.</t>
  </si>
  <si>
    <t>Restaurante Dona Barca (Largo da Barca)</t>
  </si>
  <si>
    <t>Praia da Rocha</t>
  </si>
  <si>
    <t>Figos Cheios</t>
  </si>
  <si>
    <t>Figos secos recheados com amêndoa, chocolate e erva-doce.</t>
  </si>
  <si>
    <t>Confeitaria Martins (Rua do Castelo)</t>
  </si>
  <si>
    <t>Caracóis à Algarvia</t>
  </si>
  <si>
    <t>Caracóis cozidos com orégãos, alho e piripiri.</t>
  </si>
  <si>
    <t>Tasca da Graça (Rua Nossa Senhora da Piedade)</t>
  </si>
  <si>
    <t>Mercado de Loulé</t>
  </si>
  <si>
    <t>Cozido das Furnas</t>
  </si>
  <si>
    <t>Cozido tradicional cozinhado no calor vulcânico da terra, com carnes, enchidos e legumes.</t>
  </si>
  <si>
    <t>Restaurante Tony's (Vale das Furnas)</t>
  </si>
  <si>
    <t>Lagoa das Furnas</t>
  </si>
  <si>
    <t>Alcatra de Vaca</t>
  </si>
  <si>
    <t>Carne de vaca cozinhada lentamente em panela de barro com vinho, especiarias e toucinho.</t>
  </si>
  <si>
    <t>Restaurante Ti Choa (Rua de São João, Angra)</t>
  </si>
  <si>
    <t>Centro Histórico de Angra do Heroísmo</t>
  </si>
  <si>
    <t>Lapas à Açoriana</t>
  </si>
  <si>
    <t>Lapas grelhadas com manteiga, alho, limão e salsa.</t>
  </si>
  <si>
    <t>Restaurante Cella Bar (Criação Velha)</t>
  </si>
  <si>
    <t>Paisagem Protegida da Vinha do Pico</t>
  </si>
  <si>
    <t>Polvo Guisado à Açoriana</t>
  </si>
  <si>
    <t>Polvo cozinhado em vinho tinto com batatas e cebola.</t>
  </si>
  <si>
    <t>Restaurante Peter Café Sport (Rua José Azevedo, Horta)</t>
  </si>
  <si>
    <t>Torresmos de Molho de Fígado</t>
  </si>
  <si>
    <t>Torresmos servidos com molho de fígado e vinho.</t>
  </si>
  <si>
    <t>Restaurante O Morgado (Calheta)</t>
  </si>
  <si>
    <t>Fajã dos Vimes</t>
  </si>
  <si>
    <t>Bolo Lêvedo</t>
  </si>
  <si>
    <t>Pãozinho doce e achatado, servido com manteiga ou recheado.</t>
  </si>
  <si>
    <t>Pastelaria Canto da Vila (Vila Franca do Campo)</t>
  </si>
  <si>
    <t>Ilhéu de Vila Franca</t>
  </si>
  <si>
    <t>Inhame à Madeirense</t>
  </si>
  <si>
    <t>Inhame cozido ou frito, acompanhamento típico de carnes e peixes.</t>
  </si>
  <si>
    <t>Restaurante O Achadinho (Furnas)</t>
  </si>
  <si>
    <t>Queijo curado de vaca com sabor intenso e textura firme.</t>
  </si>
  <si>
    <t>Cooperativa de Lacticínios da Ilha (Calheta)</t>
  </si>
  <si>
    <t>Centro de São Jorge</t>
  </si>
  <si>
    <t>Massa Sovada</t>
  </si>
  <si>
    <t>Pão doce açucarado, típico das festas religiosas.</t>
  </si>
  <si>
    <t>Padaria Athanásio (Angra do Heroísmo)</t>
  </si>
  <si>
    <t>Festas do Espírito Santo</t>
  </si>
  <si>
    <t>Espécies (Bolos de Especiarias)</t>
  </si>
  <si>
    <t>Bolos tradicionais de especiarias e mel, típicos do Natal.</t>
  </si>
  <si>
    <t>Pastelaria O Forno (Angra do Heroísmo)</t>
  </si>
  <si>
    <t>Igreja da Misericórdia</t>
  </si>
  <si>
    <t>Espetada Madeirense</t>
  </si>
  <si>
    <t>Carne de vaca em cubos marinada e assada em espeto de louro.</t>
  </si>
  <si>
    <t>Restaurante O Regional (Rua Comandante Camacho de Freitas)</t>
  </si>
  <si>
    <t>Bolo do Caco</t>
  </si>
  <si>
    <t>Pão achatado de batata doce, servido com manteiga de alho.</t>
  </si>
  <si>
    <t>Padaria Penha D'Águia (Rua das Pretas)</t>
  </si>
  <si>
    <t>Sé do Funchal</t>
  </si>
  <si>
    <t>Picado Madeirense</t>
  </si>
  <si>
    <t>Cubos de carne de vaca frita com alho, louro e vinho.</t>
  </si>
  <si>
    <t>Restaurante Arsénio's (Rua de Santa Maria)</t>
  </si>
  <si>
    <t>Zona Velha do Funchal</t>
  </si>
  <si>
    <t>Milho Frito</t>
  </si>
  <si>
    <t>Cubos de farinha de milho frita, servidos com carnes.</t>
  </si>
  <si>
    <t>Restaurante Portão (Rua Portão de São Tiago)</t>
  </si>
  <si>
    <t>Forte de São Tiago</t>
  </si>
  <si>
    <t>Lapas Grelhadas</t>
  </si>
  <si>
    <t>Lapas grelhadas com manteiga de alho e limão.</t>
  </si>
  <si>
    <t>Restaurante Vila do Peixe (Largo da República)</t>
  </si>
  <si>
    <t>Baía de Câmara de Lobos</t>
  </si>
  <si>
    <t>Atum de Cebolada</t>
  </si>
  <si>
    <t>Bifes de atum fresco fritos com cebolada.</t>
  </si>
  <si>
    <t>Restaurante Gavião Novo (Rua de Santa Maria)</t>
  </si>
  <si>
    <t>Peixe-Espada Preto</t>
  </si>
  <si>
    <t>Peixe-espada preto frito com banana e maracujá.</t>
  </si>
  <si>
    <t>Restaurante Coral (Rua do Torreão)</t>
  </si>
  <si>
    <t>Miradouro de Câmara de Lobos</t>
  </si>
  <si>
    <t>Sopa de Tomate e Cebola</t>
  </si>
  <si>
    <t>Sopa de tomate com cebola, ovo escalfado e pão torrado.</t>
  </si>
  <si>
    <t>Restaurante Mercado Velho (Largo do Mercado)</t>
  </si>
  <si>
    <t>Praia de Machico</t>
  </si>
  <si>
    <t>Bolo de Mel</t>
  </si>
  <si>
    <t>Bolo denso de melaço de cana, especiarias e frutos secos.</t>
  </si>
  <si>
    <t>Fábrica de Mel de Cana do Ribeiro Sêco (São Roque)</t>
  </si>
  <si>
    <t>Engenho da Calheta</t>
  </si>
  <si>
    <t>Broas de Mel</t>
  </si>
  <si>
    <t>Pequenas broas de mel de cana com especiarias.</t>
  </si>
  <si>
    <t>Casa de Chá do Faial (Faial)</t>
  </si>
  <si>
    <t>Casas de Colmo de Santana</t>
  </si>
  <si>
    <t>Carne Vinha d'Alhos</t>
  </si>
  <si>
    <t>Carne de porco marinada em vinho, vinagre e alho.</t>
  </si>
  <si>
    <t>Restaurante Riso (Santa Maria)</t>
  </si>
  <si>
    <t>Teleférico do Funchal</t>
  </si>
  <si>
    <t>Filete de Peixe-Espada</t>
  </si>
  <si>
    <t>Filete de peixe-espada panado e frito.</t>
  </si>
  <si>
    <t>Restaurante Cidade Velha (Rua de Santa Maria)</t>
  </si>
  <si>
    <t>Porta de São Tiago</t>
  </si>
  <si>
    <t>Poncha</t>
  </si>
  <si>
    <t>Bebida tradicional de aguardente de cana, mel e limão.</t>
  </si>
  <si>
    <t>Bar da Poncha (Serra de Água)</t>
  </si>
  <si>
    <t>Rebuçados de Funcho</t>
  </si>
  <si>
    <t>Rebuçados de funcho (erva-doce), tradicionais da Madeira.</t>
  </si>
  <si>
    <t>Fábrica de Rebuçados de Funcho (Funchal)</t>
  </si>
  <si>
    <t>Mel de Cana</t>
  </si>
  <si>
    <t>Melaço de cana-de-açúcar, usado em doçaria tradicional.</t>
  </si>
  <si>
    <t>Engenho da Calheta (Avenida D. Manuel I)</t>
  </si>
  <si>
    <t>Centro das Artes da Calheta</t>
  </si>
  <si>
    <t>MINHO</t>
  </si>
  <si>
    <t>Abade de Priscos</t>
  </si>
  <si>
    <t>Pudim rico em gemas e toucinho</t>
  </si>
  <si>
    <t>Bolinhol de Vizela</t>
  </si>
  <si>
    <t>Pão-de-ló coberto com calda de açúcar</t>
  </si>
  <si>
    <t>Charutos dos Arcos</t>
  </si>
  <si>
    <t>Rolinhos de hóstia com doce de ovos</t>
  </si>
  <si>
    <t>Roscas de Monção</t>
  </si>
  <si>
    <t>Biscoitos em forma de anel</t>
  </si>
  <si>
    <t>Clarinhas de Fão</t>
  </si>
  <si>
    <t>Pastéis de massa fina com doce de chila</t>
  </si>
  <si>
    <t>Torta recheada com ovos moles</t>
  </si>
  <si>
    <t>Sidónios</t>
  </si>
  <si>
    <t>Bolos de amêndoa em forma de barco</t>
  </si>
  <si>
    <t>Fidalguinhos</t>
  </si>
  <si>
    <t>Biscoitos secos com canela e limão</t>
  </si>
  <si>
    <t>Suspiros de Braga</t>
  </si>
  <si>
    <t>Merengues leves e crocantes</t>
  </si>
  <si>
    <t>Viúvas de Braga</t>
  </si>
  <si>
    <t>Doce de ovos e amêndoa em massa folhada</t>
  </si>
  <si>
    <t>Papas de Moado</t>
  </si>
  <si>
    <t>Meias Luas de Viana</t>
  </si>
  <si>
    <t>Massa de amêndoa em meia-lua</t>
  </si>
  <si>
    <t>Colares de doces brancos</t>
  </si>
  <si>
    <t>Leite Creme Queimado</t>
  </si>
  <si>
    <t>Creme de leite e ovos caramelizado</t>
  </si>
  <si>
    <t>Pão, mel, frutos secos e vinho</t>
  </si>
  <si>
    <t>Barquilheres</t>
  </si>
  <si>
    <t>Bolachas enroladas em cone</t>
  </si>
  <si>
    <t>Doce de ovos e amêndoa denso</t>
  </si>
  <si>
    <t>Tortas de Guimarães</t>
  </si>
  <si>
    <t>Massa folhada recheada com ovos</t>
  </si>
  <si>
    <t>Biscoitos de Mel</t>
  </si>
  <si>
    <t>TRÁS-OS-MONTES</t>
  </si>
  <si>
    <t>Amêndoas envolvidas em açúcar à mão</t>
  </si>
  <si>
    <t>Mel biológico puro e escuro</t>
  </si>
  <si>
    <t>Massa fina com doce de abóbora gila</t>
  </si>
  <si>
    <t>Pudim de Castanha</t>
  </si>
  <si>
    <t>Pão-de-Ló de Outeiro</t>
  </si>
  <si>
    <t>Tradicional e muito fofo</t>
  </si>
  <si>
    <t>Económicos</t>
  </si>
  <si>
    <t>Biscoitos de aguardente e azeite</t>
  </si>
  <si>
    <t>Suspiros de Amêndoa</t>
  </si>
  <si>
    <t>Merengue com pedaços de amêndoa</t>
  </si>
  <si>
    <t>Massa rica em frutos secos</t>
  </si>
  <si>
    <t>Bolos de Azeite</t>
  </si>
  <si>
    <t>Biscoitos rústicos e aromáticos</t>
  </si>
  <si>
    <t>Filhós de Chila</t>
  </si>
  <si>
    <t>Sande de Amêndoa</t>
  </si>
  <si>
    <t>Doce regional de Mogadouro</t>
  </si>
  <si>
    <t>Rosquilhas de Vinho</t>
  </si>
  <si>
    <t>Conserva doce de castanha inteira</t>
  </si>
  <si>
    <t>Torta de Nozes</t>
  </si>
  <si>
    <t>BEIRA LITORAL</t>
  </si>
  <si>
    <t>Gemas e açúcar dentro de hóstia</t>
  </si>
  <si>
    <t>Ovos, açúcar e amêndoa</t>
  </si>
  <si>
    <t>Pão doce em forma de coroa</t>
  </si>
  <si>
    <t>Manjar Branco</t>
  </si>
  <si>
    <t>Pequenas queijadas achatadas</t>
  </si>
  <si>
    <t>Pão-de-Ló de Ovar</t>
  </si>
  <si>
    <t>Muito húmido no centro</t>
  </si>
  <si>
    <t>Pastéis de Lorvão</t>
  </si>
  <si>
    <t>Bairradinos</t>
  </si>
  <si>
    <t>Bolos brancos de açúcar e neve</t>
  </si>
  <si>
    <t>Tripas de Aveiro</t>
  </si>
  <si>
    <t>Massa de crepe pouco cozida</t>
  </si>
  <si>
    <t>Bolacha Americana</t>
  </si>
  <si>
    <t>Talhadas do Buçaco</t>
  </si>
  <si>
    <t>Doce de mel e amêndoa</t>
  </si>
  <si>
    <t>Versão local do merengue</t>
  </si>
  <si>
    <t>Massa de pão com ovos inteiros</t>
  </si>
  <si>
    <t>BEIRA INTERIOR</t>
  </si>
  <si>
    <t>Bolos de Carolo</t>
  </si>
  <si>
    <t>Cavacas de Pinhel</t>
  </si>
  <si>
    <t>Esquecidos</t>
  </si>
  <si>
    <t>Nógado</t>
  </si>
  <si>
    <t>Borrachões</t>
  </si>
  <si>
    <t>Cones de amêndoa e ovos</t>
  </si>
  <si>
    <t>Filhós de Joelho</t>
  </si>
  <si>
    <t>Pastel de Belém</t>
  </si>
  <si>
    <t>Nozes de Cascais</t>
  </si>
  <si>
    <t>Areias de Cascais</t>
  </si>
  <si>
    <t>Fofos de Belas</t>
  </si>
  <si>
    <t>Essa de Lisboa</t>
  </si>
  <si>
    <t>Tortas de Azeitão</t>
  </si>
  <si>
    <t>Palha de Abrantes</t>
  </si>
  <si>
    <t>Pastéis de Peniche</t>
  </si>
  <si>
    <t>ALENTEJO</t>
  </si>
  <si>
    <t>Pão de Rala</t>
  </si>
  <si>
    <t>Tebas de Évora</t>
  </si>
  <si>
    <t>Gemas em calda de açúcar</t>
  </si>
  <si>
    <t>Queijadas de Évora</t>
  </si>
  <si>
    <t>Doce de leite e amêndoa</t>
  </si>
  <si>
    <t>Tibornas</t>
  </si>
  <si>
    <t>Amêndoa e ovos</t>
  </si>
  <si>
    <t>Escuros e compactos</t>
  </si>
  <si>
    <t>Nógado de Évora</t>
  </si>
  <si>
    <t>Frutos secos e mel</t>
  </si>
  <si>
    <t>Alcomonias</t>
  </si>
  <si>
    <t>Pinhoada</t>
  </si>
  <si>
    <t>Popias</t>
  </si>
  <si>
    <t>Morgado de Évora</t>
  </si>
  <si>
    <t>Moldadas em calda</t>
  </si>
  <si>
    <t>Pastéis de Grão</t>
  </si>
  <si>
    <t>ALGARVE</t>
  </si>
  <si>
    <t>Morgado de Amêndoa</t>
  </si>
  <si>
    <t>Queijinhos de Figo</t>
  </si>
  <si>
    <t>Bolo de Alfarroba</t>
  </si>
  <si>
    <t>Estrelas de Figo</t>
  </si>
  <si>
    <t>Figos Recheados</t>
  </si>
  <si>
    <t>Arroz Doce Algarvio</t>
  </si>
  <si>
    <t>Caramelizadas com casca</t>
  </si>
  <si>
    <t>Feijão com várias carnes de porco e enchidos regionais.</t>
  </si>
  <si>
    <t>Restaurante Solar Bragançano (Praça da Sé)</t>
  </si>
  <si>
    <t>Arroz de Feijão com Carnes</t>
  </si>
  <si>
    <t>Arroz cremoso com feijão e carnes de porco.</t>
  </si>
  <si>
    <t>Restaurante Carvalho (Rua do Tabolado)</t>
  </si>
  <si>
    <t>Polvo à Lagareiro</t>
  </si>
  <si>
    <t>Polvo assado no forno com batatas a murro e azeite.</t>
  </si>
  <si>
    <t>Restaurante O Gaveto (Matosinhos)</t>
  </si>
  <si>
    <t>Porto de Matosinhos</t>
  </si>
  <si>
    <t>Bacalhau com Broa</t>
  </si>
  <si>
    <t>Bacalhau desfiado coberto com broa esfarelada e azeite.</t>
  </si>
  <si>
    <t>Restaurante Adega do Evaristo (Barcelos)</t>
  </si>
  <si>
    <t>Igreja do Bom Jesus (Barcelos)</t>
  </si>
  <si>
    <t>Caldeirada à Poveira</t>
  </si>
  <si>
    <t>Caldeirada de peixe típica dos pescadores poveiros.</t>
  </si>
  <si>
    <t>Restaurante Costa Verde (Póvoa)</t>
  </si>
  <si>
    <t>Praia da Póvoa</t>
  </si>
  <si>
    <t>Toucinho do Céu de Guimarães</t>
  </si>
  <si>
    <t>Doce conventual de amêndoa e ovos.</t>
  </si>
  <si>
    <t>Pastelaria Clarinha (Largo Condessa do Juncal)</t>
  </si>
  <si>
    <t>Paço dos Duques</t>
  </si>
  <si>
    <t>Pão de Ló de Margaride</t>
  </si>
  <si>
    <t>Pão de ló húmido com receita centenária.</t>
  </si>
  <si>
    <t>Casa do Pão de Ló de Margaride (Margaride)</t>
  </si>
  <si>
    <t>Mosteiro de Pombeiro</t>
  </si>
  <si>
    <t>Arroz de Pato à Bairrada</t>
  </si>
  <si>
    <t>Arroz de forno com pato e chouriço da Bairrada.</t>
  </si>
  <si>
    <t>Restaurante Rei dos Leitões (Mealhada)</t>
  </si>
  <si>
    <t>Mata do Bussaco</t>
  </si>
  <si>
    <t>Pastéis de Feijão de Torres Vedras</t>
  </si>
  <si>
    <t>Pastel de massa folhada recheado com doce de feijão.</t>
  </si>
  <si>
    <t>Fábrica de Pastéis (Rua 9 de Abril)</t>
  </si>
  <si>
    <t>Cavacas das Caldas</t>
  </si>
  <si>
    <t>Doce de ovos cozido e glaceado.</t>
  </si>
  <si>
    <t>Pastelaria Machado (Praça da República)</t>
  </si>
  <si>
    <t>Papo de Anjo</t>
  </si>
  <si>
    <t>Doce de ovos em calda de açúcar.</t>
  </si>
  <si>
    <t>Pastelaria Abrantes (Rua dos Murtais)</t>
  </si>
  <si>
    <t>Arroz de Grelos</t>
  </si>
  <si>
    <t>Arroz caldoso com grelos de nabo.</t>
  </si>
  <si>
    <t>Restaurante O Minho (Ponte de Lima)</t>
  </si>
  <si>
    <t>Centro Histórico de Ponte de Lima</t>
  </si>
  <si>
    <t>Chouriça de Sangue</t>
  </si>
  <si>
    <t>Enchido de sangue de porco com arroz e especiarias.</t>
  </si>
  <si>
    <t>Restaurante O Transmontano (Bragança)</t>
  </si>
  <si>
    <t>Museu Abade de Baçal</t>
  </si>
  <si>
    <t>Febras de Porco</t>
  </si>
  <si>
    <t>Bifes de lombo de porco marinados e grelhados.</t>
  </si>
  <si>
    <t>Tasca do Chico (Alfama)</t>
  </si>
  <si>
    <t>Arroz caldoso com tamboril e coentros.</t>
  </si>
  <si>
    <t>Restaurante Rio Azul (Setúbal)</t>
  </si>
  <si>
    <t>Forte de São Filipe</t>
  </si>
  <si>
    <t>Favas à Portuguesa</t>
  </si>
  <si>
    <t>Favas guisadas com chouriço, entrecosto e hortelã.</t>
  </si>
  <si>
    <t>Tasca do Jaime (Rua dos Bacalhoeiros)</t>
  </si>
  <si>
    <t>Arroz de Búzios</t>
  </si>
  <si>
    <t>Arroz caldoso com búzios e coentros.</t>
  </si>
  <si>
    <t>Restaurante Marés (Guincho)</t>
  </si>
  <si>
    <t>Pataniscas de Bacalhau</t>
  </si>
  <si>
    <t>Bolinhos de bacalhau desfiado fritos.</t>
  </si>
  <si>
    <t>Praça Martim Moniz</t>
  </si>
  <si>
    <t>Pargo Assado</t>
  </si>
  <si>
    <t>Pargo assado no forno com batatas e legumes.</t>
  </si>
  <si>
    <t>Restaurante Vila Velha (Faro)</t>
  </si>
  <si>
    <t>Centro Histórico de Faro</t>
  </si>
  <si>
    <t>Arroz de Berbigão</t>
  </si>
  <si>
    <t>Arroz caldoso com berbigão da Ria Formosa.</t>
  </si>
  <si>
    <t>Restaurante Quatro Águas (Tavira)</t>
  </si>
  <si>
    <t>Estufado de Javali</t>
  </si>
  <si>
    <t>Javali estufado em vinho tinto com especiarias.</t>
  </si>
  <si>
    <t>Restaurante O Sever (Portagem)</t>
  </si>
  <si>
    <t>Parque Natural de São Mamede</t>
  </si>
  <si>
    <t>Cabrito Estonado</t>
  </si>
  <si>
    <t>Cabrito assado em sangue, vísceras e vinho.</t>
  </si>
  <si>
    <t>Restaurante A Tosca (Alandroal)</t>
  </si>
  <si>
    <t>Castelo do Alandroal</t>
  </si>
  <si>
    <t>Morcela de Arroz</t>
  </si>
  <si>
    <t>Restaurante O Barrigas (Rua 19 de Junho)</t>
  </si>
  <si>
    <t>Sé de Portalegre</t>
  </si>
  <si>
    <t>Queijadas de requeijão com canela.</t>
  </si>
  <si>
    <t>Pastelaria Pão de Rala (Rua do Cicioso)</t>
  </si>
  <si>
    <t>Praça do Giraldo</t>
  </si>
  <si>
    <t>Açorda de Bacalhau</t>
  </si>
  <si>
    <t>Açorda com bacalhau desfiado e coentros.</t>
  </si>
  <si>
    <t>Restaurante Cozinha de Santo Humberto (Rua da Moeda)</t>
  </si>
  <si>
    <t>Igreja de São Francisco (Capela dos Ossos)</t>
  </si>
  <si>
    <t>Arroz de Forno à Alentejana</t>
  </si>
  <si>
    <t>Arroz de forno com carnes e enchidos.</t>
  </si>
  <si>
    <t>Restaurante Alentejano (Rua de Lisboa)</t>
  </si>
  <si>
    <t>Museu Rainha D. Leonor</t>
  </si>
  <si>
    <t>Bifanas típicas de porco alentejano.</t>
  </si>
  <si>
    <t>Restaurante O Retiro (Estrada Nacional)</t>
  </si>
  <si>
    <t>Palácio Real de Vendas Novas</t>
  </si>
  <si>
    <t>Caldeirada de enguias do Rio Sado.</t>
  </si>
  <si>
    <t>Restaurante D. Jorge (Praça Pedro Nunes)</t>
  </si>
  <si>
    <t>Arroz Doce</t>
  </si>
  <si>
    <t>Arroz cozido em leite com açúcar, canela e limão.</t>
  </si>
  <si>
    <t>Confeitaria Nacional (Praça da Figueira)</t>
  </si>
  <si>
    <t>Rossio</t>
  </si>
  <si>
    <t>Leite-Creme</t>
  </si>
  <si>
    <t>Creme de leite caramelizado.</t>
  </si>
  <si>
    <t>Confeitaria Arcádia (Rua de Santa Catarina)</t>
  </si>
  <si>
    <t>Livraria Lello (Porto)</t>
  </si>
  <si>
    <t>Pudim Abade de Priscos</t>
  </si>
  <si>
    <t>Pudim denso de gemas, toucinho e vinho do Porto.</t>
  </si>
  <si>
    <t>Restaurante Brac (Largo de São João do Souto)</t>
  </si>
  <si>
    <t>Barriga de Freira</t>
  </si>
  <si>
    <t>Doce de pão-de-ló em calda com amêndoa.</t>
  </si>
  <si>
    <t>Pastelaria Regional (Praça 5 de Outubro)</t>
  </si>
  <si>
    <t>Tigelada</t>
  </si>
  <si>
    <t>Doce de ovos cozido em tigela de barro.</t>
  </si>
  <si>
    <t>Jardins do Castelo de Abrantes</t>
  </si>
  <si>
    <t>Suspiros de Caminha</t>
  </si>
  <si>
    <t>Merengues leves e doces.</t>
  </si>
  <si>
    <t>Pastelaria A Brasileira (Rua Conselheiro Miguel Dantas)</t>
  </si>
  <si>
    <t>Forte da Ínsua</t>
  </si>
  <si>
    <t>Fogaças da Feira</t>
  </si>
  <si>
    <t>Pão doce decorado, típico das festas.</t>
  </si>
  <si>
    <t>Padaria Fogaceira (Largo da Feira)</t>
  </si>
  <si>
    <t>Castelo da Feira</t>
  </si>
  <si>
    <t>Papas de Milho</t>
  </si>
  <si>
    <t>Papa de farinha de milho servida com leite ou carne.</t>
  </si>
  <si>
    <t>Restaurante Cozinha Regional (Barcelos)</t>
  </si>
  <si>
    <t>Santuário do Senhor do Monte</t>
  </si>
  <si>
    <t>Rojões com Castanhas</t>
  </si>
  <si>
    <t>Rojões de porco com castanhas assadas.</t>
  </si>
  <si>
    <t>Restaurante O Geadas (Chaves)</t>
  </si>
  <si>
    <t>Forte de São Francisco</t>
  </si>
  <si>
    <t>Papas de Carolo</t>
  </si>
  <si>
    <t>Papa de milho típica da Beira.</t>
  </si>
  <si>
    <t>Restaurante Serra da Estrela (Seia)</t>
  </si>
  <si>
    <t>Aletria</t>
  </si>
  <si>
    <t>Doce de massa fina cozida em leite com canela.</t>
  </si>
  <si>
    <t>Pastelaria Briosa (Praça da República)</t>
  </si>
  <si>
    <t>Alta de Coimbra</t>
  </si>
  <si>
    <t>Rabanadas</t>
  </si>
  <si>
    <t>Fatias de pão embebidas em leite, fritas e açucaradas.</t>
  </si>
  <si>
    <t>Bolo de Noiva (Loulé)</t>
  </si>
  <si>
    <t>Bolo de especiarias e frutos secos</t>
  </si>
  <si>
    <t>Bolo de Mel da Madeira</t>
  </si>
  <si>
    <t>Poncha da Madeira</t>
  </si>
  <si>
    <t xml:space="preserve">  🟦  NORTE  —  35 pratos típicos</t>
  </si>
  <si>
    <t xml:space="preserve">  🟨  CENTRO  —  23 pratos típicos</t>
  </si>
  <si>
    <t xml:space="preserve">  🟧  LISBOA  —  22 pratos típicos</t>
  </si>
  <si>
    <t xml:space="preserve">  🟫  ALENTEJO  —  22 pratos típicos</t>
  </si>
  <si>
    <t xml:space="preserve">  🟪  ALGARVE  —  13 pratos típicos</t>
  </si>
  <si>
    <t xml:space="preserve">  🔵  AÇORES  —  10 pratos típicos</t>
  </si>
  <si>
    <t xml:space="preserve">  🟢  MADEIRA  —  15 pratos típicos</t>
  </si>
  <si>
    <t>🗺️ Mapa 1</t>
  </si>
  <si>
    <t>🗺️ Mapa 2</t>
  </si>
  <si>
    <t>🗺️ Abrir Mapa GPS 1</t>
  </si>
  <si>
    <t>🗺️ Abrir Mapa GPS 2</t>
  </si>
  <si>
    <t>🍬  DOÇARIA REGIONAL PORTUGUESA  —  161 doces tradicionais</t>
  </si>
  <si>
    <t>Minho · Trás-os-Montes · Beira Litoral · Beira Interior · Estremadura · Alentejo · Algarve  ·  Doçaria Conventual e Popular  ·  2 de março de 2026</t>
  </si>
  <si>
    <t>Doce</t>
  </si>
  <si>
    <t>📍 GPS 1</t>
  </si>
  <si>
    <t>📍 GPS 2</t>
  </si>
  <si>
    <t xml:space="preserve">  🟦  MINHO  —  20 doces típicos</t>
  </si>
  <si>
    <t>Pastelaria Lusitana</t>
  </si>
  <si>
    <t>Pastelaria Kibom</t>
  </si>
  <si>
    <t>Delícias do Bolinhol</t>
  </si>
  <si>
    <t>Doce Arcos</t>
  </si>
  <si>
    <t>Pastelaria Central</t>
  </si>
  <si>
    <t>Pastelaria Dona Rosa</t>
  </si>
  <si>
    <t>Mercado Municipal</t>
  </si>
  <si>
    <t>Pastelaria Clarinhas</t>
  </si>
  <si>
    <t>Pastelaria do Rio</t>
  </si>
  <si>
    <t>Confeitaria Natário</t>
  </si>
  <si>
    <t>Manuel Natário</t>
  </si>
  <si>
    <t>Pastelaria Ameadella</t>
  </si>
  <si>
    <t>Pastelaria Vianense</t>
  </si>
  <si>
    <t>Pastelaria Tibães</t>
  </si>
  <si>
    <t>Frigideiras do Cantinho</t>
  </si>
  <si>
    <t>Pastelaria São Vicente</t>
  </si>
  <si>
    <t>Ferreira Capa</t>
  </si>
  <si>
    <t>Pastelaria Doce Braga</t>
  </si>
  <si>
    <t>Confeitaria Cores</t>
  </si>
  <si>
    <t>Doce de sangue de porco e pão (tradicional)</t>
  </si>
  <si>
    <t>Restaurante Camelo</t>
  </si>
  <si>
    <t>Feira de Ponte de Lima</t>
  </si>
  <si>
    <t>Pastelaria Santa Luzia</t>
  </si>
  <si>
    <t>Doces de Romaria (Paluas)</t>
  </si>
  <si>
    <t>Feira de São Bartolomeu</t>
  </si>
  <si>
    <t>Restaurante Solar do Louredo</t>
  </si>
  <si>
    <t>Restaurante O Caneiro</t>
  </si>
  <si>
    <t>Mexidos de Natal (Formigos)</t>
  </si>
  <si>
    <t>Mercado de Natal Viana</t>
  </si>
  <si>
    <t>Taberna da Adélia</t>
  </si>
  <si>
    <t>Feiras Locais</t>
  </si>
  <si>
    <t>Pastelaria Clarinha</t>
  </si>
  <si>
    <t>Largo da Oliveira</t>
  </si>
  <si>
    <t>Pastelaria Vila</t>
  </si>
  <si>
    <t>Casa Costinhas</t>
  </si>
  <si>
    <t>Tradicionais das Serras da Peneda/Gerês</t>
  </si>
  <si>
    <t>Soajo</t>
  </si>
  <si>
    <t>Lindoso</t>
  </si>
  <si>
    <t>Arroz Doce à Moda do Minho</t>
  </si>
  <si>
    <t>Muito cremoso e com canela</t>
  </si>
  <si>
    <t>Casa de Pasto O Abade</t>
  </si>
  <si>
    <t>Restaurante Tia Isabel</t>
  </si>
  <si>
    <t xml:space="preserve">  🟧  TRÁS-OS-MONTES  —  20 doces típicos</t>
  </si>
  <si>
    <t>Amêndoa Coberta de Moncorvo</t>
  </si>
  <si>
    <t>Moncorvo d’Alme</t>
  </si>
  <si>
    <t>Fábrica local</t>
  </si>
  <si>
    <t>Crista de Galo (Vila Real)</t>
  </si>
  <si>
    <t>Massa folhada com doce de ovos e amêndoa</t>
  </si>
  <si>
    <t>Casa Lapão</t>
  </si>
  <si>
    <t>Doçaria da Villa</t>
  </si>
  <si>
    <t>Mel do Parque de Montesinho</t>
  </si>
  <si>
    <t>Bragança Market</t>
  </si>
  <si>
    <t>Cooperativa de Mel</t>
  </si>
  <si>
    <t>Folar de Chaves (Doce)</t>
  </si>
  <si>
    <t>Massa de pão leve com açúcar/canela</t>
  </si>
  <si>
    <t>Pastelaria Maria</t>
  </si>
  <si>
    <t>Doçaria Chaves</t>
  </si>
  <si>
    <t>Pitos de Santa Luzia</t>
  </si>
  <si>
    <t>Vila Real Histórico</t>
  </si>
  <si>
    <t>Confeitaria de Santa Luzia</t>
  </si>
  <si>
    <t>Sobremesa densa feita com castanha da Terra Fria</t>
  </si>
  <si>
    <t>Outeiro</t>
  </si>
  <si>
    <t>Feira de Bragança</t>
  </si>
  <si>
    <t>Jerimu (Doce de Abóbora)</t>
  </si>
  <si>
    <t>Doce de colher tradicional de Vila Real</t>
  </si>
  <si>
    <t>Restaurante Cais da Villa</t>
  </si>
  <si>
    <t>Feira de S. Pedro</t>
  </si>
  <si>
    <t>Bolas de Amêndoa de Freixo</t>
  </si>
  <si>
    <t>Pastelaria Guerra</t>
  </si>
  <si>
    <t>Queijadas de Bragança</t>
  </si>
  <si>
    <t>Pequenas tartes de queijo fresco e açúcar</t>
  </si>
  <si>
    <t>Pastelaria Mimosa</t>
  </si>
  <si>
    <t>Pastelaria Campo de Aviação</t>
  </si>
  <si>
    <t>Fritos recheados típicos de festa</t>
  </si>
  <si>
    <t>Mogadouro Centro</t>
  </si>
  <si>
    <t>Pastelaria local</t>
  </si>
  <si>
    <t>Biscoitos embebidos em vinho generoso</t>
  </si>
  <si>
    <t>Castañas en Almíbar (Doce de Castanha)</t>
  </si>
  <si>
    <t>Bola de Amêndoa (Vimioso)</t>
  </si>
  <si>
    <t>Bolo denso e húmido</t>
  </si>
  <si>
    <t>Feira de Artesanato</t>
  </si>
  <si>
    <t>Biscoitos de Escaldar</t>
  </si>
  <si>
    <t>Biscoitos tradicionais de água e farinha fervida</t>
  </si>
  <si>
    <t>Peso da Régua</t>
  </si>
  <si>
    <t>Torta recheada com doce de noz da região</t>
  </si>
  <si>
    <t xml:space="preserve">  🟩  BEIRA LITORAL  —  20 doces típicos</t>
  </si>
  <si>
    <t>Confeitaria Peixinho</t>
  </si>
  <si>
    <t>Maria da Apresentação</t>
  </si>
  <si>
    <t>Brisa do Liz (Leiria)</t>
  </si>
  <si>
    <t>Pequeno doce de ovos, açúcar e amêndoa</t>
  </si>
  <si>
    <t>Doce d’Arte</t>
  </si>
  <si>
    <t>Pastelaria Liz</t>
  </si>
  <si>
    <t>Pastéis de Tentúgal</t>
  </si>
  <si>
    <t>Massa folhada finíssima com ovos moles</t>
  </si>
  <si>
    <t>Pastelaria Afonso</t>
  </si>
  <si>
    <t>Arrufadas de Coimbra</t>
  </si>
  <si>
    <t>Pastelaria Briosa</t>
  </si>
  <si>
    <t>Pastelaria Vénus</t>
  </si>
  <si>
    <t>Pastéis de Santa Clara</t>
  </si>
  <si>
    <t>Meia-lua de massa com amêndoa e ovos</t>
  </si>
  <si>
    <t>Pastelaria de Santa Clara</t>
  </si>
  <si>
    <t>Mosteiro de Santa Clara-a-Velha</t>
  </si>
  <si>
    <t>Doce conventual de peito de frango (raro)</t>
  </si>
  <si>
    <t>Coimbra Histórica</t>
  </si>
  <si>
    <t>Cernache</t>
  </si>
  <si>
    <t>Queijadas de Pereira</t>
  </si>
  <si>
    <t>Pereira do Campo</t>
  </si>
  <si>
    <t>Cruz de Ovar</t>
  </si>
  <si>
    <t>Doce de ovos e amêndoa cilíndrico</t>
  </si>
  <si>
    <t>Pastelaria Lorvão</t>
  </si>
  <si>
    <t>Mosteiro de Lorvão</t>
  </si>
  <si>
    <t>Doce de massa folhada e ovos</t>
  </si>
  <si>
    <t>Nevadas de Penacova</t>
  </si>
  <si>
    <t>Penacova Centro</t>
  </si>
  <si>
    <t>Panificadora de Penacova</t>
  </si>
  <si>
    <t>Tico Tico</t>
  </si>
  <si>
    <t>Quiosques do Canal</t>
  </si>
  <si>
    <t>Fina e crocante, vendida nas praias</t>
  </si>
  <si>
    <t>Praia da Barra</t>
  </si>
  <si>
    <t>Palace Hotel do Bussaco</t>
  </si>
  <si>
    <t>Queijadas de Coimbra</t>
  </si>
  <si>
    <t>Massa crocante e queijo</t>
  </si>
  <si>
    <t>Baixa de Coimbra</t>
  </si>
  <si>
    <t>Queijadaria local</t>
  </si>
  <si>
    <t>Amêndoas de Coimbra</t>
  </si>
  <si>
    <t>Amêndoas torradas cobertas de açúcar</t>
  </si>
  <si>
    <t>Sé Velha</t>
  </si>
  <si>
    <t>Praça do Comércio</t>
  </si>
  <si>
    <t>Suspiros de Lorvão</t>
  </si>
  <si>
    <t>Vila de Lorvão</t>
  </si>
  <si>
    <t>Pastelaria Dona Beatriz</t>
  </si>
  <si>
    <t>Morgado do Bussaco</t>
  </si>
  <si>
    <t>Doce de ovos com fios de ovos</t>
  </si>
  <si>
    <t>Luso Centro</t>
  </si>
  <si>
    <t>Castanhas de Ovos de Aveiro</t>
  </si>
  <si>
    <t>Moldadas como castanhas, feitas de ovos</t>
  </si>
  <si>
    <t>Confeitaria local</t>
  </si>
  <si>
    <t>Folar de Vale de Ílhavo</t>
  </si>
  <si>
    <t>Feira de Ílhavo</t>
  </si>
  <si>
    <t xml:space="preserve">  🟨  BEIRA INTERIOR  —  20 doces típicos</t>
  </si>
  <si>
    <t>Tigeladas de Abrantes</t>
  </si>
  <si>
    <t>Cozidas em tacho de barro em forno de lenha</t>
  </si>
  <si>
    <t>Pastelaria Tágide</t>
  </si>
  <si>
    <t>Doçaria Palha de Abrantes</t>
  </si>
  <si>
    <t>Feitos com sêmola de milho (carolo)</t>
  </si>
  <si>
    <t>Pastelaria local Castelo Branco</t>
  </si>
  <si>
    <t>Mercado Municipal CB</t>
  </si>
  <si>
    <t>Pastéis de Molho da Covilhã</t>
  </si>
  <si>
    <t>Massa folhada em caldo de açúcar e açafrão.</t>
  </si>
  <si>
    <t>Gargantas de Freira (Covilhã)</t>
  </si>
  <si>
    <t>Canudos de hóstia com ovos e amêndoa</t>
  </si>
  <si>
    <t>Pastelaria Aloma</t>
  </si>
  <si>
    <t>Confeitaria Neve</t>
  </si>
  <si>
    <t>Biscoitos de Azeite</t>
  </si>
  <si>
    <t>Secos e estaladiços, ideais para o chá</t>
  </si>
  <si>
    <t>Pudim de Queijo da Serra</t>
  </si>
  <si>
    <t>Textura aveludada com o toque do queijo</t>
  </si>
  <si>
    <t>Dom Rodrigos da Guarda</t>
  </si>
  <si>
    <t>Fios de ovos e amêndoa embrulhados em papel</t>
  </si>
  <si>
    <t>Guarda Centro</t>
  </si>
  <si>
    <t>Pastelaria Cristal</t>
  </si>
  <si>
    <t>Grandes, cobertas com glacê de açúcar</t>
  </si>
  <si>
    <t>Feira das Tradições</t>
  </si>
  <si>
    <t>Biscoitos leves de açúcar que "derretem" na boca</t>
  </si>
  <si>
    <t>Castelo Novo</t>
  </si>
  <si>
    <t>Doce de Cereja do Fundão</t>
  </si>
  <si>
    <t>Compota densa do fruto ex-libris</t>
  </si>
  <si>
    <t>Casa da Cereja</t>
  </si>
  <si>
    <t>Bolo Negro de Loriga</t>
  </si>
  <si>
    <t>Bolo escuro com canela e mel</t>
  </si>
  <si>
    <t>Pastelaria local Loriga</t>
  </si>
  <si>
    <t>Doce de mel e frutos secos (estilo nougat)</t>
  </si>
  <si>
    <t>Biscoitos embebidos em vinho e aguardente</t>
  </si>
  <si>
    <t>Cartuchos de Cernache</t>
  </si>
  <si>
    <t>Cernache do Bonjardim</t>
  </si>
  <si>
    <t>Doçaria local</t>
  </si>
  <si>
    <t>Queijadas de Évora de Alcobaça</t>
  </si>
  <si>
    <t>(Regional interior) Queijo e açúcar</t>
  </si>
  <si>
    <t>Aljubarrota</t>
  </si>
  <si>
    <t>Bolo de Mel da Sertã</t>
  </si>
  <si>
    <t>Escuro, húmido e com especiarias</t>
  </si>
  <si>
    <t>Pastelaria Cevada</t>
  </si>
  <si>
    <t>Massa frita esticada no joelho</t>
  </si>
  <si>
    <t>Sardinhas Doces de Trancoso</t>
  </si>
  <si>
    <t>Massa com amêndoa, chocolate e ovos</t>
  </si>
  <si>
    <t>Posto de Turismo</t>
  </si>
  <si>
    <t>Biscoitos de Monforte</t>
  </si>
  <si>
    <t>Biscoitos tradicionais da zona da Raia</t>
  </si>
  <si>
    <t>Monforte da Beira</t>
  </si>
  <si>
    <t>Arroz Doce de Forno</t>
  </si>
  <si>
    <t>Diferente por ser gratinado no forno</t>
  </si>
  <si>
    <t xml:space="preserve">  🔵  ESTREMADURA E RIBATEJO  —  20 doces típicos</t>
  </si>
  <si>
    <t>ESTREMADURA E RIBATEJO</t>
  </si>
  <si>
    <t>Tarte de nata crocante (segredo)</t>
  </si>
  <si>
    <t>Mosteiro Jerónimos</t>
  </si>
  <si>
    <t>Massa crocante com queijo fresco e canela</t>
  </si>
  <si>
    <t>Fábrica das Verdadeiras</t>
  </si>
  <si>
    <t>Piriquita</t>
  </si>
  <si>
    <t>Casa Piriquita</t>
  </si>
  <si>
    <t>Vila de Sintra</t>
  </si>
  <si>
    <t>Doce de ovos e amêndoa com uma noz no topo</t>
  </si>
  <si>
    <t>Pastelaria Garrett</t>
  </si>
  <si>
    <t>Centro de Cascais</t>
  </si>
  <si>
    <t>Biscoitos de manteiga envoltos em açúcar</t>
  </si>
  <si>
    <t>Pastelaria Bijou</t>
  </si>
  <si>
    <t>Pastelaria Sacolinha</t>
  </si>
  <si>
    <t>Recheio cremoso de feijão e amêndoa</t>
  </si>
  <si>
    <t>Fábrica Coroa</t>
  </si>
  <si>
    <t>Pastelaria Brasão</t>
  </si>
  <si>
    <t>Pão-de-Ló de Alfeizerão</t>
  </si>
  <si>
    <t>Muito húmido, o "rei" dos pães-de-ló</t>
  </si>
  <si>
    <t>Casa do Pão de Ló</t>
  </si>
  <si>
    <t>Cornucópias de Alcobaça</t>
  </si>
  <si>
    <t>Massa frita em cone com ovos moles</t>
  </si>
  <si>
    <t>Pastelaria Alcôa</t>
  </si>
  <si>
    <t>Mosteiro Alcobaça</t>
  </si>
  <si>
    <t>Celestes de Santarém</t>
  </si>
  <si>
    <t>Doce de amêndoa, açúcar e ovos</t>
  </si>
  <si>
    <t>Pastelaria Teresinha</t>
  </si>
  <si>
    <t>Pampilhos de Santarém</t>
  </si>
  <si>
    <t>Massa fina com doce de ovos e canela</t>
  </si>
  <si>
    <t>Pastelaria Veneza</t>
  </si>
  <si>
    <t>Bolos pequenos e muito fofos com creme</t>
  </si>
  <si>
    <t>Casa dos Fofos</t>
  </si>
  <si>
    <t>Gradinhas de Almeirim</t>
  </si>
  <si>
    <t>Doce de ovos e massa fina</t>
  </si>
  <si>
    <t>Restaurante O Toucinho</t>
  </si>
  <si>
    <t>Arrepiados de Almoster</t>
  </si>
  <si>
    <t>Bolinhos de amêndoa picada</t>
  </si>
  <si>
    <t>Mosteiro de Almoster</t>
  </si>
  <si>
    <t>Santarém Histórico</t>
  </si>
  <si>
    <t>Doce conventual rico em gemas</t>
  </si>
  <si>
    <t>Pastelaria Versailles</t>
  </si>
  <si>
    <t>Confeitaria Nacional</t>
  </si>
  <si>
    <t>Tortas macias recheadas com ovos moles</t>
  </si>
  <si>
    <t>O Cego</t>
  </si>
  <si>
    <t>Fábrica de Tortas</t>
  </si>
  <si>
    <t>Fios de ovos com base de massa</t>
  </si>
  <si>
    <t>Centro Abrantes</t>
  </si>
  <si>
    <t>Queijadinhas de Óbidos</t>
  </si>
  <si>
    <t>Pequenas queijadas da vila medieval</t>
  </si>
  <si>
    <t>Rua Direita</t>
  </si>
  <si>
    <t>Ginga de Óbidos em Copo de Chocolate</t>
  </si>
  <si>
    <t>Licor doce</t>
  </si>
  <si>
    <t>Bar da Ginga</t>
  </si>
  <si>
    <t>Bolo Rei (Lisboa)</t>
  </si>
  <si>
    <t>Tradicional de Natal com frutas cristalizadas</t>
  </si>
  <si>
    <t>Pastelaria Califórnia</t>
  </si>
  <si>
    <t>Com recheio de amêndoa</t>
  </si>
  <si>
    <t xml:space="preserve">  ⬜  ALENTEJO  —  20 doces típicos</t>
  </si>
  <si>
    <t>Doce de ovos e leite cozido, servido com ameixa</t>
  </si>
  <si>
    <t>Pousada de Elvas</t>
  </si>
  <si>
    <t>Doce de ovos, amêndoa e gila</t>
  </si>
  <si>
    <t>Pastelaria Conventual</t>
  </si>
  <si>
    <t>Doce de ovos, pão e amêndoa</t>
  </si>
  <si>
    <t>Encharcada de Évora</t>
  </si>
  <si>
    <t>Café Arcada</t>
  </si>
  <si>
    <t>Restaurante Fialho</t>
  </si>
  <si>
    <t>Queijo de ovelha e açúcar</t>
  </si>
  <si>
    <t>Toucinho do Céu de Portalegre</t>
  </si>
  <si>
    <t>Fábrica do Toucinho</t>
  </si>
  <si>
    <t>Café Central</t>
  </si>
  <si>
    <t>Manjar Branco de Portalegre</t>
  </si>
  <si>
    <t>Portalegre Histórico</t>
  </si>
  <si>
    <t>Convento de Santa Clara</t>
  </si>
  <si>
    <t>Boleima de Portalegre</t>
  </si>
  <si>
    <t>Bolo de maçã ou açúcar, retangular</t>
  </si>
  <si>
    <t>Padaria local</t>
  </si>
  <si>
    <t>Pão frito com açúcar e canela</t>
  </si>
  <si>
    <t>Pastéis de Santa Clara de Portalegre</t>
  </si>
  <si>
    <t>Bolos de Mel de Beja</t>
  </si>
  <si>
    <t>Pastelaria Luiz da Rocha</t>
  </si>
  <si>
    <t>Centro de Beja</t>
  </si>
  <si>
    <t>Queijinhos do Céu de Mora</t>
  </si>
  <si>
    <t>Pequenos doces de amêndoa e ovos</t>
  </si>
  <si>
    <t>Loja Regional</t>
  </si>
  <si>
    <t>Doce de mel e farinha torrada (formato losango)</t>
  </si>
  <si>
    <t>Doce de pinhão e mel de Alcácer</t>
  </si>
  <si>
    <t>Biscoitos de azeite e banha</t>
  </si>
  <si>
    <t>Folar de Castelo de Vide</t>
  </si>
  <si>
    <t>Pão doce com ovos inteiros</t>
  </si>
  <si>
    <t>Padaria central</t>
  </si>
  <si>
    <t>Feira da Páscoa</t>
  </si>
  <si>
    <t>Doce de ovos e amêndoa coberto com glacê</t>
  </si>
  <si>
    <t>Loja Alentejo</t>
  </si>
  <si>
    <t>Castanhas de Ovos de Portalegre</t>
  </si>
  <si>
    <t>Museu da Tapeçaria</t>
  </si>
  <si>
    <t>Grão-de-bico, ovos e canela</t>
  </si>
  <si>
    <t xml:space="preserve">  🟫  ALGARVE  —  41 doces típicos</t>
  </si>
  <si>
    <t>Fios de ovos e amêndoa num "ninho"</t>
  </si>
  <si>
    <t>Pastelaria Gago</t>
  </si>
  <si>
    <t>Doce de amêndoa decorado com motivos marinhos</t>
  </si>
  <si>
    <t>Pastelaria Gardy</t>
  </si>
  <si>
    <t>Faro Centro</t>
  </si>
  <si>
    <t>Figo seco, amêndoa e erva-doce (não leva queijo)</t>
  </si>
  <si>
    <t>Loulé Mercado</t>
  </si>
  <si>
    <t>Doce escuro com o sabor da vagem local.</t>
  </si>
  <si>
    <t>Doce escuro e terroso com a "vagem de ouro" local</t>
  </si>
  <si>
    <t>Pastelaria d'Alagoa</t>
  </si>
  <si>
    <t>Tavira Histórica</t>
  </si>
  <si>
    <t>Figos secos abertos com amêndoa e canela</t>
  </si>
  <si>
    <t>Torta de Alfarroba</t>
  </si>
  <si>
    <t>Enrolada com recheio de ovos ou amêndoa</t>
  </si>
  <si>
    <t>Doce Fino (Frutinhos)</t>
  </si>
  <si>
    <t>Figuras de massapão pintadas à mão</t>
  </si>
  <si>
    <t>Flor de Amendoeira</t>
  </si>
  <si>
    <t>Doce conventual de Lagos rico em amêndoa</t>
  </si>
  <si>
    <t>Pastelaria Algarve</t>
  </si>
  <si>
    <t>Centro de Lagos</t>
  </si>
  <si>
    <t>Folar de Olhão (das Folhas)</t>
  </si>
  <si>
    <t>Camadas de massa com manteiga, açúcar e canela</t>
  </si>
  <si>
    <t>Pastelaria Kubidoce</t>
  </si>
  <si>
    <t>Padaria local Olhão</t>
  </si>
  <si>
    <t>Bolo de Milho (Algarve)</t>
  </si>
  <si>
    <t>Bolo denso e amarelo de fubá</t>
  </si>
  <si>
    <t>Filhós de Aljezur</t>
  </si>
  <si>
    <t>Fritos com toque de batata-doce</t>
  </si>
  <si>
    <t>Mercado de Aljezur</t>
  </si>
  <si>
    <t>Pastelaria Aljezurense</t>
  </si>
  <si>
    <t>Bolo de Mel de Monchique</t>
  </si>
  <si>
    <t>Escuro e aromático com mel da serra</t>
  </si>
  <si>
    <t>Loja do Mel</t>
  </si>
  <si>
    <t>Queijadas de Portimão</t>
  </si>
  <si>
    <t>Pequenas e doces com queijo fresco</t>
  </si>
  <si>
    <t>Pastelaria Casa da Isabel</t>
  </si>
  <si>
    <t>Ribeirinha de Portimão</t>
  </si>
  <si>
    <t>Figo seco com amêndoa inteira no interior</t>
  </si>
  <si>
    <t>Gelado de Alfarroba/Figo</t>
  </si>
  <si>
    <t>Versão moderna dos sabores locais</t>
  </si>
  <si>
    <t>Geladaria Fragola</t>
  </si>
  <si>
    <t>Feito com raspa de limão e canela abundante</t>
  </si>
  <si>
    <t>Albufeira Histórica</t>
  </si>
  <si>
    <t>Amêndoas Torradas (Faro)</t>
  </si>
  <si>
    <t>Baixa de Faro</t>
  </si>
  <si>
    <t>Morgadinho de Amêndoa</t>
  </si>
  <si>
    <t>Versão individual do Morgado</t>
  </si>
  <si>
    <t>Centro Loulé</t>
  </si>
  <si>
    <t>Feira da Serra</t>
  </si>
  <si>
    <t>Licor de Amêndoa Amarga (Amarguinha)</t>
  </si>
  <si>
    <t>Frequentemente bebido como digestivo doce</t>
  </si>
  <si>
    <t>Destilaria local</t>
  </si>
  <si>
    <t>Portimão Marginal</t>
  </si>
  <si>
    <t>O ex-líbris, escuro, com especiarias e mel de cana</t>
  </si>
  <si>
    <t>Fábrica Santo António</t>
  </si>
  <si>
    <t>Confeitaria Felisberta</t>
  </si>
  <si>
    <t>Queijadas de Vila Franca (Açores)</t>
  </si>
  <si>
    <t>Pequenas e redondas, polvilhadas com açúcar</t>
  </si>
  <si>
    <t>Doce do Morgado</t>
  </si>
  <si>
    <t>Queijadas da Vila</t>
  </si>
  <si>
    <t>Pastéis de Arroz (Graciosa)</t>
  </si>
  <si>
    <t>Massa em forma de estrela com arroz e leite</t>
  </si>
  <si>
    <t>Fábrica da Maria de Jesus</t>
  </si>
  <si>
    <t>Sta Cruz da Graciosa</t>
  </si>
  <si>
    <t>Malassadas (Madeira)</t>
  </si>
  <si>
    <t>Massa frita servida com mel de cana (típico carnaval)</t>
  </si>
  <si>
    <t>Dona Amélia (Terceira)</t>
  </si>
  <si>
    <t>Bolo de especiarias oferecido à Rainha D. Amélia</t>
  </si>
  <si>
    <t>Broas de Mel (Madeira)</t>
  </si>
  <si>
    <t>Pequenas e duras, perfeitas com Vinho Madeira</t>
  </si>
  <si>
    <t>Queijadas de Ponta Delgada (Feijão)</t>
  </si>
  <si>
    <t>Doce de feijão em tartelete</t>
  </si>
  <si>
    <t>Pastelaria Colmeia</t>
  </si>
  <si>
    <t>Mercado da Graça</t>
  </si>
  <si>
    <t>Pudim de Maracujá (Madeira)</t>
  </si>
  <si>
    <t>Sobremesa fresca de polpa de maracujá</t>
  </si>
  <si>
    <t>Restaurante O Lagar</t>
  </si>
  <si>
    <t>Miradouro Eira do Serrado</t>
  </si>
  <si>
    <t>Fofas da Povoação (Açores)</t>
  </si>
  <si>
    <t>Espécie de éclair recheado com creme</t>
  </si>
  <si>
    <t>Povoação Centro</t>
  </si>
  <si>
    <t>Bolo de Família (Madeira)</t>
  </si>
  <si>
    <t>Rico em frutas cristalizadas e melaço</t>
  </si>
  <si>
    <t>Ananás dos Açores (Grelhado)</t>
  </si>
  <si>
    <t>Servido simples ou com calda</t>
  </si>
  <si>
    <t>Plantação Arruda</t>
  </si>
  <si>
    <t>Restaurante Alcides</t>
  </si>
  <si>
    <t>Espécies de São Jorge</t>
  </si>
  <si>
    <t>Biscoitos em forma de "U" com especiarias</t>
  </si>
  <si>
    <t>Queijadas de Porto Santo</t>
  </si>
  <si>
    <t>De queijo fresco e açúcar</t>
  </si>
  <si>
    <t>Vila Baleira</t>
  </si>
  <si>
    <t>Praia do Porto Santo</t>
  </si>
  <si>
    <t>Confeites (Açores)</t>
  </si>
  <si>
    <t>Rebuçados tradicionais de açúcar da Terceira</t>
  </si>
  <si>
    <t>Sé Catedral</t>
  </si>
  <si>
    <t>Rebuçados de Funcho (Madeira)</t>
  </si>
  <si>
    <t>Doces de ervas aromáticas</t>
  </si>
  <si>
    <t>Quiosques da Avenida Arriaga</t>
  </si>
  <si>
    <t>Filhós de Abóbora (Açores)</t>
  </si>
  <si>
    <t>Típicas do Natal</t>
  </si>
  <si>
    <t>Ponta Delgada Mercado</t>
  </si>
  <si>
    <t>Bolo de Caco (Doce/Com Batata Doce)</t>
  </si>
  <si>
    <t>Versão adocicada de frigideira</t>
  </si>
  <si>
    <t>Prazeres</t>
  </si>
  <si>
    <t>Massa Sovada (Açores)</t>
  </si>
  <si>
    <t>Pão doce redondo de festa</t>
  </si>
  <si>
    <t>Pousada de Angra</t>
  </si>
  <si>
    <t>Impérios do Espírito Santo</t>
  </si>
  <si>
    <t>Bolo de Ananás (Açores)</t>
  </si>
  <si>
    <t>Bolo invertido com fatias de ananás</t>
  </si>
  <si>
    <t>Pastelaria A Colmeia</t>
  </si>
  <si>
    <t>(Embora bebida, é o "doce" líquido da ilha)</t>
  </si>
  <si>
    <t>GPS hyperlinks ✅ · Expandido: 349 trilhos por 7 regiões ✅</t>
  </si>
  <si>
    <t>+ Minerais &amp; Minas ✅ · Roteiro Minas ✅ · 90 entradas ✅ · GPS ✅</t>
  </si>
  <si>
    <t>GPS hyperlinks ✅ · 50 entradas · Layout actualizado ✅</t>
  </si>
  <si>
    <t>Pratos Típicos</t>
  </si>
  <si>
    <t>GPS hyperlinks ✅ · 140 pratos típicos por região ✅</t>
  </si>
  <si>
    <t>🍬 Doçaria Regional</t>
  </si>
  <si>
    <t>161 doçes regionais · Doçaria conventual e popular ✅</t>
  </si>
  <si>
    <t>Praias Bandeira Azul</t>
  </si>
  <si>
    <t>Natureza &amp; Praia</t>
  </si>
  <si>
    <t>44 / 44 folhas</t>
  </si>
  <si>
    <t>443 praias galardoadas · 7 regiões · Bandeira Azul ✅</t>
  </si>
  <si>
    <t>🇵🇹  Portugal Vivo  ·  6 Categorias Temáticas  ·  44 folhas  ·  ~6.271 POI</t>
  </si>
  <si>
    <t>🏄  5  ·  PRAIAS &amp; MAR  ·  3 folhas  ·  658 POI</t>
  </si>
  <si>
    <t>Gastronomia Regional</t>
  </si>
  <si>
    <t>🍬</t>
  </si>
  <si>
    <t>Todos os pontos de interesse organizados por grandes categorias  ·  Portugal Vivo  ·  7 de março de 2026</t>
  </si>
  <si>
    <t>Dashboard, categorias ba</t>
  </si>
  <si>
    <t>🏮  FARÓIS DE PORTUGAL</t>
  </si>
  <si>
    <t>Nº</t>
  </si>
  <si>
    <t>Nome do Farol</t>
  </si>
  <si>
    <t>Coordenadas GPS</t>
  </si>
  <si>
    <t>Farol de Montedor</t>
  </si>
  <si>
    <t>O farol mais a norte de Portugal, construído em granito com uma torre quadrangular de 28 metros.</t>
  </si>
  <si>
    <t>Lugar de Montedor, 4900-012 Carreço</t>
  </si>
  <si>
    <t>41°45N 8°52W</t>
  </si>
  <si>
    <t>Farol de Esposende</t>
  </si>
  <si>
    <t>Torre metálica cilíndrica vermelha, no interior do Forte de São João Baptista.</t>
  </si>
  <si>
    <t>Av. Eng. Eduardo Arantes e Oliveira, 4740-204 Esposende</t>
  </si>
  <si>
    <t>41°32N 8°47W</t>
  </si>
  <si>
    <t>Farol de Leça / Boa Nova</t>
  </si>
  <si>
    <t>O segundo mais alto do país. Torre branca com faixas horizontais pretas, ícone da arquitetura moderna.</t>
  </si>
  <si>
    <t>Av. da Liberdade, 4450-718 Leça da Palmeira</t>
  </si>
  <si>
    <t>41°12N 8°42W</t>
  </si>
  <si>
    <t>Farol de Leixões</t>
  </si>
  <si>
    <t>Localizado no molhe norte do Porto de Leixões, fundamental para o tráfego comercial do Grande Porto.</t>
  </si>
  <si>
    <t>Molhe Norte do Porto de Leixões, Matosinhos</t>
  </si>
  <si>
    <t>41°10N 8°42W</t>
  </si>
  <si>
    <t>Farol de Aveiro / Barra</t>
  </si>
  <si>
    <t>O maior farol de Portugal (62m). Torre circular listrada de vermelho e branco, marco da Praia da Barra.</t>
  </si>
  <si>
    <t>Largo do Farol, Praia da Barra, 3830-753 Gafanha da Nazaré</t>
  </si>
  <si>
    <t>40°38N 8°44W</t>
  </si>
  <si>
    <t>Farol do Cabo Mondego</t>
  </si>
  <si>
    <t>Situado na Serra da Boa Viagem, marca um dos pontos mais proeminentes da costa central.</t>
  </si>
  <si>
    <t>Estrada do Farol, 3080-410 Buarcos</t>
  </si>
  <si>
    <t>40°11N 8°54W</t>
  </si>
  <si>
    <t>Farol do Penedo da Saudade</t>
  </si>
  <si>
    <t>Torre quadrangular que vigia a zona de São Pedro de Moel, conhecida pelas suas lendas românticas.</t>
  </si>
  <si>
    <t>Estrada do Farol, 2445-422 São Pedro de Moel</t>
  </si>
  <si>
    <t>39°45N 9°01W</t>
  </si>
  <si>
    <t>Farol do Cabo Carvoeiro</t>
  </si>
  <si>
    <t>Localizado na ponta da península de Peniche, oferece vista direta para o arquipélago das Berlengas.</t>
  </si>
  <si>
    <t>Estrada Marginal, 2520-610 Peniche</t>
  </si>
  <si>
    <t>39°21N 9°24W</t>
  </si>
  <si>
    <t>Farol da Berlenga</t>
  </si>
  <si>
    <t>Situado no ponto mais alto da Ilha da Berlenga Grande, opera isolado no meio da Reserva Natural.</t>
  </si>
  <si>
    <t>Ilha da Berlenga, Peniche (acesso por barco)</t>
  </si>
  <si>
    <t>39°24N 9°30W</t>
  </si>
  <si>
    <t>Farol do Cabo da Roca</t>
  </si>
  <si>
    <t>O ponto mais ocidental da Europa continental. Um dos faróis mais visitados do mundo.</t>
  </si>
  <si>
    <t>Estrada do Cabo da Roca, 2705-001 Colares</t>
  </si>
  <si>
    <t>38°46N 9°29W</t>
  </si>
  <si>
    <t>Farol do Cabo Raso</t>
  </si>
  <si>
    <t>Torre metálica vermelha no Forte de São Brás de Sanxete, vigiando a entrada da barra.</t>
  </si>
  <si>
    <t>Estrada do Guincho, 2750-642 Cascais</t>
  </si>
  <si>
    <t>38°42N 9°29W</t>
  </si>
  <si>
    <t>Farol da Guia</t>
  </si>
  <si>
    <t>Torre octogonal revestida a azulejo branco, um dos faróis mais elegantes da costa de Cascais.</t>
  </si>
  <si>
    <t>38°41N 9°26W</t>
  </si>
  <si>
    <t>Farol-Museu de Santa Marta</t>
  </si>
  <si>
    <t>Antigo farol convertido em museu. Horário: Ter-Dom, 10h-18h.</t>
  </si>
  <si>
    <t>Av. Rei Humberto II de Itália, 2750-800 Cascais</t>
  </si>
  <si>
    <t>38°41N 9°25W</t>
  </si>
  <si>
    <t>Farol de São Julião</t>
  </si>
  <si>
    <t>Integrado na Fortaleza de São Julião da Barra, assinala a entrada do Porto de Lisboa.</t>
  </si>
  <si>
    <t>Estrada Marginal, 2780-179 Oeiras</t>
  </si>
  <si>
    <t>38°40N 9°19W</t>
  </si>
  <si>
    <t>Farol do Bugio</t>
  </si>
  <si>
    <t>Localizado na mítica Fortaleza de São Lourenço da Cabeça Seca, em pleno estuário do Tejo.</t>
  </si>
  <si>
    <t>Forte do Bugio (acesso exclusivo por mar)</t>
  </si>
  <si>
    <t>38°39N 9°17W</t>
  </si>
  <si>
    <t>Farol do Gibalta</t>
  </si>
  <si>
    <t>Torre circular branca que marca o alinhamento da navegação na entrada de Lisboa.</t>
  </si>
  <si>
    <t>Estrada Marginal, Caxias, 2770-058 Paço de Arcos</t>
  </si>
  <si>
    <t>38°41N 9°15W</t>
  </si>
  <si>
    <t>Farol do Esteiro</t>
  </si>
  <si>
    <t>Algés, 1495-000 Cruz Quebrada</t>
  </si>
  <si>
    <t>38°42N 9°14W</t>
  </si>
  <si>
    <t>Farol da Mama</t>
  </si>
  <si>
    <t>Farol de alinhamento situado numa zona elevada, guia visual para a barra do Tejo.</t>
  </si>
  <si>
    <t>Serra de Carnaxide, 2790 Carnaxide</t>
  </si>
  <si>
    <t>38°43N 9°14W</t>
  </si>
  <si>
    <t>Farol do Cabo Espichel</t>
  </si>
  <si>
    <t>Torre hexagonal num cenário de falésias vertiginosas, junto ao Santuário da N. Sra. do Cabo.</t>
  </si>
  <si>
    <t>Cabo Espichel, 2970-000 Sesimbra</t>
  </si>
  <si>
    <t>38°24N 9°12W</t>
  </si>
  <si>
    <t>Farol do Forte do Cavalo</t>
  </si>
  <si>
    <t>Situado no forte homónimo, protege a baía de Sesimbra e o porto de abrigo.</t>
  </si>
  <si>
    <t>Porto de Abrigo, 2970 Sesimbra</t>
  </si>
  <si>
    <t>38°26N 9°06W</t>
  </si>
  <si>
    <t>Farol da Azeda</t>
  </si>
  <si>
    <t>Localizado na Quinta da Azeda, marca o alinhamento para a entrada no porto de Setúbal.</t>
  </si>
  <si>
    <t>Rua do Farol, 2900 Setúbal</t>
  </si>
  <si>
    <t>38°31N 8°52W</t>
  </si>
  <si>
    <t>Farol do Outão</t>
  </si>
  <si>
    <t>Situado na torre de um antigo forte na Serra da Arrábida, vigiando a foz do Sado.</t>
  </si>
  <si>
    <t>Forte do Outão, 2900 Setúbal</t>
  </si>
  <si>
    <t>38°29N 8°55W</t>
  </si>
  <si>
    <t>Farol do Cabo de Sines</t>
  </si>
  <si>
    <t>Torre cilíndrica branca que domina o cabo, essencial para o complexo portuário industrial.</t>
  </si>
  <si>
    <t>Estrada do Cabo, 7520-163 Sines</t>
  </si>
  <si>
    <t>37°57N 8°52W</t>
  </si>
  <si>
    <t>Farol do Cabo Sardão</t>
  </si>
  <si>
    <t>Torre quadrangular branca com a curiosidade de ter a porta virada para o mar.</t>
  </si>
  <si>
    <t>Cavaleiro, 7630-051 Odemira</t>
  </si>
  <si>
    <t>37°35N 8°48W</t>
  </si>
  <si>
    <t>Farol do Cabo de São Vicente</t>
  </si>
  <si>
    <t>Um dos faróis com maior alcance luminoso da Europa, num dos cabos mais icónicos do mundo.</t>
  </si>
  <si>
    <t>Estrada Nacional 268, 8650-360 Sagres</t>
  </si>
  <si>
    <t>37°01N 8°59W</t>
  </si>
  <si>
    <t>Farol de Sagres</t>
  </si>
  <si>
    <t>Situado no interior da Fortaleza de Sagres, na Ponta de Sagres.</t>
  </si>
  <si>
    <t>Fortaleza de Sagres, 8650-360 Sagres</t>
  </si>
  <si>
    <t>36°59N 8°56W</t>
  </si>
  <si>
    <t>Farol de Alfanzina</t>
  </si>
  <si>
    <t>Erguido num promontório rochoso, vigia a costa algarvia e as suas grutas marinhas.</t>
  </si>
  <si>
    <t>Estrada do Farol, 8400-510 Carvoeiro</t>
  </si>
  <si>
    <t>37°05N 8°26W</t>
  </si>
  <si>
    <t>Farol de Vilamoura</t>
  </si>
  <si>
    <t>Pequena torre cilíndrica vermelha que marca a entrada na Marina de Vilamoura.</t>
  </si>
  <si>
    <t>Marina de Vilamoura, 8125-401 Quarteira</t>
  </si>
  <si>
    <t>37°04N 8°07W</t>
  </si>
  <si>
    <t>Farol do Cabo de Santa Maria</t>
  </si>
  <si>
    <t>Localizado na Ilha da Culatra, em pleno Parque Natural da Ria Formosa.</t>
  </si>
  <si>
    <t>Ilha da Culatra, 8005-555 Faro (acesso por barco)</t>
  </si>
  <si>
    <t>36°57N 7°53W</t>
  </si>
  <si>
    <t>Farol de Vila Real de Santo António</t>
  </si>
  <si>
    <t>Vila Real de Sto. António</t>
  </si>
  <si>
    <t>Torre circular branca que marca a foz do Guadiana e a fronteira com Espanha.</t>
  </si>
  <si>
    <t>Av. da República, 8900-201 Vila Real de Sto. António</t>
  </si>
  <si>
    <t>37°11N 7°24W</t>
  </si>
  <si>
    <t>Farol de Gonçalo Velho</t>
  </si>
  <si>
    <t>Situado na Ponta do Castelo, pela sua arquitetura imponente e ambiente isolado.</t>
  </si>
  <si>
    <t>Ponta do Castelo, Santa Maria</t>
  </si>
  <si>
    <t>36°55N 25°00W</t>
  </si>
  <si>
    <t>Farol da Ferraria</t>
  </si>
  <si>
    <t>Torre branca e cúpula vermelha, situada junto às famosas termas oceânicas.</t>
  </si>
  <si>
    <t>Ponta da Ferraria, Ginetes, S. Miguel</t>
  </si>
  <si>
    <t>37°51N 25°51W</t>
  </si>
  <si>
    <t>Farol da Ponta da Garça</t>
  </si>
  <si>
    <t>Situado numa falésia elevada, vigia a costa sul da ilha de São Miguel.</t>
  </si>
  <si>
    <t>Ponta da Garça, Vila Franca do Campo</t>
  </si>
  <si>
    <t>37°42N 25°22W</t>
  </si>
  <si>
    <t>Farol do Arnel</t>
  </si>
  <si>
    <t>O primeiro farol instalado nos Açores (1876), localizado numa descida íngreme e pitoresca.</t>
  </si>
  <si>
    <t>37°49N 25°08W</t>
  </si>
  <si>
    <t>Farol da Serreta</t>
  </si>
  <si>
    <t>Farol moderno situado na Ponta do Queimado, após o sismo de 1980.</t>
  </si>
  <si>
    <t>Serreta, Angra do Heroísmo</t>
  </si>
  <si>
    <t>38°45N 27°22W</t>
  </si>
  <si>
    <t>Farol das Contendas</t>
  </si>
  <si>
    <t>Estrutura clássica na ponta sudeste, vigiando a baía da Praia da Vitória.</t>
  </si>
  <si>
    <t>Ponta das Contendas, Terceira</t>
  </si>
  <si>
    <t>38°38N 27°05W</t>
  </si>
  <si>
    <t>Farol da Ponta do Topo</t>
  </si>
  <si>
    <t>Localizado no extremo leste da ilha, frente ao Ilhéu do Topo.</t>
  </si>
  <si>
    <t>Topo, S. Jorge</t>
  </si>
  <si>
    <t>38°32N 27°45W</t>
  </si>
  <si>
    <t>Farol da Ponta dos Rosais</t>
  </si>
  <si>
    <t>Edificado sobre uma falésia a 200m de altitude, num cenário dramático e ventoso.</t>
  </si>
  <si>
    <t>Ponta dos Rosais, S. Jorge</t>
  </si>
  <si>
    <t>38°45N 28°17W</t>
  </si>
  <si>
    <t>Farol da Ponta da Ilha</t>
  </si>
  <si>
    <t>Torre quadrangular branca na extremidade leste da Ilha do Pico.</t>
  </si>
  <si>
    <t>Manhenha, Piedade, Pico</t>
  </si>
  <si>
    <t>38°24N 28°01W</t>
  </si>
  <si>
    <t>Farol da Ponta do Cais</t>
  </si>
  <si>
    <t>Situado na costa norte da ilha, guia para o canal Pico-São Jorge.</t>
  </si>
  <si>
    <t>S. Roque do Pico</t>
  </si>
  <si>
    <t>38°31N 28°19W</t>
  </si>
  <si>
    <t>Inativo. Soterrado pelas cinzas do vulcão em 1957. Funciona como Centro Interpretativo.</t>
  </si>
  <si>
    <t>38°35N 28°49W</t>
  </si>
  <si>
    <t>Farol da Ribeirinha</t>
  </si>
  <si>
    <t>Em ruínas após o sismo de 1998. A luz opera numa coluna provisória ao lado da torre original.</t>
  </si>
  <si>
    <t>Ribeirinha, Horta, Faial</t>
  </si>
  <si>
    <t>38°35N 28°36W</t>
  </si>
  <si>
    <t>Farol da Ponta da Barca</t>
  </si>
  <si>
    <t>A torre mais alta dos Açores (23m), situada num promontório escarpado.</t>
  </si>
  <si>
    <t>39°05N 28°02W</t>
  </si>
  <si>
    <t>Farol do Carapacho</t>
  </si>
  <si>
    <t>Situado no extremo sul da ilha, vigiando as famosas Termas do Carapacho.</t>
  </si>
  <si>
    <t>Luz, Graciosa</t>
  </si>
  <si>
    <t>39°00N 27°57W</t>
  </si>
  <si>
    <t>Farol do Albarnaz</t>
  </si>
  <si>
    <t>O farol mais ocidental da Europa, vigiando o canal Flores-Corvo.</t>
  </si>
  <si>
    <t>Ponta do Albarnaz, Ponta Delgada, Flores</t>
  </si>
  <si>
    <t>39°31N 31°14W</t>
  </si>
  <si>
    <t>Farol das Lajes</t>
  </si>
  <si>
    <t>Torre cilíndrica branca na costa sudeste da ilha das Flores.</t>
  </si>
  <si>
    <t>39°22N 31°10W</t>
  </si>
  <si>
    <t>Farol do Canto da Carneira</t>
  </si>
  <si>
    <t>Farol modesto no topo das falésias da ilha mais pequena do arquipélago.</t>
  </si>
  <si>
    <t>Norte da Ilha do Corvo</t>
  </si>
  <si>
    <t>39°42N 31°06W</t>
  </si>
  <si>
    <t>Situado no extremo oeste, a 312m de altitude. Alberga um núcleo museológico.</t>
  </si>
  <si>
    <t>Ponta do Pargo, Calheta</t>
  </si>
  <si>
    <t>32°48N 17°15W</t>
  </si>
  <si>
    <t>Farol de São Jorge</t>
  </si>
  <si>
    <t>Torre cilíndrica branca na costa norte, marcada por uma paisagem verdejante.</t>
  </si>
  <si>
    <t>Ponta de S. Jorge, Santana</t>
  </si>
  <si>
    <t>32°50N 16°54W</t>
  </si>
  <si>
    <t>Farol de Câmara de Lobos</t>
  </si>
  <si>
    <t>Pequeno farol situado no topo do Ilhéu de Câmara de Lobos.</t>
  </si>
  <si>
    <t>Ilhéu, Câmara de Lobos</t>
  </si>
  <si>
    <t>32°38N 16°58W</t>
  </si>
  <si>
    <t>Farol de São Lourenço</t>
  </si>
  <si>
    <t>O farol mais antigo da Madeira (1870), na árida Ponta de S. Lourenço.</t>
  </si>
  <si>
    <t>Caniçal, Machico</t>
  </si>
  <si>
    <t>32°43N 16°39W</t>
  </si>
  <si>
    <t>Farol do Ilhéu de Cima</t>
  </si>
  <si>
    <t>Vigia a navegação que se aproxima da ilha de Porto Santo pela zona leste.</t>
  </si>
  <si>
    <t>Ilhéu de Cima, Porto Santo (acesso por barco)</t>
  </si>
  <si>
    <t>33°03N 16°16W</t>
  </si>
  <si>
    <t>Farol das Selvagens</t>
  </si>
  <si>
    <t>Selvagem Grande</t>
  </si>
  <si>
    <t>O farol mais meridional de Portugal, em plena Reserva Natural das Ilhas Selvagens.</t>
  </si>
  <si>
    <t>Ilha Selvagem Grande</t>
  </si>
  <si>
    <t>30°08N 15°52W</t>
  </si>
  <si>
    <t>Pequena torre de alinhamento em zona militar, perto do Estádio Nacional.</t>
  </si>
  <si>
    <t>🍲  SOPAS TÍPICAS DE PORTUGAL</t>
  </si>
  <si>
    <t>Nome da Sopa</t>
  </si>
  <si>
    <t>Descrição / Notas</t>
  </si>
  <si>
    <t>Restaurante Sugerido</t>
  </si>
  <si>
    <t>Norte (Porto e Norte)</t>
  </si>
  <si>
    <t>A sopa mais icónica de Portugal, com couve-galega cortada em juliana fina, batata e chouriço.</t>
  </si>
  <si>
    <t>Canja de Galinha à Moda do Minho</t>
  </si>
  <si>
    <t>Com miúdos e hortelã, versão minhota da clássica canja.</t>
  </si>
  <si>
    <t>Sopa de Castanhas Pilosas</t>
  </si>
  <si>
    <t>Com castanha seca e feijão, típica do interior transmontano.</t>
  </si>
  <si>
    <t>Sopa de Cavalos Cansados</t>
  </si>
  <si>
    <t>Histórica: vinho tinto, açúcar e pão.</t>
  </si>
  <si>
    <t>Caldudo</t>
  </si>
  <si>
    <t>Couve, feijão e farinha de milho.</t>
  </si>
  <si>
    <t>Sopa de Peixe de Matosinhos</t>
  </si>
  <si>
    <t>Com peixe fresco da lota de Matosinhos.</t>
  </si>
  <si>
    <t>Restaurante Típico O Fado</t>
  </si>
  <si>
    <t>Sopa de Legumes com Presunto</t>
  </si>
  <si>
    <t>Típica de Trás-os-Montes.</t>
  </si>
  <si>
    <t>Caldo de Unto</t>
  </si>
  <si>
    <t>Caldo rústico com gordura de porco e batata.</t>
  </si>
  <si>
    <t>Sopa de Grão com Bacalhau</t>
  </si>
  <si>
    <t>Comum na ceia de Natal.</t>
  </si>
  <si>
    <t>Sopa de Beldroegas do Norte</t>
  </si>
  <si>
    <t>Versão nortenha com batata.</t>
  </si>
  <si>
    <t>Canja de Cornos</t>
  </si>
  <si>
    <t>Sopa de vísceras bovinas da região do Douro.</t>
  </si>
  <si>
    <t>Sopa de Cozido à Portuguesa</t>
  </si>
  <si>
    <t>Feita com a água da cozedura das carnes.</t>
  </si>
  <si>
    <t>Sopa de Nabos de Bragança</t>
  </si>
  <si>
    <t>Nabos cozidos com chouriça.</t>
  </si>
  <si>
    <t>Sopa de Abóbora com Feijão Frade</t>
  </si>
  <si>
    <t>Combinação típica do Minho.</t>
  </si>
  <si>
    <t>Sopa-refeição com grão e massa.</t>
  </si>
  <si>
    <t>Sopa de Cebola do Porto</t>
  </si>
  <si>
    <t>Versão nortenha da sopa de cebola.</t>
  </si>
  <si>
    <t>Sopa de Lentilhas da Raia</t>
  </si>
  <si>
    <t>Típica da zona fronteiriça transmontana.</t>
  </si>
  <si>
    <t>Sopa de Tomate com Chouriço de Melgaço</t>
  </si>
  <si>
    <t>Especialidade do Alto Minho.</t>
  </si>
  <si>
    <t>Caldo de Farinha</t>
  </si>
  <si>
    <t>Papinhas de milho líquidas, reconfortantes.</t>
  </si>
  <si>
    <t>Sopa de Congro de Caminha</t>
  </si>
  <si>
    <t>Com enguia do Rio Minho.</t>
  </si>
  <si>
    <t>Sopa à Pedra</t>
  </si>
  <si>
    <t>Feijão e carnes, especialidade de Almeirim.</t>
  </si>
  <si>
    <t>O Telheiro</t>
  </si>
  <si>
    <t>Sopa de Peixe da Beira Baixa</t>
  </si>
  <si>
    <t>Com peixe de rio e ovas.</t>
  </si>
  <si>
    <t>Sopa de Grão com Massa</t>
  </si>
  <si>
    <t>Clássica da região centro.</t>
  </si>
  <si>
    <t>Sopa de Shishas</t>
  </si>
  <si>
    <t>Sopa de carne típica da Guarda.</t>
  </si>
  <si>
    <t>Sopa de Espinafres com Ovo</t>
  </si>
  <si>
    <t>Simples e nutritiva.</t>
  </si>
  <si>
    <t>Sopa de Cozido de Seia</t>
  </si>
  <si>
    <t>Versão serrana do cozido.</t>
  </si>
  <si>
    <t>Sopa de Beldroegas da Beira</t>
  </si>
  <si>
    <t>Versão da Beira Interior.</t>
  </si>
  <si>
    <t>Sopa de Peixe do Ribatejo</t>
  </si>
  <si>
    <t>Com massa e coentros.</t>
  </si>
  <si>
    <t>Sopa de Grão com Espinafres</t>
  </si>
  <si>
    <t>Reconfortante e simples.</t>
  </si>
  <si>
    <t>Sopa de Feijão com Couve Lombarda</t>
  </si>
  <si>
    <t>Típica das aldeias da Beira.</t>
  </si>
  <si>
    <t>Sopa de Abóbora Menina</t>
  </si>
  <si>
    <t>Com abóbora doce do centro.</t>
  </si>
  <si>
    <t>Sopa de Feijoca de Manteigas</t>
  </si>
  <si>
    <t>Com feijoca da Serra da Estrela.</t>
  </si>
  <si>
    <t>Sopa de Tomate à Moda de Abrantes</t>
  </si>
  <si>
    <t>Versão ribatejana da sopa de tomate.</t>
  </si>
  <si>
    <t>Sopa de Cebola de Alcobaça</t>
  </si>
  <si>
    <t>Influência dos monges cistercienses.</t>
  </si>
  <si>
    <t>Sopa de Hortaliça da Serra da Estrela</t>
  </si>
  <si>
    <t>Com legumes de montanha.</t>
  </si>
  <si>
    <t>Sopa de Cogumelos Silvestres</t>
  </si>
  <si>
    <t>Zonas de pinhal da Beira Litoral.</t>
  </si>
  <si>
    <t>Caldo de Peixe da Figueira da Foz</t>
  </si>
  <si>
    <t>Com peixe atlântico fresco.</t>
  </si>
  <si>
    <t>Sopa de Lentilhas de Castelo Branco</t>
  </si>
  <si>
    <t>Típica da Beira Baixa.</t>
  </si>
  <si>
    <t>Sopa de Grão com Repolho</t>
  </si>
  <si>
    <t>Variante robusta para o inverno.</t>
  </si>
  <si>
    <t>Sopa de Alhos do Centro</t>
  </si>
  <si>
    <t>Pão, azeite, alho e ovo.</t>
  </si>
  <si>
    <t>Área Metropolitana de Lisboa</t>
  </si>
  <si>
    <t>Sopa Rica de Peixes de Cascais</t>
  </si>
  <si>
    <t>Com vários peixes da costa atlântica.</t>
  </si>
  <si>
    <t>Fava-rica</t>
  </si>
  <si>
    <t>Favas secas e alho, sopa histórica lisboeta.</t>
  </si>
  <si>
    <t>Canja de Ameijoas</t>
  </si>
  <si>
    <t>Especialidade da costa de Setúbal.</t>
  </si>
  <si>
    <t>Sopa de Peixe de Sesimbra</t>
  </si>
  <si>
    <t>Com peixe fresco da costa.</t>
  </si>
  <si>
    <t>Restaurante Adraga</t>
  </si>
  <si>
    <t>Sopa de Feijão com Massa de Grão</t>
  </si>
  <si>
    <t>Com feijão de grão inteiro.</t>
  </si>
  <si>
    <t>Creme de Marisco da Ericeira</t>
  </si>
  <si>
    <t>Creme suave de marisco atlântico.</t>
  </si>
  <si>
    <t>Sopa de Tomate com Chouriço de Palmela</t>
  </si>
  <si>
    <t>Versão da Península de Setúbal.</t>
  </si>
  <si>
    <t>Sopa de Legumes da Horta de Sintra</t>
  </si>
  <si>
    <t>Com legumes frescos da região.</t>
  </si>
  <si>
    <t>Sopa de Lagosta de Cascais</t>
  </si>
  <si>
    <t>Alta gastronomia da Costa do Estoril.</t>
  </si>
  <si>
    <t>Canja de Galinha de Lisboa</t>
  </si>
  <si>
    <t>Versão lisboeta com arroz e hortelã.</t>
  </si>
  <si>
    <t>Sopa de Grão com Bacalhau e Espinafres</t>
  </si>
  <si>
    <t>Sopa de Sexta-feira Santa.</t>
  </si>
  <si>
    <t>Sopa de Cebola à Francesa</t>
  </si>
  <si>
    <t>Influência histórica em Lisboa.</t>
  </si>
  <si>
    <t>Sopa de Feijão Verde com Batata Palha</t>
  </si>
  <si>
    <t>Típica das tascas lisboetas.</t>
  </si>
  <si>
    <t>Sopa de Beldroegas de Corroios</t>
  </si>
  <si>
    <t>Versão da margem sul do Tejo.</t>
  </si>
  <si>
    <t>Sopa de Lentilhas com Enchidos</t>
  </si>
  <si>
    <t>Com linguiça e morcela.</t>
  </si>
  <si>
    <t>Sopa de Massinha de Peixe</t>
  </si>
  <si>
    <t>Com massa miúda e peixe branco.</t>
  </si>
  <si>
    <t>Sopa de Garoupa com Hortelã</t>
  </si>
  <si>
    <t>Sopa refinada das tascas do Tejo.</t>
  </si>
  <si>
    <t>Creme de Cenoura com Laranja</t>
  </si>
  <si>
    <t>Influência contemporânea.</t>
  </si>
  <si>
    <t>Sopa de Mogango</t>
  </si>
  <si>
    <t>Com abóbora regional.</t>
  </si>
  <si>
    <t>Sopa de Marisco do Guincho</t>
  </si>
  <si>
    <t>Com marisco da costa atlântica.</t>
  </si>
  <si>
    <t>Pão, alho, coentros e azeite. Símbolo da cozinha alentejana.</t>
  </si>
  <si>
    <t>Restaurante Gadanha</t>
  </si>
  <si>
    <t>Sopa de Tomate com Ovos Escalfados</t>
  </si>
  <si>
    <t>Com tomate maduro e ovo cozido na sopa.</t>
  </si>
  <si>
    <t>Com cação marinado em vinagre e coentros.</t>
  </si>
  <si>
    <t>Sopa de Beldroegas com Queijo e Ovo</t>
  </si>
  <si>
    <t>Com queijo fresco alentejano.</t>
  </si>
  <si>
    <t>Sopa de Poejos</t>
  </si>
  <si>
    <t>Com erva aromática típica do Alentejo.</t>
  </si>
  <si>
    <t>Sopa de Batata com Pimento</t>
  </si>
  <si>
    <t>Simples e robusta, das aldeias alentejanas.</t>
  </si>
  <si>
    <t>Diferente do espanhol: servido com pão em cubos.</t>
  </si>
  <si>
    <t>Sopa de Garoupa à Alentejana</t>
  </si>
  <si>
    <t>Com coentros e azeite do Alentejo.</t>
  </si>
  <si>
    <t>Sopa de Feijão com Massa e Carne de Porco</t>
  </si>
  <si>
    <t>Sopa-refeição alentejana.</t>
  </si>
  <si>
    <t>Sopa de Labraças</t>
  </si>
  <si>
    <t>Com grelos e couves silvestres.</t>
  </si>
  <si>
    <t>Sopa de Peixe de Corval</t>
  </si>
  <si>
    <t>Com peixe do Rio Guadiana.</t>
  </si>
  <si>
    <t>Sopa de Grão à Alentejana</t>
  </si>
  <si>
    <t>Com alho e azeite.</t>
  </si>
  <si>
    <t>Sopa de Tomate com Linguiça</t>
  </si>
  <si>
    <t>Versão mais robusta da sopa de tomate.</t>
  </si>
  <si>
    <t>Sopa de Abóbora com Queijo de Évora</t>
  </si>
  <si>
    <t>Com queijo curado eborense.</t>
  </si>
  <si>
    <t>Sopa de Hortelã</t>
  </si>
  <si>
    <t>Com ervas aromáticas do Alentejo.</t>
  </si>
  <si>
    <t>Sopa de Feijão Branco com Espinafres</t>
  </si>
  <si>
    <t>Com feijão branco local.</t>
  </si>
  <si>
    <t>Sopa de Cogumelos de Montado</t>
  </si>
  <si>
    <t>Com cogumelos do montado alentejano.</t>
  </si>
  <si>
    <t>Sopa de Lebre com Massa</t>
  </si>
  <si>
    <t>Sopa de caça, típica do outono.</t>
  </si>
  <si>
    <t>Sopa de Perdiz</t>
  </si>
  <si>
    <t>Sopa de caça, especialidade de época.</t>
  </si>
  <si>
    <t>Sopa de Alho com Bacalhau</t>
  </si>
  <si>
    <t>Com bacalhau e muito alho.</t>
  </si>
  <si>
    <t>Arjamolho</t>
  </si>
  <si>
    <t>Gaspacho algarvio, refrescante e simples.</t>
  </si>
  <si>
    <t>Noélia e Jerónimo</t>
  </si>
  <si>
    <t>Sopa de Conquilhas</t>
  </si>
  <si>
    <t>Com conquilhas frescas da Ria Formosa.</t>
  </si>
  <si>
    <t>Gigi</t>
  </si>
  <si>
    <t>Sopa de Milhos</t>
  </si>
  <si>
    <t>Com feijão e carnes, receita ancestral.</t>
  </si>
  <si>
    <t>Sopa de Peixe de Olhão</t>
  </si>
  <si>
    <t>Com peixe fresco do Algarve.</t>
  </si>
  <si>
    <t>Sopa de Linguado</t>
  </si>
  <si>
    <t>Com linguado atlântico.</t>
  </si>
  <si>
    <t>Sopa de Grão com Abóbora e Batata Doce</t>
  </si>
  <si>
    <t>Sabores doces do sul.</t>
  </si>
  <si>
    <t>Sopa de Feijão com Massa de Peixe</t>
  </si>
  <si>
    <t>Com massa de cotovelinhos e peixe.</t>
  </si>
  <si>
    <t>Canja de Amêijoas da Ria Formosa</t>
  </si>
  <si>
    <t>Com amêijoas frescas da Ria.</t>
  </si>
  <si>
    <t>Sopa de Tomate com Figos</t>
  </si>
  <si>
    <t>Combinação única e doce do Algarve.</t>
  </si>
  <si>
    <t>Sopa de Marisco de Sagres</t>
  </si>
  <si>
    <t>Com marisco da costa sudoeste.</t>
  </si>
  <si>
    <t>Sopa de Mogango com Grão</t>
  </si>
  <si>
    <t>Sopa de Feijão Frade com Atum</t>
  </si>
  <si>
    <t>Com atum do Algarve.</t>
  </si>
  <si>
    <t>Sopa de Legumes do Barrocal</t>
  </si>
  <si>
    <t>Com produtos do interior algarvio.</t>
  </si>
  <si>
    <t>Sopa de Alho à Moda de Tavira</t>
  </si>
  <si>
    <t>Receita histórica de Tavira.</t>
  </si>
  <si>
    <t>Sopa de Cação do Algarve</t>
  </si>
  <si>
    <t>Com cação marinado em coentros.</t>
  </si>
  <si>
    <t>Creme de Marisco de Vilamoura</t>
  </si>
  <si>
    <t>Creme suave de marisco.</t>
  </si>
  <si>
    <t>Sopa de Navalheiras</t>
  </si>
  <si>
    <t>Com navalheiras (caranguejo).</t>
  </si>
  <si>
    <t>Sopa de Raia</t>
  </si>
  <si>
    <t>Com raia do Atlântico.</t>
  </si>
  <si>
    <t>Sopa de Castanhas de Monchique</t>
  </si>
  <si>
    <t>Das serras de Monchique.</t>
  </si>
  <si>
    <t>Sopa de Feijão Manteiga com Couve</t>
  </si>
  <si>
    <t>Sopa-refeição algarvia.</t>
  </si>
  <si>
    <t>Sopas do Espírito Santo</t>
  </si>
  <si>
    <t>Carne, pão e hortelã. Ligada às festas do Divino Espírito Santo.</t>
  </si>
  <si>
    <t>Restaurante Tony's</t>
  </si>
  <si>
    <t>Furnas - S. Miguel</t>
  </si>
  <si>
    <t>Sopa de Peixe à Moda do Pico</t>
  </si>
  <si>
    <t>Com peixe fresco do Atlântico.</t>
  </si>
  <si>
    <t>Sopa de Agrião das Furnas</t>
  </si>
  <si>
    <t>Com agrião das nascentes termais das Furnas.</t>
  </si>
  <si>
    <t>Sopa de Feijão com Inhames</t>
  </si>
  <si>
    <t>Com inhames açorianos.</t>
  </si>
  <si>
    <t>Sopa de Couve com Feijão e Chouriço</t>
  </si>
  <si>
    <t>Reconfortante sopa açoriana.</t>
  </si>
  <si>
    <t>Sopa de Peixe da Horta</t>
  </si>
  <si>
    <t>Com peixe fresco do Faial.</t>
  </si>
  <si>
    <t>Sopa de Marisco de Santa Maria</t>
  </si>
  <si>
    <t>Com marisco atlântico.</t>
  </si>
  <si>
    <t>Canja de Galinha à Moda da Terceira</t>
  </si>
  <si>
    <t>Com arroz e hortelã, versão açoriana.</t>
  </si>
  <si>
    <t>Sopa de Carne com Pão e Vinho</t>
  </si>
  <si>
    <t>Com vinho dos Açores.</t>
  </si>
  <si>
    <t>Sopa de Lulas de São Miguel</t>
  </si>
  <si>
    <t>Com lulas frescas do Atlântico.</t>
  </si>
  <si>
    <t>Sopa de Abóbora com Queijo da Ilha</t>
  </si>
  <si>
    <t>Com queijo curado São Jorge.</t>
  </si>
  <si>
    <t>Sopa de Tomate e Batata Doce</t>
  </si>
  <si>
    <t>Combinação açoriana.</t>
  </si>
  <si>
    <t>Sopa de Peixe do Faial</t>
  </si>
  <si>
    <t>Com peixe atlântico do Faial.</t>
  </si>
  <si>
    <t>Sopa de Beldroegas Açoriana</t>
  </si>
  <si>
    <t>Versão dos Açores.</t>
  </si>
  <si>
    <t>Sopa de Lentilhas com Morcela</t>
  </si>
  <si>
    <t>Com morcela açoriana.</t>
  </si>
  <si>
    <t>Sopa de Feijão Branco com Carne de Porco Salgada</t>
  </si>
  <si>
    <t>Típica das festas tradicionais.</t>
  </si>
  <si>
    <t>Sopa de Peixe com Massa de Cotovelinhos</t>
  </si>
  <si>
    <t>Versão popular nos Açores.</t>
  </si>
  <si>
    <t>Sopa de Espinafres com Queijo de São Jorge</t>
  </si>
  <si>
    <t>Com queijo DOP de São Jorge.</t>
  </si>
  <si>
    <t>Sopa de Milho com Leite</t>
  </si>
  <si>
    <t>Sopa reconfortante açoriana.</t>
  </si>
  <si>
    <t>Sopa de Funcho</t>
  </si>
  <si>
    <t>Com funcho silvestre.</t>
  </si>
  <si>
    <t>Clássica da cozinha madeirense.</t>
  </si>
  <si>
    <t>Casa de Chá do Faial</t>
  </si>
  <si>
    <t>Sopa de Trigo</t>
  </si>
  <si>
    <t>Com trigo inteiro, especialidade madeirense.</t>
  </si>
  <si>
    <t>Restaurante Vila do Peixe</t>
  </si>
  <si>
    <t>Açorda da Madeira</t>
  </si>
  <si>
    <t>Com segurelha e pão regional.</t>
  </si>
  <si>
    <t>Sopa de Castanhas do Curral das Freiras</t>
  </si>
  <si>
    <t>Com castanhas do Vale das Freiras.</t>
  </si>
  <si>
    <t>Sopa de Peixe com Caramujos</t>
  </si>
  <si>
    <t>Combinação típica da costa madeirense.</t>
  </si>
  <si>
    <t>Sopa de Abóbora com Milho Frito</t>
  </si>
  <si>
    <t>Com milho frito, acompanhamento típico.</t>
  </si>
  <si>
    <t>Sopa de Feijão com Inhames e Carne de Porco</t>
  </si>
  <si>
    <t>Sopa-refeição madeirense.</t>
  </si>
  <si>
    <t>Sopa de Espada com Banana</t>
  </si>
  <si>
    <t>Versão sopa moderna com peixe-espada.</t>
  </si>
  <si>
    <t>Sopa de Couve da Madeira</t>
  </si>
  <si>
    <t>Com couve-de-folha madeirense.</t>
  </si>
  <si>
    <t>Sopa de Tomate com Chouriço de Câmara de Lobos</t>
  </si>
  <si>
    <t>Com chouriço fumado local.</t>
  </si>
  <si>
    <t>Canja de Galinha com Massinha Estrelinha</t>
  </si>
  <si>
    <t>Versão madeirense com massinha.</t>
  </si>
  <si>
    <t>Sopa de Cebola Gratinada com Queijo do Porto Santo</t>
  </si>
  <si>
    <t>Com queijo de Porto Santo.</t>
  </si>
  <si>
    <t>Sopa de Beldroegas de Porto Santo</t>
  </si>
  <si>
    <t>Da ilha de Porto Santo.</t>
  </si>
  <si>
    <t>Sopa de Lentilhas da Ponta do Sol</t>
  </si>
  <si>
    <t>Típica do sul da Madeira.</t>
  </si>
  <si>
    <t>Sopa de Peixe de Machico</t>
  </si>
  <si>
    <t>Com peixe fresco do porto de Machico.</t>
  </si>
  <si>
    <t>Sopa de Milho Fresco</t>
  </si>
  <si>
    <t>Com milho da época.</t>
  </si>
  <si>
    <t>Sopa de Agrião com Ovo Escalfado</t>
  </si>
  <si>
    <t>Com agrião fresco e ovo.</t>
  </si>
  <si>
    <t>Sopa de Marisco da Calheta</t>
  </si>
  <si>
    <t>Sopa de Batata Doce com Mel de Cana</t>
  </si>
  <si>
    <t>Com mel de cana-de-açúcar madeirense.</t>
  </si>
  <si>
    <t>Sopa de Garoupa de Porto Moniz</t>
  </si>
  <si>
    <t>Com garoupa das piscinas naturais.</t>
  </si>
  <si>
    <t>Faróis</t>
  </si>
  <si>
    <t>Reorganizado: tabela estruturada 7 colunas · 3 regiões · GPS ✅</t>
  </si>
  <si>
    <t>Sopas Típicas</t>
  </si>
  <si>
    <t>Reorganizado: tabela estruturada 7 colunas · 7 regiões · Restaurantes sugeridos ✅</t>
  </si>
  <si>
    <t>🍲</t>
  </si>
  <si>
    <t>🏮</t>
  </si>
  <si>
    <t>🌿  1  ·  TERRITÓRIO &amp; NATUREZA  ·  15 folhas  ·  2.073 POI</t>
  </si>
  <si>
    <t>🍽️  3  ·  GASTRONOMIA &amp; PRODUTOS REGIONAIS  ·  8 folhas  ·  1.471 POI</t>
  </si>
  <si>
    <t>🇵🇹  PORTUGAL VIVO  —  6 Categorias Temáticas  ·  46 folhas  ·  ~6.464 POI</t>
  </si>
  <si>
    <t>43 folhas temáticas  ·  Portugal Vivo</t>
  </si>
  <si>
    <t>46 categorias temáticas  ·  ~6.516 pontos de interesse  ·  7 regiões de Portugal  ·  GPS com coordenadas exactas  ·  Versão 20  ·  15 de março de 2026</t>
  </si>
  <si>
    <t>37.772500, -25.318900</t>
  </si>
  <si>
    <t>38.741200, -27.289100</t>
  </si>
  <si>
    <t>32.786400, -16.848900</t>
  </si>
  <si>
    <t>32.648500, -16.974500</t>
  </si>
  <si>
    <t>📍 37.776100, -25.310600</t>
  </si>
  <si>
    <t>📍 38.653600, -27.217500</t>
  </si>
  <si>
    <t>📍 38.523100, -28.506900</t>
  </si>
  <si>
    <t>📍 38.530800, -28.628100</t>
  </si>
  <si>
    <t>📍 38.601400, -28.011900</t>
  </si>
  <si>
    <t>📍 37.714200, -25.434700</t>
  </si>
  <si>
    <t>📍 37.775600, -25.306900</t>
  </si>
  <si>
    <t>📍 38.654400, -27.219200</t>
  </si>
  <si>
    <t>📍 38.654200, -27.218900</t>
  </si>
  <si>
    <t>📍 32.650000, -16.907800</t>
  </si>
  <si>
    <t>📍 32.648300, -16.909700</t>
  </si>
  <si>
    <t>📍 32.647500, -16.905600</t>
  </si>
  <si>
    <t>📍 32.647200, -16.904200</t>
  </si>
  <si>
    <t>📍 32.648900, -16.977200</t>
  </si>
  <si>
    <t>📍 32.647800, -16.905300</t>
  </si>
  <si>
    <t>📍 32.649400, -16.976400</t>
  </si>
  <si>
    <t>📍 32.718600, -16.766400</t>
  </si>
  <si>
    <t>📍 32.648100, -16.921100</t>
  </si>
  <si>
    <t>📍 32.778300, -16.845800</t>
  </si>
  <si>
    <t>📍 32.647200, -16.905000</t>
  </si>
  <si>
    <t>📍 32.647500, -16.905300</t>
  </si>
  <si>
    <t>📍 32.720000, -17.035800</t>
  </si>
  <si>
    <t>📍 32.649200, -16.908300</t>
  </si>
  <si>
    <t>📍 32.743100, -17.175800</t>
  </si>
  <si>
    <t>📍 37.771100, -25.318100</t>
  </si>
  <si>
    <t>📍 38.515000, -28.487500</t>
  </si>
  <si>
    <t>📍 38.531400, -28.627500</t>
  </si>
  <si>
    <t>📍 38.664400, -28.092500</t>
  </si>
  <si>
    <t>📍 37.706400, -25.441700</t>
  </si>
  <si>
    <t>📍 37.774200, -25.304200</t>
  </si>
  <si>
    <t>📍 38.645000, -27.962800</t>
  </si>
  <si>
    <t>📍 38.653900, -27.218600</t>
  </si>
  <si>
    <t>📍 32.648600, -16.905600</t>
  </si>
  <si>
    <t>📍 32.647500, -16.908600</t>
  </si>
  <si>
    <t>📍 32.646900, -16.904400</t>
  </si>
  <si>
    <t>📍 32.646700, -16.902800</t>
  </si>
  <si>
    <t>📍 32.649200, -16.977800</t>
  </si>
  <si>
    <t>📍 32.648300, -16.902800</t>
  </si>
  <si>
    <t>📍 32.648600, -16.975000</t>
  </si>
  <si>
    <t>📍 32.720000, -16.765000</t>
  </si>
  <si>
    <t>📍 32.806700, -16.886400</t>
  </si>
  <si>
    <t>📍 32.647200, -16.903300</t>
  </si>
  <si>
    <t>📍 32.726400, -16.979200</t>
  </si>
  <si>
    <t>📍 32.663100, -16.897200</t>
  </si>
  <si>
    <t>📍 32.744400, -17.175000</t>
  </si>
  <si>
    <t>https://www.google.com/maps?q=37.776100,-25.310600</t>
  </si>
  <si>
    <t>https://www.google.com/maps?q=38.653600,-27.217500</t>
  </si>
  <si>
    <t>https://www.google.com/maps?q=38.523100,-28.506900</t>
  </si>
  <si>
    <t>https://www.google.com/maps?q=38.530800,-28.628100</t>
  </si>
  <si>
    <t>https://www.google.com/maps?q=38.601400,-28.011900</t>
  </si>
  <si>
    <t>https://www.google.com/maps?q=37.714200,-25.434700</t>
  </si>
  <si>
    <t>https://www.google.com/maps?q=37.775600,-25.306900</t>
  </si>
  <si>
    <t>https://www.google.com/maps?q=38.654400,-27.219200</t>
  </si>
  <si>
    <t>https://www.google.com/maps?q=38.654200,-27.218900</t>
  </si>
  <si>
    <t>https://www.google.com/maps?q=32.650000,-16.907800</t>
  </si>
  <si>
    <t>https://www.google.com/maps?q=32.648300,-16.909700</t>
  </si>
  <si>
    <t>https://www.google.com/maps?q=32.647500,-16.905600</t>
  </si>
  <si>
    <t>https://www.google.com/maps?q=32.647200,-16.904200</t>
  </si>
  <si>
    <t>https://www.google.com/maps?q=32.648900,-16.977200</t>
  </si>
  <si>
    <t>https://www.google.com/maps?q=32.647800,-16.905300</t>
  </si>
  <si>
    <t>https://www.google.com/maps?q=32.649400,-16.976400</t>
  </si>
  <si>
    <t>https://www.google.com/maps?q=32.718600,-16.766400</t>
  </si>
  <si>
    <t>https://www.google.com/maps?q=32.648100,-16.921100</t>
  </si>
  <si>
    <t>https://www.google.com/maps?q=32.778300,-16.845800</t>
  </si>
  <si>
    <t>https://www.google.com/maps?q=32.647200,-16.905000</t>
  </si>
  <si>
    <t>https://www.google.com/maps?q=32.647500,-16.905300</t>
  </si>
  <si>
    <t>https://www.google.com/maps?q=32.720000,-17.035800</t>
  </si>
  <si>
    <t>https://www.google.com/maps?q=32.649200,-16.908300</t>
  </si>
  <si>
    <t>https://www.google.com/maps?q=32.743100,-17.175800</t>
  </si>
  <si>
    <t>https://www.google.com/maps?q=37.771100,-25.318100</t>
  </si>
  <si>
    <t>https://www.google.com/maps?q=38.515000,-28.487500</t>
  </si>
  <si>
    <t>https://www.google.com/maps?q=38.531400,-28.627500</t>
  </si>
  <si>
    <t>https://www.google.com/maps?q=38.664400,-28.092500</t>
  </si>
  <si>
    <t>https://www.google.com/maps?q=37.706400,-25.441700</t>
  </si>
  <si>
    <t>https://www.google.com/maps?q=37.774200,-25.304200</t>
  </si>
  <si>
    <t>https://www.google.com/maps?q=38.645000,-27.962800</t>
  </si>
  <si>
    <t>https://www.google.com/maps?q=38.653900,-27.218600</t>
  </si>
  <si>
    <t>https://www.google.com/maps?q=32.648600,-16.905600</t>
  </si>
  <si>
    <t>https://www.google.com/maps?q=32.647500,-16.908600</t>
  </si>
  <si>
    <t>https://www.google.com/maps?q=32.646900,-16.904400</t>
  </si>
  <si>
    <t>https://www.google.com/maps?q=32.646700,-16.902800</t>
  </si>
  <si>
    <t>https://www.google.com/maps?q=32.649200,-16.977800</t>
  </si>
  <si>
    <t>https://www.google.com/maps?q=32.648300,-16.902800</t>
  </si>
  <si>
    <t>https://www.google.com/maps?q=32.648600,-16.975000</t>
  </si>
  <si>
    <t>https://www.google.com/maps?q=32.720000,-16.765000</t>
  </si>
  <si>
    <t>https://www.google.com/maps?q=32.806700,-16.886400</t>
  </si>
  <si>
    <t>https://www.google.com/maps?q=32.647200,-16.903300</t>
  </si>
  <si>
    <t>https://www.google.com/maps?q=32.726400,-16.979200</t>
  </si>
  <si>
    <t>https://www.google.com/maps?q=32.663100,-16.897200</t>
  </si>
  <si>
    <t>https://www.google.com/maps?q=32.744400,-17.175000</t>
  </si>
  <si>
    <t>📍 32.649200, -16.909500</t>
  </si>
  <si>
    <t>📍 37.714500, -25.435500</t>
  </si>
  <si>
    <t>📍 39.055500, -28.016700</t>
  </si>
  <si>
    <t>📍 32.648500, -16.904500</t>
  </si>
  <si>
    <t>📍 38.655200, -27.218500</t>
  </si>
  <si>
    <t>📍 37.740500, -25.669500</t>
  </si>
  <si>
    <t>📍 32.659500, -16.962200</t>
  </si>
  <si>
    <t>📍 37.747500, -25.244500</t>
  </si>
  <si>
    <t>📍 32.648000, -16.910500</t>
  </si>
  <si>
    <t>📍 37.755500, -25.658200</t>
  </si>
  <si>
    <t>📍 38.601500, -28.013500</t>
  </si>
  <si>
    <t>📍 33.061500, -16.331500</t>
  </si>
  <si>
    <t>📍 38.655500, -27.218900</t>
  </si>
  <si>
    <t>📍 32.648100, -16.911500</t>
  </si>
  <si>
    <t>📍 37.741200, -25.666500</t>
  </si>
  <si>
    <t>📍 32.753500, -17.223500</t>
  </si>
  <si>
    <t>📍 38.654200, -27.214500</t>
  </si>
  <si>
    <t>📍 37.740100, -25.668500</t>
  </si>
  <si>
    <t>📍 32.688500, -17.021500</t>
  </si>
  <si>
    <t>📍 32.651500, -16.911200</t>
  </si>
  <si>
    <t>📍 37.715200, -25.436800</t>
  </si>
  <si>
    <t>📍 39.083100, -28.003500</t>
  </si>
  <si>
    <t>📍 32.649800, -16.908200</t>
  </si>
  <si>
    <t>📍 38.654500, -27.219800</t>
  </si>
  <si>
    <t>📍 32.721500, -16.966700</t>
  </si>
  <si>
    <t>📍 37.741800, -25.667200</t>
  </si>
  <si>
    <t>📍 32.710500, -16.962500</t>
  </si>
  <si>
    <t>📍 37.748200, -25.245800</t>
  </si>
  <si>
    <t>📍 32.719500, -16.766700</t>
  </si>
  <si>
    <t>📍 37.741500, -25.672500</t>
  </si>
  <si>
    <t>📍 38.680500, -28.208500</t>
  </si>
  <si>
    <t>📍 33.055500, -16.345500</t>
  </si>
  <si>
    <t>📍 38.656200, -27.220500</t>
  </si>
  <si>
    <t>📍 37.824500, -25.520500</t>
  </si>
  <si>
    <t>📍 32.751500, -17.208500</t>
  </si>
  <si>
    <t>📍 38.659500, -27.218500</t>
  </si>
  <si>
    <t>📍 37.740800, -25.669000</t>
  </si>
  <si>
    <t>📍 32.648900, -16.974500</t>
  </si>
  <si>
    <t>https://www.google.com/maps?q=32.649200,-16.909500</t>
  </si>
  <si>
    <t>https://www.google.com/maps?q=37.714500,-25.435500</t>
  </si>
  <si>
    <t>https://www.google.com/maps?q=39.055500,-28.016700</t>
  </si>
  <si>
    <t>https://www.google.com/maps?q=32.648500,-16.904500</t>
  </si>
  <si>
    <t>https://www.google.com/maps?q=38.655200,-27.218500</t>
  </si>
  <si>
    <t>https://www.google.com/maps?q=37.740500,-25.669500</t>
  </si>
  <si>
    <t>https://www.google.com/maps?q=32.659500,-16.962200</t>
  </si>
  <si>
    <t>https://www.google.com/maps?q=37.747500,-25.244500</t>
  </si>
  <si>
    <t>https://www.google.com/maps?q=32.648000,-16.910500</t>
  </si>
  <si>
    <t>https://www.google.com/maps?q=37.755500,-25.658200</t>
  </si>
  <si>
    <t>https://www.google.com/maps?q=38.601500,-28.013500</t>
  </si>
  <si>
    <t>https://www.google.com/maps?q=33.061500,-16.331500</t>
  </si>
  <si>
    <t>https://www.google.com/maps?q=38.655500,-27.218900</t>
  </si>
  <si>
    <t>https://www.google.com/maps?q=32.648100,-16.911500</t>
  </si>
  <si>
    <t>https://www.google.com/maps?q=37.741200,-25.666500</t>
  </si>
  <si>
    <t>https://www.google.com/maps?q=32.753500,-17.223500</t>
  </si>
  <si>
    <t>https://www.google.com/maps?q=38.654200,-27.214500</t>
  </si>
  <si>
    <t>https://www.google.com/maps?q=37.740100,-25.668500</t>
  </si>
  <si>
    <t>https://www.google.com/maps?q=32.688500,-17.021500</t>
  </si>
  <si>
    <t>https://www.google.com/maps?q=32.651500,-16.911200</t>
  </si>
  <si>
    <t>https://www.google.com/maps?q=37.715200,-25.436800</t>
  </si>
  <si>
    <t>https://www.google.com/maps?q=39.083100,-28.003500</t>
  </si>
  <si>
    <t>https://www.google.com/maps?q=32.649800,-16.908200</t>
  </si>
  <si>
    <t>https://www.google.com/maps?q=38.654500,-27.219800</t>
  </si>
  <si>
    <t>https://www.google.com/maps?q=32.721500,-16.966700</t>
  </si>
  <si>
    <t>https://www.google.com/maps?q=37.741800,-25.667200</t>
  </si>
  <si>
    <t>https://www.google.com/maps?q=32.710500,-16.962500</t>
  </si>
  <si>
    <t>https://www.google.com/maps?q=37.748200,-25.245800</t>
  </si>
  <si>
    <t>https://www.google.com/maps?q=32.719500,-16.766700</t>
  </si>
  <si>
    <t>https://www.google.com/maps?q=37.741500,-25.672500</t>
  </si>
  <si>
    <t>https://www.google.com/maps?q=38.680500,-28.208500</t>
  </si>
  <si>
    <t>https://www.google.com/maps?q=33.055500,-16.345500</t>
  </si>
  <si>
    <t>https://www.google.com/maps?q=38.656200,-27.220500</t>
  </si>
  <si>
    <t>https://www.google.com/maps?q=37.824500,-25.520500</t>
  </si>
  <si>
    <t>https://www.google.com/maps?q=32.751500,-17.208500</t>
  </si>
  <si>
    <t>https://www.google.com/maps?q=38.659500,-27.218500</t>
  </si>
  <si>
    <t>https://www.google.com/maps?q=37.740800,-25.669000</t>
  </si>
  <si>
    <t>https://www.google.com/maps?q=32.648900,-16.974500</t>
  </si>
  <si>
    <t>37.755500, -25.321100</t>
  </si>
  <si>
    <t>37.781100, -25.501100</t>
  </si>
  <si>
    <t>37.771100, -25.485500</t>
  </si>
  <si>
    <t>37.738500, -25.661100</t>
  </si>
  <si>
    <t>37.841100, -25.761100</t>
  </si>
  <si>
    <t>37.735500, -25.195500</t>
  </si>
  <si>
    <t>37.818800, -25.541100</t>
  </si>
  <si>
    <t>37.841100, -25.385500</t>
  </si>
  <si>
    <t>38.728500, -27.215500</t>
  </si>
  <si>
    <t>38.725500, -27.228500</t>
  </si>
  <si>
    <t>38.651100, -27.225500</t>
  </si>
  <si>
    <t>38.731100, -27.061100</t>
  </si>
  <si>
    <t>38.795500, -27.241100</t>
  </si>
  <si>
    <t>38.711100, -27.115500</t>
  </si>
  <si>
    <t>38.535500, -28.528500</t>
  </si>
  <si>
    <t>38.521100, -28.535500</t>
  </si>
  <si>
    <t>38.485500, -28.501100</t>
  </si>
  <si>
    <t>38.395500, -28.251100</t>
  </si>
  <si>
    <t>38.481100, -28.321100</t>
  </si>
  <si>
    <t>38.641100, -27.971100</t>
  </si>
  <si>
    <t>38.631100, -27.925500</t>
  </si>
  <si>
    <t>38.751100, -28.251100</t>
  </si>
  <si>
    <t>38.681100, -28.211100</t>
  </si>
  <si>
    <t>38.585500, -28.711100</t>
  </si>
  <si>
    <t>38.595500, -28.831100</t>
  </si>
  <si>
    <t>38.525500, -28.625500</t>
  </si>
  <si>
    <t>37.001100, -25.131100</t>
  </si>
  <si>
    <t>36.995500, -25.051100</t>
  </si>
  <si>
    <t>36.945500, -25.141100</t>
  </si>
  <si>
    <t>39.431100, -31.251100</t>
  </si>
  <si>
    <t>39.455500, -31.121100</t>
  </si>
  <si>
    <t>39.411100, -31.211100</t>
  </si>
  <si>
    <t>39.671100, -31.111100</t>
  </si>
  <si>
    <t>39.711100, -31.111100</t>
  </si>
  <si>
    <t>39.025500, -27.971100</t>
  </si>
  <si>
    <t>39.011100, -27.985500</t>
  </si>
  <si>
    <t>39.081100, -28.001100</t>
  </si>
  <si>
    <t>38.685500, -28.031100</t>
  </si>
  <si>
    <t>38.581100, -27.981100</t>
  </si>
  <si>
    <t>38.541100, -27.761100</t>
  </si>
  <si>
    <t>32.637500, -16.931200</t>
  </si>
  <si>
    <t>32.638500, -16.958500</t>
  </si>
  <si>
    <t>32.648500, -16.975500</t>
  </si>
  <si>
    <t>32.648000, -16.945000</t>
  </si>
  <si>
    <t>32.675500, -16.901100</t>
  </si>
  <si>
    <t>32.743100, -16.701100</t>
  </si>
  <si>
    <t>32.638100, -16.851100</t>
  </si>
  <si>
    <t>32.718500, -16.761100</t>
  </si>
  <si>
    <t>32.735500, -16.885500</t>
  </si>
  <si>
    <t>32.783100, -16.905500</t>
  </si>
  <si>
    <t>32.791100, -16.851100</t>
  </si>
  <si>
    <t>32.815500, -16.885500</t>
  </si>
  <si>
    <t>32.865500, -17.168500</t>
  </si>
  <si>
    <t>32.811100, -17.051100</t>
  </si>
  <si>
    <t>32.845500, -17.151100</t>
  </si>
  <si>
    <t>32.821100, -17.101100</t>
  </si>
  <si>
    <t>32.815500, -16.951100</t>
  </si>
  <si>
    <t>32.738500, -17.211100</t>
  </si>
  <si>
    <t>32.751100, -17.225500</t>
  </si>
  <si>
    <t>32.755500, -17.135000</t>
  </si>
  <si>
    <t>32.685500, -17.111100</t>
  </si>
  <si>
    <t>32.718500, -17.178500</t>
  </si>
  <si>
    <t>32.725500, -17.168500</t>
  </si>
  <si>
    <t>32.735500, -16.928500</t>
  </si>
  <si>
    <t>32.711100, -16.965500</t>
  </si>
  <si>
    <t>32.811100, -17.138500</t>
  </si>
  <si>
    <t>32.751100, -17.018500</t>
  </si>
  <si>
    <t>33.045500, -16.348500</t>
  </si>
  <si>
    <t>33.058500, -16.335500</t>
  </si>
  <si>
    <t>33.085500, -16.331100</t>
  </si>
  <si>
    <t>33.031100, -16.385500</t>
  </si>
  <si>
    <t>33.048500, -16.368500</t>
  </si>
  <si>
    <t>32.678500, -17.105500</t>
  </si>
  <si>
    <t>32.695500, -17.101100</t>
  </si>
  <si>
    <t>32.641100, -16.835500</t>
  </si>
  <si>
    <t>32.831100, -16.901100</t>
  </si>
  <si>
    <t>32.783100, -16.842100</t>
  </si>
  <si>
    <t>32.775500, -16.828500</t>
  </si>
  <si>
    <t>33.101100, -16.345500</t>
  </si>
  <si>
    <t>32.635500, -16.955000</t>
  </si>
  <si>
    <t>32.641500, -16.975000</t>
  </si>
  <si>
    <t>32.648000, -16.981500</t>
  </si>
  <si>
    <t>32.755500, -16.681100</t>
  </si>
  <si>
    <t>32.758500, -16.945500</t>
  </si>
  <si>
    <t>32.749100, -16.700100</t>
  </si>
  <si>
    <t>41.276400, -8.283100</t>
  </si>
  <si>
    <t>41.141500, -8.614500</t>
  </si>
  <si>
    <t>40.643300, -8.654700</t>
  </si>
  <si>
    <t>39.743600, -8.807100</t>
  </si>
  <si>
    <t>38.721400, -9.135100</t>
  </si>
  <si>
    <t>38.802800, -9.485100</t>
  </si>
  <si>
    <t>38.841500, -7.589400</t>
  </si>
  <si>
    <t>38.574400, -7.907700</t>
  </si>
  <si>
    <t>37.133200, -7.604100</t>
  </si>
  <si>
    <t>37.028900, -8.026100</t>
  </si>
  <si>
    <t>📍 41.146600, -8.604800</t>
  </si>
  <si>
    <t>📍 41.162200, -8.601400</t>
  </si>
  <si>
    <t>📍 41.767800, -8.584700</t>
  </si>
  <si>
    <t>📍 41.549200, -8.411600</t>
  </si>
  <si>
    <t>📍 41.493900, -6.273600</t>
  </si>
  <si>
    <t>📍 42.078900, -8.480600</t>
  </si>
  <si>
    <t>📍 41.694200, -8.831500</t>
  </si>
  <si>
    <t>📍 41.631100, -8.348900</t>
  </si>
  <si>
    <t>📍 41.771900, -8.243100</t>
  </si>
  <si>
    <t>📍 41.484200, -7.186400</t>
  </si>
  <si>
    <t>📍 41.146900, -8.605300</t>
  </si>
  <si>
    <t>📍 41.688900, -8.834200</t>
  </si>
  <si>
    <t>📍 41.451400, -8.170600</t>
  </si>
  <si>
    <t>📍 41.141400, -8.615600</t>
  </si>
  <si>
    <t>📍 41.805800, -6.757500</t>
  </si>
  <si>
    <t>📍 41.107500, -8.558300</t>
  </si>
  <si>
    <t>📍 42.079200, -8.481100</t>
  </si>
  <si>
    <t>📍 41.205600, -8.145800</t>
  </si>
  <si>
    <t>📍 41.691100, -8.828600</t>
  </si>
  <si>
    <t>📍 41.693100, -8.827800</t>
  </si>
  <si>
    <t>📍 41.739200, -7.470600</t>
  </si>
  <si>
    <t>📍 41.182500, -8.687800</t>
  </si>
  <si>
    <t>📍 41.530600, -8.618600</t>
  </si>
  <si>
    <t>📍 41.381100, -8.765300</t>
  </si>
  <si>
    <t>📍 41.441900, -8.291700</t>
  </si>
  <si>
    <t>📍 41.366900, -8.198600</t>
  </si>
  <si>
    <t>📍 41.805000, -6.756000</t>
  </si>
  <si>
    <t>📍 38.716100, -9.141700</t>
  </si>
  <si>
    <t>📍 41.550000, -8.427500</t>
  </si>
  <si>
    <t>📍 41.873300, -8.839700</t>
  </si>
  <si>
    <t>📍 40.928300, -8.545800</t>
  </si>
  <si>
    <t>📍 40.395600, -8.455200</t>
  </si>
  <si>
    <t>📍 40.093100, -8.334400</t>
  </si>
  <si>
    <t>📍 40.420300, -7.702200</t>
  </si>
  <si>
    <t>📍 40.208900, -8.428600</t>
  </si>
  <si>
    <t>📍 40.659400, -7.910300</t>
  </si>
  <si>
    <t>📍 40.218100, -8.556100</t>
  </si>
  <si>
    <t>📍 40.857200, -7.981900</t>
  </si>
  <si>
    <t>📍 39.819700, -7.491100</t>
  </si>
  <si>
    <t>📍 40.537200, -7.267800</t>
  </si>
  <si>
    <t>📍 40.658100, -7.914700</t>
  </si>
  <si>
    <t>📍 40.640800, -8.653900</t>
  </si>
  <si>
    <t>📍 40.618600, -8.751400</t>
  </si>
  <si>
    <t>📍 40.604400, -7.759700</t>
  </si>
  <si>
    <t>📍 39.917800, -7.913300</t>
  </si>
  <si>
    <t>📍 39.208900, -8.629200</t>
  </si>
  <si>
    <t>📍 40.383000, -8.452100</t>
  </si>
  <si>
    <t>📍 39.090800, -9.256700</t>
  </si>
  <si>
    <t>📍 39.403100, -9.137200</t>
  </si>
  <si>
    <t>📍 39.462200, -8.197800</t>
  </si>
  <si>
    <t>📍 39.479200, -8.535600</t>
  </si>
  <si>
    <t>📍 40.209200, -8.427500</t>
  </si>
  <si>
    <t>📍 38.722300, -9.139300</t>
  </si>
  <si>
    <t>📍 38.716500, -9.141200</t>
  </si>
  <si>
    <t>📍 38.711500, -9.130800</t>
  </si>
  <si>
    <t>📍 38.697500, -9.203000</t>
  </si>
  <si>
    <t>📍 38.709500, -9.136500</t>
  </si>
  <si>
    <t>📍 38.735000, -9.148000</t>
  </si>
  <si>
    <t>📍 38.443100, -9.103100</t>
  </si>
  <si>
    <t>📍 38.722500, -9.115800</t>
  </si>
  <si>
    <t>📍 38.525000, -8.893000</t>
  </si>
  <si>
    <t>📍 38.797500, -9.390600</t>
  </si>
  <si>
    <t>📍 37.025600, -7.841700</t>
  </si>
  <si>
    <t>📍 38.717500, -9.129200</t>
  </si>
  <si>
    <t>📍 38.524700, -8.892200</t>
  </si>
  <si>
    <t>📍 38.709200, -9.133100</t>
  </si>
  <si>
    <t>📍 38.729700, -9.472200</t>
  </si>
  <si>
    <t>📍 38.712200, -9.138100</t>
  </si>
  <si>
    <t>📍 38.572000, -7.907500</t>
  </si>
  <si>
    <t>📍 39.290300, -7.430300</t>
  </si>
  <si>
    <t>📍 38.569500, -7.909000</t>
  </si>
  <si>
    <t>📍 38.646900, -8.215600</t>
  </si>
  <si>
    <t>📍 37.728100, -8.782800</t>
  </si>
  <si>
    <t>📍 38.879200, -7.162500</t>
  </si>
  <si>
    <t>📍 38.015000, -7.863100</t>
  </si>
  <si>
    <t>📍 38.571900, -7.908600</t>
  </si>
  <si>
    <t>📍 38.843900, -7.590300</t>
  </si>
  <si>
    <t>📍 37.942800, -7.597200</t>
  </si>
  <si>
    <t>📍 39.289200, -7.429700</t>
  </si>
  <si>
    <t>📍 39.517800, -7.648100</t>
  </si>
  <si>
    <t>📍 39.393900, -7.376100</t>
  </si>
  <si>
    <t>📍 38.571400, -7.909700</t>
  </si>
  <si>
    <t>📍 39.425300, -7.414200</t>
  </si>
  <si>
    <t>📍 38.702500, -7.402500</t>
  </si>
  <si>
    <t>📍 39.289700, -7.429200</t>
  </si>
  <si>
    <t>📍 38.570300, -7.908300</t>
  </si>
  <si>
    <t>📍 38.016100, -7.861900</t>
  </si>
  <si>
    <t>📍 38.673600, -8.457200</t>
  </si>
  <si>
    <t>📍 38.372800, -8.513100</t>
  </si>
  <si>
    <t>📍 37.014700, -7.936100</t>
  </si>
  <si>
    <t>📍 37.102200, -8.674200</t>
  </si>
  <si>
    <t>📍 37.026400, -7.840600</t>
  </si>
  <si>
    <t>📍 37.125800, -8.310600</t>
  </si>
  <si>
    <t>📍 37.101700, -8.674700</t>
  </si>
  <si>
    <t>📍 37.128600, -7.649700</t>
  </si>
  <si>
    <t>📍 37.119200, -8.609400</t>
  </si>
  <si>
    <t>📍 37.008300, -8.938900</t>
  </si>
  <si>
    <t>📍 37.134400, -8.536900</t>
  </si>
  <si>
    <t>📍 37.188600, -8.439700</t>
  </si>
  <si>
    <t>📍 37.138900, -8.021900</t>
  </si>
  <si>
    <t>📍 37.013100, -7.934400</t>
  </si>
  <si>
    <t>📍 37.118900, -7.632800</t>
  </si>
  <si>
    <t>📍 41.147900, -8.611200</t>
  </si>
  <si>
    <t>📍 41.146900, -8.606900</t>
  </si>
  <si>
    <t>📍 41.767400, -8.583600</t>
  </si>
  <si>
    <t>📍 41.550800, -8.429400</t>
  </si>
  <si>
    <t>📍 41.493100, -6.272500</t>
  </si>
  <si>
    <t>📍 41.691700, -8.828100</t>
  </si>
  <si>
    <t>📍 41.702200, -8.834400</t>
  </si>
  <si>
    <t>📍 41.636400, -8.402200</t>
  </si>
  <si>
    <t>📍 41.715600, -8.130600</t>
  </si>
  <si>
    <t>📍 41.484700, -7.184200</t>
  </si>
  <si>
    <t>📍 41.140700, -8.611100</t>
  </si>
  <si>
    <t>📍 41.688100, -8.838900</t>
  </si>
  <si>
    <t>📍 41.450300, -8.172200</t>
  </si>
  <si>
    <t>📍 41.141400, -8.615800</t>
  </si>
  <si>
    <t>📍 41.803900, -6.749700</t>
  </si>
  <si>
    <t>📍 41.098300, -8.556400</t>
  </si>
  <si>
    <t>📍 42.112800, -8.259700</t>
  </si>
  <si>
    <t>📍 41.185600, -8.146100</t>
  </si>
  <si>
    <t>📍 41.690300, -8.831700</t>
  </si>
  <si>
    <t>📍 41.691900, -8.828900</t>
  </si>
  <si>
    <t>📍 41.741100, -7.468100</t>
  </si>
  <si>
    <t>📍 41.180800, -8.688300</t>
  </si>
  <si>
    <t>📍 41.531900, -8.618100</t>
  </si>
  <si>
    <t>📍 41.380000, -8.766700</t>
  </si>
  <si>
    <t>📍 41.446400, -8.290600</t>
  </si>
  <si>
    <t>📍 41.368100, -8.196900</t>
  </si>
  <si>
    <t>📍 41.804700, -6.755300</t>
  </si>
  <si>
    <t>📍 41.146900, -8.614700</t>
  </si>
  <si>
    <t>📍 41.554700, -8.376900</t>
  </si>
  <si>
    <t>📍 41.863100, -8.873600</t>
  </si>
  <si>
    <t>📍 40.927200, -8.544700</t>
  </si>
  <si>
    <t>📍 41.740300, -7.471400</t>
  </si>
  <si>
    <t>📍 40.375800, -8.364200</t>
  </si>
  <si>
    <t>📍 40.119400, -8.318300</t>
  </si>
  <si>
    <t>📍 40.321900, -7.612800</t>
  </si>
  <si>
    <t>📍 40.207500, -8.426100</t>
  </si>
  <si>
    <t>📍 40.659900, -7.910800</t>
  </si>
  <si>
    <t>📍 40.218900, -8.555800</t>
  </si>
  <si>
    <t>📍 40.857500, -7.981500</t>
  </si>
  <si>
    <t>📍 40.137200, -7.500800</t>
  </si>
  <si>
    <t>📍 40.536900, -7.268600</t>
  </si>
  <si>
    <t>📍 40.660000, -7.911500</t>
  </si>
  <si>
    <t>📍 40.642500, -8.650000</t>
  </si>
  <si>
    <t>📍 40.617500, -8.752500</t>
  </si>
  <si>
    <t>📍 40.603600, -7.761100</t>
  </si>
  <si>
    <t>📍 40.048900, -7.877500</t>
  </si>
  <si>
    <t>📍 39.207500, -8.627500</t>
  </si>
  <si>
    <t>📍 39.091400, -9.257200</t>
  </si>
  <si>
    <t>📍 39.401900, -9.137800</t>
  </si>
  <si>
    <t>📍 39.463100, -8.198600</t>
  </si>
  <si>
    <t>📍 39.480000, -8.536400</t>
  </si>
  <si>
    <t>📍 38.714500, -9.142000</t>
  </si>
  <si>
    <t>📍 38.715000, -9.139500</t>
  </si>
  <si>
    <t>📍 38.697900, -9.206600</t>
  </si>
  <si>
    <t>📍 38.708000, -9.135000</t>
  </si>
  <si>
    <t>📍 38.712000, -9.131500</t>
  </si>
  <si>
    <t>📍 38.712500, -9.134000</t>
  </si>
  <si>
    <t>📍 38.523900, -8.894700</t>
  </si>
  <si>
    <t>📍 38.524500, -8.892500</t>
  </si>
  <si>
    <t>📍 38.442500, -9.104000</t>
  </si>
  <si>
    <t>📍 38.797500, -9.391100</t>
  </si>
  <si>
    <t>📍 38.795800, -9.396100</t>
  </si>
  <si>
    <t>📍 38.717800, -9.129500</t>
  </si>
  <si>
    <t>📍 38.713900, -9.133600</t>
  </si>
  <si>
    <t>📍 38.520000, -8.890300</t>
  </si>
  <si>
    <t>📍 38.707500, -9.136400</t>
  </si>
  <si>
    <t>📍 38.730000, -9.472800</t>
  </si>
  <si>
    <t>📍 38.715000, -9.135000</t>
  </si>
  <si>
    <t>📍 38.713900, -9.139400</t>
  </si>
  <si>
    <t>📍 38.710800, -9.139400</t>
  </si>
  <si>
    <t>📍 39.290800, -7.429800</t>
  </si>
  <si>
    <t>📍 38.571700, -7.908100</t>
  </si>
  <si>
    <t>📍 38.650000, -8.212500</t>
  </si>
  <si>
    <t>📍 37.725000, -8.785000</t>
  </si>
  <si>
    <t>📍 38.876400, -7.157500</t>
  </si>
  <si>
    <t>📍 38.017800, -7.865600</t>
  </si>
  <si>
    <t>📍 38.572200, -7.908300</t>
  </si>
  <si>
    <t>📍 38.843300, -7.589200</t>
  </si>
  <si>
    <t>📍 37.943600, -7.596400</t>
  </si>
  <si>
    <t>📍 39.288900, -7.430500</t>
  </si>
  <si>
    <t>📍 39.518100, -7.647500</t>
  </si>
  <si>
    <t>📍 39.394200, -7.375600</t>
  </si>
  <si>
    <t>📍 38.571000, -7.908300</t>
  </si>
  <si>
    <t>📍 39.350000, -7.400000</t>
  </si>
  <si>
    <t>📍 38.703100, -7.401700</t>
  </si>
  <si>
    <t>📍 39.290300, -7.429700</t>
  </si>
  <si>
    <t>📍 38.569200, -7.912200</t>
  </si>
  <si>
    <t>📍 38.017200, -7.864700</t>
  </si>
  <si>
    <t>📍 38.674400, -8.457800</t>
  </si>
  <si>
    <t>📍 38.373600, -8.513900</t>
  </si>
  <si>
    <t>📍 37.012500, -7.935000</t>
  </si>
  <si>
    <t>📍 37.101900, -8.673600</t>
  </si>
  <si>
    <t>📍 37.078300, -8.320800</t>
  </si>
  <si>
    <t>📍 37.101400, -8.675600</t>
  </si>
  <si>
    <t>📍 37.128300, -7.649200</t>
  </si>
  <si>
    <t>📍 37.120000, -8.608100</t>
  </si>
  <si>
    <t>📍 36.994400, -8.948100</t>
  </si>
  <si>
    <t>📍 37.120000, -8.533100</t>
  </si>
  <si>
    <t>📍 37.188900, -8.440300</t>
  </si>
  <si>
    <t>📍 37.137500, -8.023300</t>
  </si>
  <si>
    <t>📍 37.013900, -7.935000</t>
  </si>
  <si>
    <t>https://www.google.com/maps?q=41.146600,-8.604800</t>
  </si>
  <si>
    <t>https://www.google.com/maps?q=41.162200,-8.601400</t>
  </si>
  <si>
    <t>https://www.google.com/maps?q=41.767800,-8.584700</t>
  </si>
  <si>
    <t>https://www.google.com/maps?q=41.549200,-8.411600</t>
  </si>
  <si>
    <t>https://www.google.com/maps?q=41.493900,-6.273600</t>
  </si>
  <si>
    <t>https://www.google.com/maps?q=42.078900,-8.480600</t>
  </si>
  <si>
    <t>https://www.google.com/maps?q=41.694200,-8.831500</t>
  </si>
  <si>
    <t>https://www.google.com/maps?q=41.631100,-8.348900</t>
  </si>
  <si>
    <t>https://www.google.com/maps?q=41.771900,-8.243100</t>
  </si>
  <si>
    <t>https://www.google.com/maps?q=41.484200,-7.186400</t>
  </si>
  <si>
    <t>https://www.google.com/maps?q=41.146900,-8.605300</t>
  </si>
  <si>
    <t>https://www.google.com/maps?q=41.688900,-8.834200</t>
  </si>
  <si>
    <t>https://www.google.com/maps?q=41.451400,-8.170600</t>
  </si>
  <si>
    <t>https://www.google.com/maps?q=41.141400,-8.615600</t>
  </si>
  <si>
    <t>https://www.google.com/maps?q=41.805800,-6.757500</t>
  </si>
  <si>
    <t>https://www.google.com/maps?q=41.107500,-8.558300</t>
  </si>
  <si>
    <t>https://www.google.com/maps?q=42.079200,-8.481100</t>
  </si>
  <si>
    <t>https://www.google.com/maps?q=41.205600,-8.145800</t>
  </si>
  <si>
    <t>https://www.google.com/maps?q=41.691100,-8.828600</t>
  </si>
  <si>
    <t>https://www.google.com/maps?q=41.693100,-8.827800</t>
  </si>
  <si>
    <t>https://www.google.com/maps?q=41.739200,-7.470600</t>
  </si>
  <si>
    <t>https://www.google.com/maps?q=41.182500,-8.687800</t>
  </si>
  <si>
    <t>https://www.google.com/maps?q=41.530600,-8.618600</t>
  </si>
  <si>
    <t>https://www.google.com/maps?q=41.381100,-8.765300</t>
  </si>
  <si>
    <t>https://www.google.com/maps?q=41.441900,-8.291700</t>
  </si>
  <si>
    <t>https://www.google.com/maps?q=41.366900,-8.198600</t>
  </si>
  <si>
    <t>https://www.google.com/maps?q=41.805000,-6.756000</t>
  </si>
  <si>
    <t>https://www.google.com/maps?q=38.716100,-9.141700</t>
  </si>
  <si>
    <t>https://www.google.com/maps?q=41.550000,-8.427500</t>
  </si>
  <si>
    <t>https://www.google.com/maps?q=41.873300,-8.839700</t>
  </si>
  <si>
    <t>https://www.google.com/maps?q=40.928300,-8.545800</t>
  </si>
  <si>
    <t>https://www.google.com/maps?q=40.395600,-8.455200</t>
  </si>
  <si>
    <t>https://www.google.com/maps?q=40.093100,-8.334400</t>
  </si>
  <si>
    <t>https://www.google.com/maps?q=40.420300,-7.702200</t>
  </si>
  <si>
    <t>https://www.google.com/maps?q=40.208900,-8.428600</t>
  </si>
  <si>
    <t>https://www.google.com/maps?q=40.659400,-7.910300</t>
  </si>
  <si>
    <t>https://www.google.com/maps?q=40.218100,-8.556100</t>
  </si>
  <si>
    <t>https://www.google.com/maps?q=40.857200,-7.981900</t>
  </si>
  <si>
    <t>https://www.google.com/maps?q=39.819700,-7.491100</t>
  </si>
  <si>
    <t>https://www.google.com/maps?q=40.537200,-7.267800</t>
  </si>
  <si>
    <t>https://www.google.com/maps?q=40.658100,-7.914700</t>
  </si>
  <si>
    <t>https://www.google.com/maps?q=40.640800,-8.653900</t>
  </si>
  <si>
    <t>https://www.google.com/maps?q=40.618600,-8.751400</t>
  </si>
  <si>
    <t>https://www.google.com/maps?q=40.604400,-7.759700</t>
  </si>
  <si>
    <t>https://www.google.com/maps?q=39.917800,-7.913300</t>
  </si>
  <si>
    <t>https://www.google.com/maps?q=39.208900,-8.629200</t>
  </si>
  <si>
    <t>https://www.google.com/maps?q=40.383000,-8.452100</t>
  </si>
  <si>
    <t>https://www.google.com/maps?q=39.090800,-9.256700</t>
  </si>
  <si>
    <t>https://www.google.com/maps?q=39.403100,-9.137200</t>
  </si>
  <si>
    <t>https://www.google.com/maps?q=39.462200,-8.197800</t>
  </si>
  <si>
    <t>https://www.google.com/maps?q=39.479200,-8.535600</t>
  </si>
  <si>
    <t>https://www.google.com/maps?q=40.209200,-8.427500</t>
  </si>
  <si>
    <t>https://www.google.com/maps?q=38.722300,-9.139300</t>
  </si>
  <si>
    <t>https://www.google.com/maps?q=38.716500,-9.141200</t>
  </si>
  <si>
    <t>https://www.google.com/maps?q=38.711500,-9.130800</t>
  </si>
  <si>
    <t>https://www.google.com/maps?q=38.697500,-9.203000</t>
  </si>
  <si>
    <t>https://www.google.com/maps?q=38.709500,-9.136500</t>
  </si>
  <si>
    <t>https://www.google.com/maps?q=38.735000,-9.148000</t>
  </si>
  <si>
    <t>https://www.google.com/maps?q=38.443100,-9.103100</t>
  </si>
  <si>
    <t>https://www.google.com/maps?q=38.722500,-9.115800</t>
  </si>
  <si>
    <t>https://www.google.com/maps?q=38.525000,-8.893000</t>
  </si>
  <si>
    <t>https://www.google.com/maps?q=38.797500,-9.390600</t>
  </si>
  <si>
    <t>https://www.google.com/maps?q=37.025600,-7.841700</t>
  </si>
  <si>
    <t>https://www.google.com/maps?q=38.717500,-9.129200</t>
  </si>
  <si>
    <t>https://www.google.com/maps?q=38.524700,-8.892200</t>
  </si>
  <si>
    <t>https://www.google.com/maps?q=38.709200,-9.133100</t>
  </si>
  <si>
    <t>https://www.google.com/maps?q=38.729700,-9.472200</t>
  </si>
  <si>
    <t>https://www.google.com/maps?q=38.712200,-9.138100</t>
  </si>
  <si>
    <t>https://www.google.com/maps?q=38.572000,-7.907500</t>
  </si>
  <si>
    <t>https://www.google.com/maps?q=39.290300,-7.430300</t>
  </si>
  <si>
    <t>https://www.google.com/maps?q=38.569500,-7.909000</t>
  </si>
  <si>
    <t>https://www.google.com/maps?q=38.646900,-8.215600</t>
  </si>
  <si>
    <t>https://www.google.com/maps?q=37.728100,-8.782800</t>
  </si>
  <si>
    <t>https://www.google.com/maps?q=38.879200,-7.162500</t>
  </si>
  <si>
    <t>https://www.google.com/maps?q=38.015000,-7.863100</t>
  </si>
  <si>
    <t>https://www.google.com/maps?q=38.571900,-7.908600</t>
  </si>
  <si>
    <t>https://www.google.com/maps?q=38.843900,-7.590300</t>
  </si>
  <si>
    <t>https://www.google.com/maps?q=37.942800,-7.597200</t>
  </si>
  <si>
    <t>https://www.google.com/maps?q=39.289200,-7.429700</t>
  </si>
  <si>
    <t>https://www.google.com/maps?q=39.517800,-7.648100</t>
  </si>
  <si>
    <t>https://www.google.com/maps?q=39.393900,-7.376100</t>
  </si>
  <si>
    <t>https://www.google.com/maps?q=38.571400,-7.909700</t>
  </si>
  <si>
    <t>https://www.google.com/maps?q=39.425300,-7.414200</t>
  </si>
  <si>
    <t>https://www.google.com/maps?q=38.702500,-7.402500</t>
  </si>
  <si>
    <t>https://www.google.com/maps?q=39.289700,-7.429200</t>
  </si>
  <si>
    <t>https://www.google.com/maps?q=38.570300,-7.908300</t>
  </si>
  <si>
    <t>https://www.google.com/maps?q=38.016100,-7.861900</t>
  </si>
  <si>
    <t>https://www.google.com/maps?q=38.673600,-8.457200</t>
  </si>
  <si>
    <t>https://www.google.com/maps?q=38.372800,-8.513100</t>
  </si>
  <si>
    <t>https://www.google.com/maps?q=37.014700,-7.936100</t>
  </si>
  <si>
    <t>https://www.google.com/maps?q=37.102200,-8.674200</t>
  </si>
  <si>
    <t>https://www.google.com/maps?q=37.026400,-7.840600</t>
  </si>
  <si>
    <t>https://www.google.com/maps?q=37.125800,-8.310600</t>
  </si>
  <si>
    <t>https://www.google.com/maps?q=37.101700,-8.674700</t>
  </si>
  <si>
    <t>https://www.google.com/maps?q=37.128600,-7.649700</t>
  </si>
  <si>
    <t>https://www.google.com/maps?q=37.119200,-8.609400</t>
  </si>
  <si>
    <t>https://www.google.com/maps?q=37.008300,-8.938900</t>
  </si>
  <si>
    <t>https://www.google.com/maps?q=37.134400,-8.536900</t>
  </si>
  <si>
    <t>https://www.google.com/maps?q=37.188600,-8.439700</t>
  </si>
  <si>
    <t>https://www.google.com/maps?q=37.138900,-8.021900</t>
  </si>
  <si>
    <t>https://www.google.com/maps?q=37.013100,-7.934400</t>
  </si>
  <si>
    <t>https://www.google.com/maps?q=37.118900,-7.632800</t>
  </si>
  <si>
    <t>https://www.google.com/maps?q=41.147900,-8.611200</t>
  </si>
  <si>
    <t>https://www.google.com/maps?q=41.146900,-8.606900</t>
  </si>
  <si>
    <t>https://www.google.com/maps?q=41.767400,-8.583600</t>
  </si>
  <si>
    <t>https://www.google.com/maps?q=41.550800,-8.429400</t>
  </si>
  <si>
    <t>https://www.google.com/maps?q=41.493100,-6.272500</t>
  </si>
  <si>
    <t>https://www.google.com/maps?q=41.691700,-8.828100</t>
  </si>
  <si>
    <t>https://www.google.com/maps?q=41.702200,-8.834400</t>
  </si>
  <si>
    <t>https://www.google.com/maps?q=41.636400,-8.402200</t>
  </si>
  <si>
    <t>https://www.google.com/maps?q=41.715600,-8.130600</t>
  </si>
  <si>
    <t>https://www.google.com/maps?q=41.484700,-7.184200</t>
  </si>
  <si>
    <t>https://www.google.com/maps?q=41.140700,-8.611100</t>
  </si>
  <si>
    <t>https://www.google.com/maps?q=41.688100,-8.838900</t>
  </si>
  <si>
    <t>https://www.google.com/maps?q=41.450300,-8.172200</t>
  </si>
  <si>
    <t>https://www.google.com/maps?q=41.141400,-8.615800</t>
  </si>
  <si>
    <t>https://www.google.com/maps?q=41.803900,-6.749700</t>
  </si>
  <si>
    <t>https://www.google.com/maps?q=41.098300,-8.556400</t>
  </si>
  <si>
    <t>https://www.google.com/maps?q=42.112800,-8.259700</t>
  </si>
  <si>
    <t>https://www.google.com/maps?q=41.185600,-8.146100</t>
  </si>
  <si>
    <t>https://www.google.com/maps?q=41.690300,-8.831700</t>
  </si>
  <si>
    <t>https://www.google.com/maps?q=41.691900,-8.828900</t>
  </si>
  <si>
    <t>https://www.google.com/maps?q=41.741100,-7.468100</t>
  </si>
  <si>
    <t>https://www.google.com/maps?q=41.180800,-8.688300</t>
  </si>
  <si>
    <t>https://www.google.com/maps?q=41.531900,-8.618100</t>
  </si>
  <si>
    <t>https://www.google.com/maps?q=41.380000,-8.766700</t>
  </si>
  <si>
    <t>https://www.google.com/maps?q=41.446400,-8.290600</t>
  </si>
  <si>
    <t>https://www.google.com/maps?q=41.368100,-8.196900</t>
  </si>
  <si>
    <t>https://www.google.com/maps?q=41.804700,-6.755300</t>
  </si>
  <si>
    <t>https://www.google.com/maps?q=41.146900,-8.614700</t>
  </si>
  <si>
    <t>https://www.google.com/maps?q=41.554700,-8.376900</t>
  </si>
  <si>
    <t>https://www.google.com/maps?q=41.863100,-8.873600</t>
  </si>
  <si>
    <t>https://www.google.com/maps?q=40.927200,-8.544700</t>
  </si>
  <si>
    <t>https://www.google.com/maps?q=41.740300,-7.471400</t>
  </si>
  <si>
    <t>https://www.google.com/maps?q=40.375800,-8.364200</t>
  </si>
  <si>
    <t>https://www.google.com/maps?q=40.119400,-8.318300</t>
  </si>
  <si>
    <t>https://www.google.com/maps?q=40.321900,-7.612800</t>
  </si>
  <si>
    <t>https://www.google.com/maps?q=40.207500,-8.426100</t>
  </si>
  <si>
    <t>https://www.google.com/maps?q=40.659900,-7.910800</t>
  </si>
  <si>
    <t>https://www.google.com/maps?q=40.218900,-8.555800</t>
  </si>
  <si>
    <t>https://www.google.com/maps?q=40.857500,-7.981500</t>
  </si>
  <si>
    <t>https://www.google.com/maps?q=40.137200,-7.500800</t>
  </si>
  <si>
    <t>https://www.google.com/maps?q=40.536900,-7.268600</t>
  </si>
  <si>
    <t>https://www.google.com/maps?q=40.660000,-7.911500</t>
  </si>
  <si>
    <t>https://www.google.com/maps?q=40.642500,-8.650000</t>
  </si>
  <si>
    <t>https://www.google.com/maps?q=40.617500,-8.752500</t>
  </si>
  <si>
    <t>https://www.google.com/maps?q=40.603600,-7.761100</t>
  </si>
  <si>
    <t>https://www.google.com/maps?q=40.048900,-7.877500</t>
  </si>
  <si>
    <t>https://www.google.com/maps?q=39.207500,-8.627500</t>
  </si>
  <si>
    <t>https://www.google.com/maps?q=39.091400,-9.257200</t>
  </si>
  <si>
    <t>https://www.google.com/maps?q=39.401900,-9.137800</t>
  </si>
  <si>
    <t>https://www.google.com/maps?q=39.463100,-8.198600</t>
  </si>
  <si>
    <t>https://www.google.com/maps?q=39.480000,-8.536400</t>
  </si>
  <si>
    <t>https://www.google.com/maps?q=38.714500,-9.142000</t>
  </si>
  <si>
    <t>https://www.google.com/maps?q=38.715000,-9.139500</t>
  </si>
  <si>
    <t>https://www.google.com/maps?q=38.697900,-9.206600</t>
  </si>
  <si>
    <t>https://www.google.com/maps?q=38.708000,-9.135000</t>
  </si>
  <si>
    <t>https://www.google.com/maps?q=38.712000,-9.131500</t>
  </si>
  <si>
    <t>https://www.google.com/maps?q=38.712500,-9.134000</t>
  </si>
  <si>
    <t>https://www.google.com/maps?q=38.523900,-8.894700</t>
  </si>
  <si>
    <t>https://www.google.com/maps?q=38.524500,-8.892500</t>
  </si>
  <si>
    <t>https://www.google.com/maps?q=38.442500,-9.104000</t>
  </si>
  <si>
    <t>https://www.google.com/maps?q=38.797500,-9.391100</t>
  </si>
  <si>
    <t>https://www.google.com/maps?q=38.795800,-9.396100</t>
  </si>
  <si>
    <t>https://www.google.com/maps?q=38.717800,-9.129500</t>
  </si>
  <si>
    <t>https://www.google.com/maps?q=38.713900,-9.133600</t>
  </si>
  <si>
    <t>https://www.google.com/maps?q=38.520000,-8.890300</t>
  </si>
  <si>
    <t>https://www.google.com/maps?q=38.707500,-9.136400</t>
  </si>
  <si>
    <t>https://www.google.com/maps?q=38.730000,-9.472800</t>
  </si>
  <si>
    <t>https://www.google.com/maps?q=38.715000,-9.135000</t>
  </si>
  <si>
    <t>https://www.google.com/maps?q=38.713900,-9.139400</t>
  </si>
  <si>
    <t>https://www.google.com/maps?q=38.710800,-9.139400</t>
  </si>
  <si>
    <t>https://www.google.com/maps?q=39.290800,-7.429800</t>
  </si>
  <si>
    <t>https://www.google.com/maps?q=38.571700,-7.908100</t>
  </si>
  <si>
    <t>https://www.google.com/maps?q=38.650000,-8.212500</t>
  </si>
  <si>
    <t>https://www.google.com/maps?q=37.725000,-8.785000</t>
  </si>
  <si>
    <t>https://www.google.com/maps?q=38.876400,-7.157500</t>
  </si>
  <si>
    <t>https://www.google.com/maps?q=38.017800,-7.865600</t>
  </si>
  <si>
    <t>https://www.google.com/maps?q=38.572200,-7.908300</t>
  </si>
  <si>
    <t>https://www.google.com/maps?q=38.843300,-7.589200</t>
  </si>
  <si>
    <t>https://www.google.com/maps?q=37.943600,-7.596400</t>
  </si>
  <si>
    <t>https://www.google.com/maps?q=39.288900,-7.430500</t>
  </si>
  <si>
    <t>https://www.google.com/maps?q=39.518100,-7.647500</t>
  </si>
  <si>
    <t>https://www.google.com/maps?q=39.394200,-7.375600</t>
  </si>
  <si>
    <t>https://www.google.com/maps?q=38.571000,-7.908300</t>
  </si>
  <si>
    <t>https://www.google.com/maps?q=39.350000,-7.400000</t>
  </si>
  <si>
    <t>https://www.google.com/maps?q=38.703100,-7.401700</t>
  </si>
  <si>
    <t>https://www.google.com/maps?q=39.290300,-7.429700</t>
  </si>
  <si>
    <t>https://www.google.com/maps?q=38.569200,-7.912200</t>
  </si>
  <si>
    <t>https://www.google.com/maps?q=38.017200,-7.864700</t>
  </si>
  <si>
    <t>https://www.google.com/maps?q=38.674400,-8.457800</t>
  </si>
  <si>
    <t>https://www.google.com/maps?q=38.373600,-8.513900</t>
  </si>
  <si>
    <t>https://www.google.com/maps?q=37.012500,-7.935000</t>
  </si>
  <si>
    <t>https://www.google.com/maps?q=37.101900,-8.673600</t>
  </si>
  <si>
    <t>https://www.google.com/maps?q=37.078300,-8.320800</t>
  </si>
  <si>
    <t>https://www.google.com/maps?q=37.101400,-8.675600</t>
  </si>
  <si>
    <t>https://www.google.com/maps?q=37.128300,-7.649200</t>
  </si>
  <si>
    <t>https://www.google.com/maps?q=37.120000,-8.608100</t>
  </si>
  <si>
    <t>https://www.google.com/maps?q=36.994400,-8.948100</t>
  </si>
  <si>
    <t>https://www.google.com/maps?q=37.120000,-8.533100</t>
  </si>
  <si>
    <t>https://www.google.com/maps?q=37.188900,-8.440300</t>
  </si>
  <si>
    <t>https://www.google.com/maps?q=37.137500,-8.023300</t>
  </si>
  <si>
    <t>https://www.google.com/maps?q=37.013900,-7.935000</t>
  </si>
  <si>
    <t>📍 41.551100, -8.427700</t>
  </si>
  <si>
    <t>📍 41.374500, -8.310100</t>
  </si>
  <si>
    <t>📍 41.846500, -8.418400</t>
  </si>
  <si>
    <t>📍 42.078200, -8.480100</t>
  </si>
  <si>
    <t>📍 41.514400, -8.775800</t>
  </si>
  <si>
    <t>📍 41.692300, -8.829100</t>
  </si>
  <si>
    <t>📍 41.700100, -8.815500</t>
  </si>
  <si>
    <t>📍 41.556200, -8.479500</t>
  </si>
  <si>
    <t>📍 41.555800, -8.419400</t>
  </si>
  <si>
    <t>📍 41.548700, -8.423100</t>
  </si>
  <si>
    <t>📍 41.702500, -8.761200</t>
  </si>
  <si>
    <t>📍 41.701100, -8.835400</t>
  </si>
  <si>
    <t>📍 41.511100, -8.618900</t>
  </si>
  <si>
    <t>📍 41.722500, -8.551100</t>
  </si>
  <si>
    <t>📍 41.691900, -8.828100</t>
  </si>
  <si>
    <t>📍 41.633900, -8.140800</t>
  </si>
  <si>
    <t>📍 41.442800, -8.295200</t>
  </si>
  <si>
    <t>📍 41.443500, -8.292100</t>
  </si>
  <si>
    <t>📍 41.874200, -8.263900</t>
  </si>
  <si>
    <t>📍 41.512200, -8.411100</t>
  </si>
  <si>
    <t>📍 41.173600, -7.051900</t>
  </si>
  <si>
    <t>📍 41.296200, -7.746100</t>
  </si>
  <si>
    <t>📍 41.805800, -6.756900</t>
  </si>
  <si>
    <t>📍 41.742500, -7.471100</t>
  </si>
  <si>
    <t>📍 41.296800, -7.745900</t>
  </si>
  <si>
    <t>📍 41.806200, -6.758100</t>
  </si>
  <si>
    <t>📍 41.683300, -6.600100</t>
  </si>
  <si>
    <t>📍 41.493900, -6.273100</t>
  </si>
  <si>
    <t>📍 41.291100, -7.741100</t>
  </si>
  <si>
    <t>📍 41.174500, -7.051500</t>
  </si>
  <si>
    <t>📍 41.091100, -6.805500</t>
  </si>
  <si>
    <t>📍 41.806900, -6.757800</t>
  </si>
  <si>
    <t>📍 41.488100, -7.188300</t>
  </si>
  <si>
    <t>📍 41.606900, -7.308100</t>
  </si>
  <si>
    <t>📍 41.340500, -6.712500</t>
  </si>
  <si>
    <t>📍 41.295200, -7.744800</t>
  </si>
  <si>
    <t>📍 40.328900, -7.211900</t>
  </si>
  <si>
    <t>📍 41.583300, -6.533300</t>
  </si>
  <si>
    <t>📍 41.166700, -7.783300</t>
  </si>
  <si>
    <t>📍 41.283300, -7.466700</t>
  </si>
  <si>
    <t>📍 40.640500, -8.653900</t>
  </si>
  <si>
    <t>📍 39.742500, -8.805500</t>
  </si>
  <si>
    <t>📍 40.211900, -8.583100</t>
  </si>
  <si>
    <t>📍 40.210500, -8.428500</t>
  </si>
  <si>
    <t>📍 40.201500, -8.435500</t>
  </si>
  <si>
    <t>📍 40.208500, -8.428100</t>
  </si>
  <si>
    <t>📍 40.166700, -8.566700</t>
  </si>
  <si>
    <t>📍 40.858100, -8.625500</t>
  </si>
  <si>
    <t>📍 40.258900, -8.316700</t>
  </si>
  <si>
    <t>📍 40.441100, -8.435500</t>
  </si>
  <si>
    <t>📍 40.271100, -8.281500</t>
  </si>
  <si>
    <t>📍 40.644500, -8.653100</t>
  </si>
  <si>
    <t>📍 40.643300, -8.748100</t>
  </si>
  <si>
    <t>📍 40.383300, -8.383300</t>
  </si>
  <si>
    <t>📍 40.210200, -8.428100</t>
  </si>
  <si>
    <t>📍 40.208900, -8.427200</t>
  </si>
  <si>
    <t>📍 40.259200, -8.316100</t>
  </si>
  <si>
    <t>📍 40.384500, -8.381100</t>
  </si>
  <si>
    <t>📍 40.641100, -8.653500</t>
  </si>
  <si>
    <t>📍 40.600100, -8.666700</t>
  </si>
  <si>
    <t>📍 39.461100, -8.196900</t>
  </si>
  <si>
    <t>📍 39.822200, -7.493100</t>
  </si>
  <si>
    <t>📍 40.281100, -7.502500</t>
  </si>
  <si>
    <t>📍 40.358500, -7.348900</t>
  </si>
  <si>
    <t>📍 40.420600, -7.703100</t>
  </si>
  <si>
    <t>📍 40.776100, -7.062500</t>
  </si>
  <si>
    <t>📍 40.138900, -7.502200</t>
  </si>
  <si>
    <t>📍 40.139500, -7.501500</t>
  </si>
  <si>
    <t>📍 40.324700, -7.691700</t>
  </si>
  <si>
    <t>📍 39.920800, -7.235800</t>
  </si>
  <si>
    <t>📍 39.803300, -8.101700</t>
  </si>
  <si>
    <t>📍 39.816700, -8.183300</t>
  </si>
  <si>
    <t>📍 39.548900, -8.977200</t>
  </si>
  <si>
    <t>📍 39.802500, -8.102200</t>
  </si>
  <si>
    <t>📍 40.778300, -7.349400</t>
  </si>
  <si>
    <t>📍 40.777200, -7.348100</t>
  </si>
  <si>
    <t>📍 39.733300, -7.166700</t>
  </si>
  <si>
    <t>📍 40.493100, -7.591700</t>
  </si>
  <si>
    <t>📍 38.697500, -9.203200</t>
  </si>
  <si>
    <t>📍 38.795200, -9.385500</t>
  </si>
  <si>
    <t>📍 38.796800, -9.390500</t>
  </si>
  <si>
    <t>📍 38.705500, -9.418900</t>
  </si>
  <si>
    <t>📍 38.697800, -9.420500</t>
  </si>
  <si>
    <t>📍 39.091100, -9.258900</t>
  </si>
  <si>
    <t>📍 39.499400, -9.106400</t>
  </si>
  <si>
    <t>📍 39.548500, -8.978900</t>
  </si>
  <si>
    <t>📍 39.236100, -8.685500</t>
  </si>
  <si>
    <t>📍 39.235500, -8.684100</t>
  </si>
  <si>
    <t>📍 38.816700, -9.261100</t>
  </si>
  <si>
    <t>📍 39.208900, -8.625500</t>
  </si>
  <si>
    <t>📍 39.241100, -8.788900</t>
  </si>
  <si>
    <t>📍 38.735500, -9.145200</t>
  </si>
  <si>
    <t>📍 38.518900, -9.015500</t>
  </si>
  <si>
    <t>📍 39.461500, -8.196500</t>
  </si>
  <si>
    <t>📍 39.362200, -9.157200</t>
  </si>
  <si>
    <t>📍 39.360500, -9.158100</t>
  </si>
  <si>
    <t>📍 38.711900, -9.138800</t>
  </si>
  <si>
    <t>📍 39.355500, -9.381100</t>
  </si>
  <si>
    <t>📍 38.881700, -7.164100</t>
  </si>
  <si>
    <t>📍 38.571400, -7.913500</t>
  </si>
  <si>
    <t>📍 38.570800, -7.912200</t>
  </si>
  <si>
    <t>📍 38.571100, -7.909500</t>
  </si>
  <si>
    <t>📍 38.570100, -7.911500</t>
  </si>
  <si>
    <t>📍 39.291100, -7.432200</t>
  </si>
  <si>
    <t>📍 39.290500, -7.431500</t>
  </si>
  <si>
    <t>📍 39.293000, -7.435500</t>
  </si>
  <si>
    <t>📍 38.015500, -7.865500</t>
  </si>
  <si>
    <t>📍 39.291500, -7.433000</t>
  </si>
  <si>
    <t>📍 38.014200, -7.864500</t>
  </si>
  <si>
    <t>📍 38.945500, -8.165200</t>
  </si>
  <si>
    <t>📍 38.571000, -7.912500</t>
  </si>
  <si>
    <t>📍 38.015500, -8.697200</t>
  </si>
  <si>
    <t>📍 38.372500, -8.513000</t>
  </si>
  <si>
    <t>📍 37.942500, -7.595500</t>
  </si>
  <si>
    <t>📍 39.415500, -7.454200</t>
  </si>
  <si>
    <t>📍 38.571800, -7.913000</t>
  </si>
  <si>
    <t>📍 39.290200, -7.432500</t>
  </si>
  <si>
    <t>📍 38.777500, -7.417200</t>
  </si>
  <si>
    <t>📍 37.102200, -8.672500</t>
  </si>
  <si>
    <t>📍 37.016100, -7.933300</t>
  </si>
  <si>
    <t>📍 37.138900, -8.021100</t>
  </si>
  <si>
    <t>📍 37.126100, -7.651100</t>
  </si>
  <si>
    <t>📍 37.138500, -8.021500</t>
  </si>
  <si>
    <t>📍 37.016300, -7.933200</t>
  </si>
  <si>
    <t>📍 37.103000, -8.674500</t>
  </si>
  <si>
    <t>📍 37.027500, -7.839500</t>
  </si>
  <si>
    <t>📍 37.316700, -8.555500</t>
  </si>
  <si>
    <t>📍 37.318500, -8.802500</t>
  </si>
  <si>
    <t>📍 37.285500, -8.553100</t>
  </si>
  <si>
    <t>📍 37.137500, -8.536500</t>
  </si>
  <si>
    <t>📍 37.082500, -8.913100</t>
  </si>
  <si>
    <t>📍 37.126500, -7.648900</t>
  </si>
  <si>
    <t>📍 37.088900, -8.251500</t>
  </si>
  <si>
    <t>📍 37.021500, -7.931500</t>
  </si>
  <si>
    <t>📍 37.102500, -8.673000</t>
  </si>
  <si>
    <t>📍 37.139200, -8.020500</t>
  </si>
  <si>
    <t>📍 37.185500, -8.441100</t>
  </si>
  <si>
    <t>📍 41.549200, -8.426100</t>
  </si>
  <si>
    <t>📍 41.375200, -8.309400</t>
  </si>
  <si>
    <t>📍 41.846800, -8.417900</t>
  </si>
  <si>
    <t>📍 42.079100, -8.481200</t>
  </si>
  <si>
    <t>📍 41.514900, -8.774500</t>
  </si>
  <si>
    <t>📍 41.693100, -8.828500</t>
  </si>
  <si>
    <t>📍 41.693800, -8.827200</t>
  </si>
  <si>
    <t>📍 41.551400, -8.425800</t>
  </si>
  <si>
    <t>📍 41.550800, -8.426900</t>
  </si>
  <si>
    <t>📍 41.552200, -8.421500</t>
  </si>
  <si>
    <t>📍 41.767500, -8.583300</t>
  </si>
  <si>
    <t>📍 41.694200, -8.828800</t>
  </si>
  <si>
    <t>📍 41.530600, -8.619200</t>
  </si>
  <si>
    <t>📍 41.758900, -8.601200</t>
  </si>
  <si>
    <t>📍 41.514200, -8.776100</t>
  </si>
  <si>
    <t>📍 41.634500, -8.141500</t>
  </si>
  <si>
    <t>📍 41.442200, -8.294100</t>
  </si>
  <si>
    <t>📍 41.442900, -8.296500</t>
  </si>
  <si>
    <t>📍 41.866900, -8.200100</t>
  </si>
  <si>
    <t>📍 41.543500, -8.431200</t>
  </si>
  <si>
    <t>📍 41.174200, -7.052500</t>
  </si>
  <si>
    <t>📍 41.295500, -7.747200</t>
  </si>
  <si>
    <t>📍 41.916700, -6.783300</t>
  </si>
  <si>
    <t>📍 41.741200, -7.472500</t>
  </si>
  <si>
    <t>📍 41.295200, -7.744100</t>
  </si>
  <si>
    <t>📍 41.833300, -7.000100</t>
  </si>
  <si>
    <t>📍 41.805500, -6.757200</t>
  </si>
  <si>
    <t>📍 41.341100, -6.711100</t>
  </si>
  <si>
    <t>📍 41.295500, -7.745200</t>
  </si>
  <si>
    <t>📍 41.083300, -7.133300</t>
  </si>
  <si>
    <t>📍 41.091500, -6.806200</t>
  </si>
  <si>
    <t>📍 41.801100, -6.765500</t>
  </si>
  <si>
    <t>📍 41.533300, -6.966700</t>
  </si>
  <si>
    <t>📍 41.683300, -7.666700</t>
  </si>
  <si>
    <t>📍 41.341500, -6.711800</t>
  </si>
  <si>
    <t>📍 41.266700, -7.583300</t>
  </si>
  <si>
    <t>📍 41.803300, -6.749500</t>
  </si>
  <si>
    <t>📍 41.584100, -6.532500</t>
  </si>
  <si>
    <t>📍 41.150000, -7.883300</t>
  </si>
  <si>
    <t>📍 41.416700, -7.450000</t>
  </si>
  <si>
    <t>📍 40.641200, -8.652100</t>
  </si>
  <si>
    <t>📍 39.744100, -8.808100</t>
  </si>
  <si>
    <t>📍 40.212500, -8.582200</t>
  </si>
  <si>
    <t>📍 40.211200, -8.427100</t>
  </si>
  <si>
    <t>📍 40.201900, -8.434200</t>
  </si>
  <si>
    <t>📍 40.141500, -8.461200</t>
  </si>
  <si>
    <t>📍 40.167500, -8.567200</t>
  </si>
  <si>
    <t>📍 40.860100, -8.626200</t>
  </si>
  <si>
    <t>📍 40.259500, -8.315500</t>
  </si>
  <si>
    <t>📍 40.375500, -8.452500</t>
  </si>
  <si>
    <t>📍 40.272500, -8.282500</t>
  </si>
  <si>
    <t>📍 40.642500, -8.651500</t>
  </si>
  <si>
    <t>📍 40.612500, -8.751100</t>
  </si>
  <si>
    <t>📍 40.376100, -8.365500</t>
  </si>
  <si>
    <t>📍 40.211500, -8.429500</t>
  </si>
  <si>
    <t>📍 40.210500, -8.429900</t>
  </si>
  <si>
    <t>📍 40.260500, -8.317500</t>
  </si>
  <si>
    <t>📍 40.385500, -8.382500</t>
  </si>
  <si>
    <t>📍 40.642100, -8.650500</t>
  </si>
  <si>
    <t>📍 40.601500, -8.667500</t>
  </si>
  <si>
    <t>📍 39.462500, -8.197500</t>
  </si>
  <si>
    <t>📍 39.823500, -7.494500</t>
  </si>
  <si>
    <t>📍 40.283000, -7.504000</t>
  </si>
  <si>
    <t>📍 40.168100, -7.170600</t>
  </si>
  <si>
    <t>📍 40.402200, -7.538900</t>
  </si>
  <si>
    <t>📍 40.538500, -7.269000</t>
  </si>
  <si>
    <t>📍 40.778000, -7.064000</t>
  </si>
  <si>
    <t>📍 40.078100, -7.491400</t>
  </si>
  <si>
    <t>📍 40.155000, -7.518100</t>
  </si>
  <si>
    <t>📍 40.325500, -7.693000</t>
  </si>
  <si>
    <t>📍 40.038900, -7.114700</t>
  </si>
  <si>
    <t>📍 39.675000, -8.143100</t>
  </si>
  <si>
    <t>📍 39.818000, -8.185000</t>
  </si>
  <si>
    <t>📍 39.566700, -8.933300</t>
  </si>
  <si>
    <t>📍 39.804000, -8.104500</t>
  </si>
  <si>
    <t>📍 40.963300, -7.262500</t>
  </si>
  <si>
    <t>📍 40.779000, -7.350500</t>
  </si>
  <si>
    <t>📍 39.822200, -7.491100</t>
  </si>
  <si>
    <t>📍 40.633300, -7.391700</t>
  </si>
  <si>
    <t>📍 38.697900, -9.206700</t>
  </si>
  <si>
    <t>📍 38.796700, -9.390100</t>
  </si>
  <si>
    <t>📍 38.796000, -9.391500</t>
  </si>
  <si>
    <t>📍 38.697200, -9.421400</t>
  </si>
  <si>
    <t>📍 38.701100, -9.425200</t>
  </si>
  <si>
    <t>📍 39.092500, -9.261200</t>
  </si>
  <si>
    <t>📍 39.500500, -9.108000</t>
  </si>
  <si>
    <t>📍 39.547800, -8.979500</t>
  </si>
  <si>
    <t>📍 39.234500, -8.682200</t>
  </si>
  <si>
    <t>📍 39.238000, -8.687200</t>
  </si>
  <si>
    <t>📍 38.818000, -9.263500</t>
  </si>
  <si>
    <t>📍 39.210500, -8.628000</t>
  </si>
  <si>
    <t>📍 39.236700, -8.685000</t>
  </si>
  <si>
    <t>📍 38.711800, -9.138900</t>
  </si>
  <si>
    <t>📍 38.520500, -9.018000</t>
  </si>
  <si>
    <t>📍 39.462200, -8.197000</t>
  </si>
  <si>
    <t>📍 39.361500, -9.156500</t>
  </si>
  <si>
    <t>📍 39.363300, -9.157800</t>
  </si>
  <si>
    <t>📍 38.713000, -9.141000</t>
  </si>
  <si>
    <t>📍 39.357000, -9.383000</t>
  </si>
  <si>
    <t>📍 38.882500, -7.165000</t>
  </si>
  <si>
    <t>📍 38.572500, -7.915000</t>
  </si>
  <si>
    <t>📍 38.572100, -7.914000</t>
  </si>
  <si>
    <t>📍 38.573200, -7.910800</t>
  </si>
  <si>
    <t>📍 38.568900, -7.908000</t>
  </si>
  <si>
    <t>📍 39.292500, -7.434500</t>
  </si>
  <si>
    <t>📍 39.289500, -7.430000</t>
  </si>
  <si>
    <t>📍 39.416100, -7.455500</t>
  </si>
  <si>
    <t>📍 37.638900, -7.662500</t>
  </si>
  <si>
    <t>📍 39.292200, -7.434100</t>
  </si>
  <si>
    <t>📍 38.016000, -7.867000</t>
  </si>
  <si>
    <t>📍 38.946500, -8.167000</t>
  </si>
  <si>
    <t>📍 38.572200, -7.914200</t>
  </si>
  <si>
    <t>📍 38.371100, -8.514500</t>
  </si>
  <si>
    <t>📍 38.371500, -8.515500</t>
  </si>
  <si>
    <t>📍 38.141100, -7.450500</t>
  </si>
  <si>
    <t>📍 39.417200, -7.456500</t>
  </si>
  <si>
    <t>📍 38.573500, -7.915500</t>
  </si>
  <si>
    <t>📍 39.289000, -7.431000</t>
  </si>
  <si>
    <t>📍 38.805500, -7.455200</t>
  </si>
  <si>
    <t>📍 37.101500, -8.674000</t>
  </si>
  <si>
    <t>📍 37.017500, -7.935000</t>
  </si>
  <si>
    <t>📍 37.140200, -8.023500</t>
  </si>
  <si>
    <t>📍 37.125500, -7.649500</t>
  </si>
  <si>
    <t>📍 37.218900, -7.443100</t>
  </si>
  <si>
    <t>📍 37.026100, -7.841500</t>
  </si>
  <si>
    <t>📍 37.101800, -8.673900</t>
  </si>
  <si>
    <t>📍 37.102000, -8.672000</t>
  </si>
  <si>
    <t>📍 37.026800, -7.841000</t>
  </si>
  <si>
    <t>📍 37.188900, -8.438900</t>
  </si>
  <si>
    <t>📍 37.319500, -8.803500</t>
  </si>
  <si>
    <t>📍 37.317500, -8.556200</t>
  </si>
  <si>
    <t>📍 37.138200, -8.534500</t>
  </si>
  <si>
    <t>📍 37.005500, -8.938900</t>
  </si>
  <si>
    <t>📍 37.078900, -8.118900</t>
  </si>
  <si>
    <t>📍 37.124500, -8.300500</t>
  </si>
  <si>
    <t>📍 37.016500, -7.933500</t>
  </si>
  <si>
    <t>📍 37.138500, -8.537200</t>
  </si>
  <si>
    <t>📍 37.215500, -7.925500</t>
  </si>
  <si>
    <t>📍 37.131500, -8.532200</t>
  </si>
  <si>
    <t>https://www.google.com/maps?q=41.551100,-8.427700</t>
  </si>
  <si>
    <t>https://www.google.com/maps?q=41.374500,-8.310100</t>
  </si>
  <si>
    <t>https://www.google.com/maps?q=41.846500,-8.418400</t>
  </si>
  <si>
    <t>https://www.google.com/maps?q=42.078200,-8.480100</t>
  </si>
  <si>
    <t>https://www.google.com/maps?q=41.514400,-8.775800</t>
  </si>
  <si>
    <t>https://www.google.com/maps?q=41.692300,-8.829100</t>
  </si>
  <si>
    <t>https://www.google.com/maps?q=41.700100,-8.815500</t>
  </si>
  <si>
    <t>https://www.google.com/maps?q=41.556200,-8.479500</t>
  </si>
  <si>
    <t>https://www.google.com/maps?q=41.555800,-8.419400</t>
  </si>
  <si>
    <t>https://www.google.com/maps?q=41.548700,-8.423100</t>
  </si>
  <si>
    <t>https://www.google.com/maps?q=41.702500,-8.761200</t>
  </si>
  <si>
    <t>https://www.google.com/maps?q=41.701100,-8.835400</t>
  </si>
  <si>
    <t>https://www.google.com/maps?q=41.511100,-8.618900</t>
  </si>
  <si>
    <t>https://www.google.com/maps?q=41.722500,-8.551100</t>
  </si>
  <si>
    <t>https://www.google.com/maps?q=41.691900,-8.828100</t>
  </si>
  <si>
    <t>https://www.google.com/maps?q=41.633900,-8.140800</t>
  </si>
  <si>
    <t>https://www.google.com/maps?q=41.442800,-8.295200</t>
  </si>
  <si>
    <t>https://www.google.com/maps?q=41.443500,-8.292100</t>
  </si>
  <si>
    <t>https://www.google.com/maps?q=41.874200,-8.263900</t>
  </si>
  <si>
    <t>https://www.google.com/maps?q=41.512200,-8.411100</t>
  </si>
  <si>
    <t>https://www.google.com/maps?q=41.173600,-7.051900</t>
  </si>
  <si>
    <t>https://www.google.com/maps?q=41.296200,-7.746100</t>
  </si>
  <si>
    <t>https://www.google.com/maps?q=41.805800,-6.756900</t>
  </si>
  <si>
    <t>https://www.google.com/maps?q=41.742500,-7.471100</t>
  </si>
  <si>
    <t>https://www.google.com/maps?q=41.296800,-7.745900</t>
  </si>
  <si>
    <t>https://www.google.com/maps?q=41.806200,-6.758100</t>
  </si>
  <si>
    <t>https://www.google.com/maps?q=41.683300,-6.600100</t>
  </si>
  <si>
    <t>https://www.google.com/maps?q=41.493900,-6.273100</t>
  </si>
  <si>
    <t>https://www.google.com/maps?q=41.291100,-7.741100</t>
  </si>
  <si>
    <t>https://www.google.com/maps?q=41.174500,-7.051500</t>
  </si>
  <si>
    <t>https://www.google.com/maps?q=41.091100,-6.805500</t>
  </si>
  <si>
    <t>https://www.google.com/maps?q=41.806900,-6.757800</t>
  </si>
  <si>
    <t>https://www.google.com/maps?q=41.488100,-7.188300</t>
  </si>
  <si>
    <t>https://www.google.com/maps?q=41.606900,-7.308100</t>
  </si>
  <si>
    <t>https://www.google.com/maps?q=41.340500,-6.712500</t>
  </si>
  <si>
    <t>https://www.google.com/maps?q=41.295200,-7.744800</t>
  </si>
  <si>
    <t>https://www.google.com/maps?q=40.328900,-7.211900</t>
  </si>
  <si>
    <t>https://www.google.com/maps?q=41.583300,-6.533300</t>
  </si>
  <si>
    <t>https://www.google.com/maps?q=41.166700,-7.783300</t>
  </si>
  <si>
    <t>https://www.google.com/maps?q=41.283300,-7.466700</t>
  </si>
  <si>
    <t>https://www.google.com/maps?q=40.640500,-8.653900</t>
  </si>
  <si>
    <t>https://www.google.com/maps?q=39.742500,-8.805500</t>
  </si>
  <si>
    <t>https://www.google.com/maps?q=40.211900,-8.583100</t>
  </si>
  <si>
    <t>https://www.google.com/maps?q=40.210500,-8.428500</t>
  </si>
  <si>
    <t>https://www.google.com/maps?q=40.201500,-8.435500</t>
  </si>
  <si>
    <t>https://www.google.com/maps?q=40.208500,-8.428100</t>
  </si>
  <si>
    <t>https://www.google.com/maps?q=40.166700,-8.566700</t>
  </si>
  <si>
    <t>https://www.google.com/maps?q=40.858100,-8.625500</t>
  </si>
  <si>
    <t>https://www.google.com/maps?q=40.258900,-8.316700</t>
  </si>
  <si>
    <t>https://www.google.com/maps?q=40.441100,-8.435500</t>
  </si>
  <si>
    <t>https://www.google.com/maps?q=40.271100,-8.281500</t>
  </si>
  <si>
    <t>https://www.google.com/maps?q=40.644500,-8.653100</t>
  </si>
  <si>
    <t>https://www.google.com/maps?q=40.643300,-8.748100</t>
  </si>
  <si>
    <t>https://www.google.com/maps?q=40.383300,-8.383300</t>
  </si>
  <si>
    <t>https://www.google.com/maps?q=40.210200,-8.428100</t>
  </si>
  <si>
    <t>https://www.google.com/maps?q=40.208900,-8.427200</t>
  </si>
  <si>
    <t>https://www.google.com/maps?q=40.259200,-8.316100</t>
  </si>
  <si>
    <t>https://www.google.com/maps?q=40.384500,-8.381100</t>
  </si>
  <si>
    <t>https://www.google.com/maps?q=40.641100,-8.653500</t>
  </si>
  <si>
    <t>https://www.google.com/maps?q=40.600100,-8.666700</t>
  </si>
  <si>
    <t>https://www.google.com/maps?q=39.461100,-8.196900</t>
  </si>
  <si>
    <t>https://www.google.com/maps?q=39.822200,-7.493100</t>
  </si>
  <si>
    <t>https://www.google.com/maps?q=40.281100,-7.502500</t>
  </si>
  <si>
    <t>https://www.google.com/maps?q=40.358500,-7.348900</t>
  </si>
  <si>
    <t>https://www.google.com/maps?q=40.420600,-7.703100</t>
  </si>
  <si>
    <t>https://www.google.com/maps?q=40.776100,-7.062500</t>
  </si>
  <si>
    <t>https://www.google.com/maps?q=40.138900,-7.502200</t>
  </si>
  <si>
    <t>https://www.google.com/maps?q=40.139500,-7.501500</t>
  </si>
  <si>
    <t>https://www.google.com/maps?q=40.324700,-7.691700</t>
  </si>
  <si>
    <t>https://www.google.com/maps?q=39.920800,-7.235800</t>
  </si>
  <si>
    <t>https://www.google.com/maps?q=39.803300,-8.101700</t>
  </si>
  <si>
    <t>https://www.google.com/maps?q=39.816700,-8.183300</t>
  </si>
  <si>
    <t>https://www.google.com/maps?q=39.548900,-8.977200</t>
  </si>
  <si>
    <t>https://www.google.com/maps?q=39.802500,-8.102200</t>
  </si>
  <si>
    <t>https://www.google.com/maps?q=40.778300,-7.349400</t>
  </si>
  <si>
    <t>https://www.google.com/maps?q=40.777200,-7.348100</t>
  </si>
  <si>
    <t>https://www.google.com/maps?q=39.733300,-7.166700</t>
  </si>
  <si>
    <t>https://www.google.com/maps?q=40.493100,-7.591700</t>
  </si>
  <si>
    <t>https://www.google.com/maps?q=38.697500,-9.203200</t>
  </si>
  <si>
    <t>https://www.google.com/maps?q=38.795200,-9.385500</t>
  </si>
  <si>
    <t>https://www.google.com/maps?q=38.796800,-9.390500</t>
  </si>
  <si>
    <t>https://www.google.com/maps?q=38.705500,-9.418900</t>
  </si>
  <si>
    <t>https://www.google.com/maps?q=38.697800,-9.420500</t>
  </si>
  <si>
    <t>https://www.google.com/maps?q=39.091100,-9.258900</t>
  </si>
  <si>
    <t>https://www.google.com/maps?q=39.499400,-9.106400</t>
  </si>
  <si>
    <t>https://www.google.com/maps?q=39.548500,-8.978900</t>
  </si>
  <si>
    <t>https://www.google.com/maps?q=39.236100,-8.685500</t>
  </si>
  <si>
    <t>https://www.google.com/maps?q=39.235500,-8.684100</t>
  </si>
  <si>
    <t>https://www.google.com/maps?q=38.816700,-9.261100</t>
  </si>
  <si>
    <t>https://www.google.com/maps?q=39.208900,-8.625500</t>
  </si>
  <si>
    <t>https://www.google.com/maps?q=39.241100,-8.788900</t>
  </si>
  <si>
    <t>https://www.google.com/maps?q=38.735500,-9.145200</t>
  </si>
  <si>
    <t>https://www.google.com/maps?q=38.518900,-9.015500</t>
  </si>
  <si>
    <t>https://www.google.com/maps?q=39.461500,-8.196500</t>
  </si>
  <si>
    <t>https://www.google.com/maps?q=39.362200,-9.157200</t>
  </si>
  <si>
    <t>https://www.google.com/maps?q=39.360500,-9.158100</t>
  </si>
  <si>
    <t>https://www.google.com/maps?q=38.711900,-9.138800</t>
  </si>
  <si>
    <t>https://www.google.com/maps?q=39.355500,-9.381100</t>
  </si>
  <si>
    <t>https://www.google.com/maps?q=38.881700,-7.164100</t>
  </si>
  <si>
    <t>https://www.google.com/maps?q=38.571400,-7.913500</t>
  </si>
  <si>
    <t>https://www.google.com/maps?q=38.570800,-7.912200</t>
  </si>
  <si>
    <t>https://www.google.com/maps?q=38.571100,-7.909500</t>
  </si>
  <si>
    <t>https://www.google.com/maps?q=38.570100,-7.911500</t>
  </si>
  <si>
    <t>https://www.google.com/maps?q=39.291100,-7.432200</t>
  </si>
  <si>
    <t>https://www.google.com/maps?q=39.290500,-7.431500</t>
  </si>
  <si>
    <t>https://www.google.com/maps?q=39.293000,-7.435500</t>
  </si>
  <si>
    <t>https://www.google.com/maps?q=38.015500,-7.865500</t>
  </si>
  <si>
    <t>https://www.google.com/maps?q=39.291500,-7.433000</t>
  </si>
  <si>
    <t>https://www.google.com/maps?q=38.014200,-7.864500</t>
  </si>
  <si>
    <t>https://www.google.com/maps?q=38.945500,-8.165200</t>
  </si>
  <si>
    <t>https://www.google.com/maps?q=38.571000,-7.912500</t>
  </si>
  <si>
    <t>https://www.google.com/maps?q=38.015500,-8.697200</t>
  </si>
  <si>
    <t>https://www.google.com/maps?q=38.372500,-8.513000</t>
  </si>
  <si>
    <t>https://www.google.com/maps?q=37.942500,-7.595500</t>
  </si>
  <si>
    <t>https://www.google.com/maps?q=39.415500,-7.454200</t>
  </si>
  <si>
    <t>https://www.google.com/maps?q=38.571800,-7.913000</t>
  </si>
  <si>
    <t>https://www.google.com/maps?q=39.290200,-7.432500</t>
  </si>
  <si>
    <t>https://www.google.com/maps?q=38.777500,-7.417200</t>
  </si>
  <si>
    <t>https://www.google.com/maps?q=37.102200,-8.672500</t>
  </si>
  <si>
    <t>https://www.google.com/maps?q=37.016100,-7.933300</t>
  </si>
  <si>
    <t>https://www.google.com/maps?q=37.138900,-8.021100</t>
  </si>
  <si>
    <t>https://www.google.com/maps?q=37.126100,-7.651100</t>
  </si>
  <si>
    <t>https://www.google.com/maps?q=37.138500,-8.021500</t>
  </si>
  <si>
    <t>https://www.google.com/maps?q=37.016300,-7.933200</t>
  </si>
  <si>
    <t>https://www.google.com/maps?q=37.103000,-8.674500</t>
  </si>
  <si>
    <t>https://www.google.com/maps?q=37.027500,-7.839500</t>
  </si>
  <si>
    <t>https://www.google.com/maps?q=37.316700,-8.555500</t>
  </si>
  <si>
    <t>https://www.google.com/maps?q=37.318500,-8.802500</t>
  </si>
  <si>
    <t>https://www.google.com/maps?q=37.285500,-8.553100</t>
  </si>
  <si>
    <t>https://www.google.com/maps?q=37.137500,-8.536500</t>
  </si>
  <si>
    <t>https://www.google.com/maps?q=37.082500,-8.913100</t>
  </si>
  <si>
    <t>https://www.google.com/maps?q=37.126500,-7.648900</t>
  </si>
  <si>
    <t>https://www.google.com/maps?q=37.088900,-8.251500</t>
  </si>
  <si>
    <t>https://www.google.com/maps?q=37.021500,-7.931500</t>
  </si>
  <si>
    <t>https://www.google.com/maps?q=37.102500,-8.673000</t>
  </si>
  <si>
    <t>https://www.google.com/maps?q=37.139200,-8.020500</t>
  </si>
  <si>
    <t>https://www.google.com/maps?q=37.185500,-8.441100</t>
  </si>
  <si>
    <t>https://www.google.com/maps?q=41.549200,-8.426100</t>
  </si>
  <si>
    <t>https://www.google.com/maps?q=41.375200,-8.309400</t>
  </si>
  <si>
    <t>https://www.google.com/maps?q=41.846800,-8.417900</t>
  </si>
  <si>
    <t>https://www.google.com/maps?q=42.079100,-8.481200</t>
  </si>
  <si>
    <t>https://www.google.com/maps?q=41.514900,-8.774500</t>
  </si>
  <si>
    <t>https://www.google.com/maps?q=41.693100,-8.828500</t>
  </si>
  <si>
    <t>https://www.google.com/maps?q=41.693800,-8.827200</t>
  </si>
  <si>
    <t>https://www.google.com/maps?q=41.551400,-8.425800</t>
  </si>
  <si>
    <t>https://www.google.com/maps?q=41.550800,-8.426900</t>
  </si>
  <si>
    <t>https://www.google.com/maps?q=41.552200,-8.421500</t>
  </si>
  <si>
    <t>https://www.google.com/maps?q=41.767500,-8.583300</t>
  </si>
  <si>
    <t>https://www.google.com/maps?q=41.694200,-8.828800</t>
  </si>
  <si>
    <t>https://www.google.com/maps?q=41.530600,-8.619200</t>
  </si>
  <si>
    <t>https://www.google.com/maps?q=41.758900,-8.601200</t>
  </si>
  <si>
    <t>https://www.google.com/maps?q=41.514200,-8.776100</t>
  </si>
  <si>
    <t>https://www.google.com/maps?q=41.634500,-8.141500</t>
  </si>
  <si>
    <t>https://www.google.com/maps?q=41.442200,-8.294100</t>
  </si>
  <si>
    <t>https://www.google.com/maps?q=41.442900,-8.296500</t>
  </si>
  <si>
    <t>https://www.google.com/maps?q=41.866900,-8.200100</t>
  </si>
  <si>
    <t>https://www.google.com/maps?q=41.543500,-8.431200</t>
  </si>
  <si>
    <t>https://www.google.com/maps?q=41.174200,-7.052500</t>
  </si>
  <si>
    <t>https://www.google.com/maps?q=41.295500,-7.747200</t>
  </si>
  <si>
    <t>https://www.google.com/maps?q=41.916700,-6.783300</t>
  </si>
  <si>
    <t>https://www.google.com/maps?q=41.741200,-7.472500</t>
  </si>
  <si>
    <t>https://www.google.com/maps?q=41.295200,-7.744100</t>
  </si>
  <si>
    <t>https://www.google.com/maps?q=41.833300,-7.000100</t>
  </si>
  <si>
    <t>https://www.google.com/maps?q=41.805500,-6.757200</t>
  </si>
  <si>
    <t>https://www.google.com/maps?q=41.341100,-6.711100</t>
  </si>
  <si>
    <t>https://www.google.com/maps?q=41.295500,-7.745200</t>
  </si>
  <si>
    <t>https://www.google.com/maps?q=41.083300,-7.133300</t>
  </si>
  <si>
    <t>https://www.google.com/maps?q=41.091500,-6.806200</t>
  </si>
  <si>
    <t>https://www.google.com/maps?q=41.801100,-6.765500</t>
  </si>
  <si>
    <t>https://www.google.com/maps?q=41.533300,-6.966700</t>
  </si>
  <si>
    <t>https://www.google.com/maps?q=41.683300,-7.666700</t>
  </si>
  <si>
    <t>https://www.google.com/maps?q=41.341500,-6.711800</t>
  </si>
  <si>
    <t>https://www.google.com/maps?q=41.266700,-7.583300</t>
  </si>
  <si>
    <t>https://www.google.com/maps?q=41.803300,-6.749500</t>
  </si>
  <si>
    <t>https://www.google.com/maps?q=41.584100,-6.532500</t>
  </si>
  <si>
    <t>https://www.google.com/maps?q=41.150000,-7.883300</t>
  </si>
  <si>
    <t>https://www.google.com/maps?q=41.416700,-7.450000</t>
  </si>
  <si>
    <t>https://www.google.com/maps?q=40.641200,-8.652100</t>
  </si>
  <si>
    <t>https://www.google.com/maps?q=39.744100,-8.808100</t>
  </si>
  <si>
    <t>https://www.google.com/maps?q=40.212500,-8.582200</t>
  </si>
  <si>
    <t>https://www.google.com/maps?q=40.211200,-8.427100</t>
  </si>
  <si>
    <t>https://www.google.com/maps?q=40.201900,-8.434200</t>
  </si>
  <si>
    <t>https://www.google.com/maps?q=40.141500,-8.461200</t>
  </si>
  <si>
    <t>https://www.google.com/maps?q=40.167500,-8.567200</t>
  </si>
  <si>
    <t>https://www.google.com/maps?q=40.860100,-8.626200</t>
  </si>
  <si>
    <t>https://www.google.com/maps?q=40.259500,-8.315500</t>
  </si>
  <si>
    <t>https://www.google.com/maps?q=40.375500,-8.452500</t>
  </si>
  <si>
    <t>https://www.google.com/maps?q=40.272500,-8.282500</t>
  </si>
  <si>
    <t>https://www.google.com/maps?q=40.642500,-8.651500</t>
  </si>
  <si>
    <t>https://www.google.com/maps?q=40.612500,-8.751100</t>
  </si>
  <si>
    <t>https://www.google.com/maps?q=40.376100,-8.365500</t>
  </si>
  <si>
    <t>https://www.google.com/maps?q=40.211500,-8.429500</t>
  </si>
  <si>
    <t>https://www.google.com/maps?q=40.210500,-8.429900</t>
  </si>
  <si>
    <t>https://www.google.com/maps?q=40.260500,-8.317500</t>
  </si>
  <si>
    <t>https://www.google.com/maps?q=40.385500,-8.382500</t>
  </si>
  <si>
    <t>https://www.google.com/maps?q=40.642100,-8.650500</t>
  </si>
  <si>
    <t>https://www.google.com/maps?q=40.601500,-8.667500</t>
  </si>
  <si>
    <t>https://www.google.com/maps?q=39.462500,-8.197500</t>
  </si>
  <si>
    <t>https://www.google.com/maps?q=39.823500,-7.494500</t>
  </si>
  <si>
    <t>https://www.google.com/maps?q=40.283000,-7.504000</t>
  </si>
  <si>
    <t>https://www.google.com/maps?q=40.168100,-7.170600</t>
  </si>
  <si>
    <t>https://www.google.com/maps?q=40.402200,-7.538900</t>
  </si>
  <si>
    <t>https://www.google.com/maps?q=40.538500,-7.269000</t>
  </si>
  <si>
    <t>https://www.google.com/maps?q=40.778000,-7.064000</t>
  </si>
  <si>
    <t>https://www.google.com/maps?q=40.078100,-7.491400</t>
  </si>
  <si>
    <t>https://www.google.com/maps?q=40.155000,-7.518100</t>
  </si>
  <si>
    <t>https://www.google.com/maps?q=40.325500,-7.693000</t>
  </si>
  <si>
    <t>https://www.google.com/maps?q=40.038900,-7.114700</t>
  </si>
  <si>
    <t>https://www.google.com/maps?q=39.675000,-8.143100</t>
  </si>
  <si>
    <t>https://www.google.com/maps?q=39.818000,-8.185000</t>
  </si>
  <si>
    <t>https://www.google.com/maps?q=39.566700,-8.933300</t>
  </si>
  <si>
    <t>https://www.google.com/maps?q=39.804000,-8.104500</t>
  </si>
  <si>
    <t>https://www.google.com/maps?q=40.963300,-7.262500</t>
  </si>
  <si>
    <t>https://www.google.com/maps?q=40.779000,-7.350500</t>
  </si>
  <si>
    <t>https://www.google.com/maps?q=39.822200,-7.491100</t>
  </si>
  <si>
    <t>https://www.google.com/maps?q=40.633300,-7.391700</t>
  </si>
  <si>
    <t>https://www.google.com/maps?q=38.697900,-9.206700</t>
  </si>
  <si>
    <t>https://www.google.com/maps?q=38.796700,-9.390100</t>
  </si>
  <si>
    <t>https://www.google.com/maps?q=38.796000,-9.391500</t>
  </si>
  <si>
    <t>https://www.google.com/maps?q=38.697200,-9.421400</t>
  </si>
  <si>
    <t>https://www.google.com/maps?q=38.701100,-9.425200</t>
  </si>
  <si>
    <t>https://www.google.com/maps?q=39.092500,-9.261200</t>
  </si>
  <si>
    <t>https://www.google.com/maps?q=39.500500,-9.108000</t>
  </si>
  <si>
    <t>https://www.google.com/maps?q=39.547800,-8.979500</t>
  </si>
  <si>
    <t>https://www.google.com/maps?q=39.234500,-8.682200</t>
  </si>
  <si>
    <t>https://www.google.com/maps?q=39.238000,-8.687200</t>
  </si>
  <si>
    <t>https://www.google.com/maps?q=38.818000,-9.263500</t>
  </si>
  <si>
    <t>https://www.google.com/maps?q=39.210500,-8.628000</t>
  </si>
  <si>
    <t>https://www.google.com/maps?q=39.236700,-8.685000</t>
  </si>
  <si>
    <t>https://www.google.com/maps?q=38.711800,-9.138900</t>
  </si>
  <si>
    <t>https://www.google.com/maps?q=38.520500,-9.018000</t>
  </si>
  <si>
    <t>https://www.google.com/maps?q=39.462200,-8.197000</t>
  </si>
  <si>
    <t>https://www.google.com/maps?q=39.361500,-9.156500</t>
  </si>
  <si>
    <t>https://www.google.com/maps?q=39.363300,-9.157800</t>
  </si>
  <si>
    <t>https://www.google.com/maps?q=38.713000,-9.141000</t>
  </si>
  <si>
    <t>https://www.google.com/maps?q=39.357000,-9.383000</t>
  </si>
  <si>
    <t>https://www.google.com/maps?q=38.882500,-7.165000</t>
  </si>
  <si>
    <t>https://www.google.com/maps?q=38.572500,-7.915000</t>
  </si>
  <si>
    <t>https://www.google.com/maps?q=38.572100,-7.914000</t>
  </si>
  <si>
    <t>https://www.google.com/maps?q=38.573200,-7.910800</t>
  </si>
  <si>
    <t>https://www.google.com/maps?q=38.568900,-7.908000</t>
  </si>
  <si>
    <t>https://www.google.com/maps?q=39.292500,-7.434500</t>
  </si>
  <si>
    <t>https://www.google.com/maps?q=39.289500,-7.430000</t>
  </si>
  <si>
    <t>https://www.google.com/maps?q=39.416100,-7.455500</t>
  </si>
  <si>
    <t>https://www.google.com/maps?q=37.638900,-7.662500</t>
  </si>
  <si>
    <t>https://www.google.com/maps?q=39.292200,-7.434100</t>
  </si>
  <si>
    <t>https://www.google.com/maps?q=38.016000,-7.867000</t>
  </si>
  <si>
    <t>https://www.google.com/maps?q=38.946500,-8.167000</t>
  </si>
  <si>
    <t>https://www.google.com/maps?q=38.572200,-7.914200</t>
  </si>
  <si>
    <t>https://www.google.com/maps?q=38.371100,-8.514500</t>
  </si>
  <si>
    <t>https://www.google.com/maps?q=38.371500,-8.515500</t>
  </si>
  <si>
    <t>https://www.google.com/maps?q=38.141100,-7.450500</t>
  </si>
  <si>
    <t>https://www.google.com/maps?q=39.417200,-7.456500</t>
  </si>
  <si>
    <t>https://www.google.com/maps?q=38.573500,-7.915500</t>
  </si>
  <si>
    <t>https://www.google.com/maps?q=39.289000,-7.431000</t>
  </si>
  <si>
    <t>https://www.google.com/maps?q=38.805500,-7.455200</t>
  </si>
  <si>
    <t>https://www.google.com/maps?q=37.101500,-8.674000</t>
  </si>
  <si>
    <t>https://www.google.com/maps?q=37.017500,-7.935000</t>
  </si>
  <si>
    <t>https://www.google.com/maps?q=37.140200,-8.023500</t>
  </si>
  <si>
    <t>https://www.google.com/maps?q=37.125500,-7.649500</t>
  </si>
  <si>
    <t>https://www.google.com/maps?q=37.218900,-7.443100</t>
  </si>
  <si>
    <t>https://www.google.com/maps?q=37.026100,-7.841500</t>
  </si>
  <si>
    <t>https://www.google.com/maps?q=37.101800,-8.673900</t>
  </si>
  <si>
    <t>https://www.google.com/maps?q=37.102000,-8.672000</t>
  </si>
  <si>
    <t>https://www.google.com/maps?q=37.026800,-7.841000</t>
  </si>
  <si>
    <t>https://www.google.com/maps?q=37.188900,-8.438900</t>
  </si>
  <si>
    <t>https://www.google.com/maps?q=37.319500,-8.803500</t>
  </si>
  <si>
    <t>https://www.google.com/maps?q=37.317500,-8.556200</t>
  </si>
  <si>
    <t>https://www.google.com/maps?q=37.138200,-8.534500</t>
  </si>
  <si>
    <t>https://www.google.com/maps?q=37.005500,-8.938900</t>
  </si>
  <si>
    <t>https://www.google.com/maps?q=37.078900,-8.118900</t>
  </si>
  <si>
    <t>https://www.google.com/maps?q=37.124500,-8.300500</t>
  </si>
  <si>
    <t>https://www.google.com/maps?q=37.016500,-7.933500</t>
  </si>
  <si>
    <t>https://www.google.com/maps?q=37.138500,-8.537200</t>
  </si>
  <si>
    <t>https://www.google.com/maps?q=37.215500,-7.925500</t>
  </si>
  <si>
    <t>https://www.google.com/maps?q=37.131500,-8.532200</t>
  </si>
  <si>
    <t>41.973900, -8.373600</t>
  </si>
  <si>
    <t>41.941200, -8.745600</t>
  </si>
  <si>
    <t>41.681100, -8.829500</t>
  </si>
  <si>
    <t>41.761800, -8.631500</t>
  </si>
  <si>
    <t>41.808300, -8.420800</t>
  </si>
  <si>
    <t>41.874400, -8.847500</t>
  </si>
  <si>
    <t>41.859500, -8.852500</t>
  </si>
  <si>
    <t>41.547200, -8.431200</t>
  </si>
  <si>
    <t>41.533200, -8.781100</t>
  </si>
  <si>
    <t>41.444400, -8.296500</t>
  </si>
  <si>
    <t>41.374500, -8.311100</t>
  </si>
  <si>
    <t>41.718800, -8.312500</t>
  </si>
  <si>
    <t>41.411300, -8.514700</t>
  </si>
  <si>
    <t>41.631500, -8.452200</t>
  </si>
  <si>
    <t>40.952600, -8.175800</t>
  </si>
  <si>
    <t>41.139400, -8.665500</t>
  </si>
  <si>
    <t>41.063100, -8.657800</t>
  </si>
  <si>
    <t>41.336100, -8.473600</t>
  </si>
  <si>
    <t>41.341100, -8.745500</t>
  </si>
  <si>
    <t>41.047500, -8.654100</t>
  </si>
  <si>
    <t>41.185500, -8.495000</t>
  </si>
  <si>
    <t>41.275000, -8.381100</t>
  </si>
  <si>
    <t>41.078800, -8.285500</t>
  </si>
  <si>
    <t>41.141500, -8.561100</t>
  </si>
  <si>
    <t>41.271100, -8.075500</t>
  </si>
  <si>
    <t>41.291100, -7.741100</t>
  </si>
  <si>
    <t>41.605500, -7.311100</t>
  </si>
  <si>
    <t>41.145500, -7.531100</t>
  </si>
  <si>
    <t>41.161100, -7.111100</t>
  </si>
  <si>
    <t>41.551100, -7.181100</t>
  </si>
  <si>
    <t>41.801100, -6.751100</t>
  </si>
  <si>
    <t>41.341100, -6.711100</t>
  </si>
  <si>
    <t>40.951100, -8.641100</t>
  </si>
  <si>
    <t>40.851100, -8.651100</t>
  </si>
  <si>
    <t>40.731100, -8.361100</t>
  </si>
  <si>
    <t>40.985500, -8.511100</t>
  </si>
  <si>
    <t>40.751100, -8.565500</t>
  </si>
  <si>
    <t>40.611100, -8.751100</t>
  </si>
  <si>
    <t>40.851100, -8.391100</t>
  </si>
  <si>
    <t>40.648100, -8.647500</t>
  </si>
  <si>
    <t>40.572100, -8.448500</t>
  </si>
  <si>
    <t>40.672000, -8.455000</t>
  </si>
  <si>
    <t>40.565500, -8.531100</t>
  </si>
  <si>
    <t>40.545000, -7.362000</t>
  </si>
  <si>
    <t>40.231100, -8.651100</t>
  </si>
  <si>
    <t>39.951100, -8.241100</t>
  </si>
  <si>
    <t>40.203000, -8.428500</t>
  </si>
  <si>
    <t>40.332200, -8.845500</t>
  </si>
  <si>
    <t>40.375500, -8.361100</t>
  </si>
  <si>
    <t>40.111100, -8.511100</t>
  </si>
  <si>
    <t>40.155500, -8.111100</t>
  </si>
  <si>
    <t>40.101100, -8.231100</t>
  </si>
  <si>
    <t>40.121100, -8.151100</t>
  </si>
  <si>
    <t>40.641100, -7.925500</t>
  </si>
  <si>
    <t>40.395500, -8.221100</t>
  </si>
  <si>
    <t>40.725500, -8.111100</t>
  </si>
  <si>
    <t>41.085500, -7.951100</t>
  </si>
  <si>
    <t>41.081100, -7.111100</t>
  </si>
  <si>
    <t>40.401100, -7.531100</t>
  </si>
  <si>
    <t>40.771100, -7.221100</t>
  </si>
  <si>
    <t>40.011100, -7.781100</t>
  </si>
  <si>
    <t>39.911100, -7.231100</t>
  </si>
  <si>
    <t>40.001100, -6.881100</t>
  </si>
  <si>
    <t>39.821100, -7.501100</t>
  </si>
  <si>
    <t>39.431100, -9.221100</t>
  </si>
  <si>
    <t>39.745500, -8.811100</t>
  </si>
  <si>
    <t>39.601100, -9.071100</t>
  </si>
  <si>
    <t>39.511100, -9.131100</t>
  </si>
  <si>
    <t>39.911100, -8.621100</t>
  </si>
  <si>
    <t>39.915500, -8.131100</t>
  </si>
  <si>
    <t>39.605500, -9.075500</t>
  </si>
  <si>
    <t>39.451100, -8.331100</t>
  </si>
  <si>
    <t>39.601100, -8.411100</t>
  </si>
  <si>
    <t>39.461100, -8.201100</t>
  </si>
  <si>
    <t>39.441100, -8.701100</t>
  </si>
  <si>
    <t>39.481100, -8.531100</t>
  </si>
  <si>
    <t>39.531100, -8.811100</t>
  </si>
  <si>
    <t>38.955500, -8.521100</t>
  </si>
  <si>
    <t>39.681100, -8.231100</t>
  </si>
  <si>
    <t>38.775200, -9.298500</t>
  </si>
  <si>
    <t>38.701100, -9.398500</t>
  </si>
  <si>
    <t>38.694500, -9.421100</t>
  </si>
  <si>
    <t>38.725500, -9.475000</t>
  </si>
  <si>
    <t>38.945500, -9.411100</t>
  </si>
  <si>
    <t>38.961100, -9.311100</t>
  </si>
  <si>
    <t>38.865500, -9.448500</t>
  </si>
  <si>
    <t>38.796500, -9.396100</t>
  </si>
  <si>
    <t>38.981100, -9.418800</t>
  </si>
  <si>
    <t>38.705500, -9.281100</t>
  </si>
  <si>
    <t>38.694100, -9.215500</t>
  </si>
  <si>
    <t>38.751100, -9.091100</t>
  </si>
  <si>
    <t>38.951100, -8.991100</t>
  </si>
  <si>
    <t>38.855500, -9.061100</t>
  </si>
  <si>
    <t>38.805500, -9.451100</t>
  </si>
  <si>
    <t>38.881100, -9.031100</t>
  </si>
  <si>
    <t>38.695500, -9.231100</t>
  </si>
  <si>
    <t>38.705500, -9.251100</t>
  </si>
  <si>
    <t>38.641100, -9.101100</t>
  </si>
  <si>
    <t>38.751100, -8.961100</t>
  </si>
  <si>
    <t>38.501100, -8.811100</t>
  </si>
  <si>
    <t>38.511100, -9.175500</t>
  </si>
  <si>
    <t>38.701100, -8.971100</t>
  </si>
  <si>
    <t>38.641100, -9.141100</t>
  </si>
  <si>
    <t>38.685500, -9.145500</t>
  </si>
  <si>
    <t>38.981100, -8.791100</t>
  </si>
  <si>
    <t>38.981100, -8.811100</t>
  </si>
  <si>
    <t>39.061100, -8.751100</t>
  </si>
  <si>
    <t>39.545500, -8.971100</t>
  </si>
  <si>
    <t>39.365500, -9.375500</t>
  </si>
  <si>
    <t>39.401100, -9.181100</t>
  </si>
  <si>
    <t>39.135500, -9.371100</t>
  </si>
  <si>
    <t>39.091100, -9.261100</t>
  </si>
  <si>
    <t>38.565500, -8.901100</t>
  </si>
  <si>
    <t>39.401100, -8.481100</t>
  </si>
  <si>
    <t>39.231100, -8.675500</t>
  </si>
  <si>
    <t>39.385500, -8.511100</t>
  </si>
  <si>
    <t>39.055500, -8.961100</t>
  </si>
  <si>
    <t>37.851500, -8.793200</t>
  </si>
  <si>
    <t>38.118500, -8.791100</t>
  </si>
  <si>
    <t>37.523500, -8.785500</t>
  </si>
  <si>
    <t>37.725500, -8.781100</t>
  </si>
  <si>
    <t>37.595500, -8.815000</t>
  </si>
  <si>
    <t>37.868500, -8.791500</t>
  </si>
  <si>
    <t>37.955500, -8.861100</t>
  </si>
  <si>
    <t>37.805500, -7.631100</t>
  </si>
  <si>
    <t>38.015500, -7.861100</t>
  </si>
  <si>
    <t>37.875500, -8.161100</t>
  </si>
  <si>
    <t>37.641100, -7.661100</t>
  </si>
  <si>
    <t>38.185500, -8.151100</t>
  </si>
  <si>
    <t>37.941100, -7.595500</t>
  </si>
  <si>
    <t>37.951100, -7.611100</t>
  </si>
  <si>
    <t>38.581100, -7.915500</t>
  </si>
  <si>
    <t>38.441100, -7.361100</t>
  </si>
  <si>
    <t>38.725500, -7.985500</t>
  </si>
  <si>
    <t>38.275500, -7.531100</t>
  </si>
  <si>
    <t>38.781100, -7.421100</t>
  </si>
  <si>
    <t>38.211100, -7.341100</t>
  </si>
  <si>
    <t>38.411100, -7.511100</t>
  </si>
  <si>
    <t>39.485500, -7.961100</t>
  </si>
  <si>
    <t>39.415500, -7.455500</t>
  </si>
  <si>
    <t>39.381100, -7.385500</t>
  </si>
  <si>
    <t>38.641100, -8.211100</t>
  </si>
  <si>
    <t>39.071100, -8.171100</t>
  </si>
  <si>
    <t>39.251100, -8.011100</t>
  </si>
  <si>
    <t>38.941100, -8.165500</t>
  </si>
  <si>
    <t>39.011100, -7.071100</t>
  </si>
  <si>
    <t>39.191100, -7.651100</t>
  </si>
  <si>
    <t>38.895500, -7.161100</t>
  </si>
  <si>
    <t>39.291100, -7.421100</t>
  </si>
  <si>
    <t>39.311100, -7.431100</t>
  </si>
  <si>
    <t>39.055500, -7.891100</t>
  </si>
  <si>
    <t>38.195500, -7.451100</t>
  </si>
  <si>
    <t>38.675500, -8.451100</t>
  </si>
  <si>
    <t>38.311100, -7.321100</t>
  </si>
  <si>
    <t>40.041100, -7.011100</t>
  </si>
  <si>
    <t>38.441100, -7.381100</t>
  </si>
  <si>
    <t>37.671100, -7.501100</t>
  </si>
  <si>
    <t>37.185500, -7.421100</t>
  </si>
  <si>
    <t>37.165500, -7.521100</t>
  </si>
  <si>
    <t>37.155500, -7.545000</t>
  </si>
  <si>
    <t>37.111100, -7.625500</t>
  </si>
  <si>
    <t>37.091100, -7.661100</t>
  </si>
  <si>
    <t>37.025500, -7.841100</t>
  </si>
  <si>
    <t>37.031100, -7.985500</t>
  </si>
  <si>
    <t>37.008500, -7.991100</t>
  </si>
  <si>
    <t>37.025500, -8.015500</t>
  </si>
  <si>
    <t>37.051100, -8.061100</t>
  </si>
  <si>
    <t>37.075500, -8.125500</t>
  </si>
  <si>
    <t>37.085500, -8.325500</t>
  </si>
  <si>
    <t>37.101100, -8.355500</t>
  </si>
  <si>
    <t>37.185500, -8.441100</t>
  </si>
  <si>
    <t>37.125500, -8.595500</t>
  </si>
  <si>
    <t>37.094500, -8.468500</t>
  </si>
  <si>
    <t>37.111100, -8.521100</t>
  </si>
  <si>
    <t>37.081100, -8.669500</t>
  </si>
  <si>
    <t>37.115500, -8.641100</t>
  </si>
  <si>
    <t>37.085500, -8.725500</t>
  </si>
  <si>
    <t>36.995500, -8.948500</t>
  </si>
  <si>
    <t>37.021100, -8.961100</t>
  </si>
  <si>
    <t>37.191100, -8.901100</t>
  </si>
  <si>
    <t>37.165500, -8.901100</t>
  </si>
  <si>
    <t>37.441100, -8.798500</t>
  </si>
  <si>
    <t>37.341100, -8.851100</t>
  </si>
  <si>
    <t>37.031100, -7.841100</t>
  </si>
  <si>
    <t>37.331100, -7.485500</t>
  </si>
  <si>
    <t>37.471100, -7.471100</t>
  </si>
  <si>
    <t>37.311100, -8.551100</t>
  </si>
  <si>
    <t>37.211100, -7.451100</t>
  </si>
  <si>
    <t>37.195500, -8.001100</t>
  </si>
  <si>
    <t>37.251100, -8.095500</t>
  </si>
  <si>
    <t>37.085500, -7.861100</t>
  </si>
  <si>
    <t>37.125500, -7.645000</t>
  </si>
  <si>
    <t>37.135500, -8.621100</t>
  </si>
  <si>
    <t>37.235500, -8.175500</t>
  </si>
  <si>
    <t>37.095500, -8.331100</t>
  </si>
  <si>
    <t>37.181100, -7.411100</t>
  </si>
  <si>
    <t>37.801100, -7.611100</t>
  </si>
  <si>
    <t>41.846500, -8.418200</t>
  </si>
  <si>
    <t>41.956700, -8.384200</t>
  </si>
  <si>
    <t>42.079200, -8.483100</t>
  </si>
  <si>
    <t>41.611100, -8.791200</t>
  </si>
  <si>
    <t>41.815200, -8.455000</t>
  </si>
  <si>
    <t>41.848000, -8.865000</t>
  </si>
  <si>
    <t>41.528500, -8.448500</t>
  </si>
  <si>
    <t>41.484200, -8.773400</t>
  </si>
  <si>
    <t>41.411100, -8.241200</t>
  </si>
  <si>
    <t>41.368500, -8.305000</t>
  </si>
  <si>
    <t>41.725000, -8.305500</t>
  </si>
  <si>
    <t>41.405500, -8.520100</t>
  </si>
  <si>
    <t>41.615000, -8.481100</t>
  </si>
  <si>
    <t>40.992900, -8.211400</t>
  </si>
  <si>
    <t>41.008300, -8.644700</t>
  </si>
  <si>
    <t>41.045000, -8.655000</t>
  </si>
  <si>
    <t>41.328000, -8.485000</t>
  </si>
  <si>
    <t>41.321100, -8.735000</t>
  </si>
  <si>
    <t>41.031200, -8.652000</t>
  </si>
  <si>
    <t>41.171100, -8.481100</t>
  </si>
  <si>
    <t>41.261100, -8.395000</t>
  </si>
  <si>
    <t>41.085000, -8.291100</t>
  </si>
  <si>
    <t>41.102200, -8.501100</t>
  </si>
  <si>
    <t>41.481100, -8.012200</t>
  </si>
  <si>
    <t>41.285500, -7.731100</t>
  </si>
  <si>
    <t>41.581100, -7.345500</t>
  </si>
  <si>
    <t>41.151100, -7.525500</t>
  </si>
  <si>
    <t>41.241100, -7.011100</t>
  </si>
  <si>
    <t>41.562200, -7.195000</t>
  </si>
  <si>
    <t>41.815500, -6.741100</t>
  </si>
  <si>
    <t>41.332200, -6.701100</t>
  </si>
  <si>
    <t>40.811100, -8.665500</t>
  </si>
  <si>
    <t>40.711100, -8.311100</t>
  </si>
  <si>
    <t>40.971100, -8.501100</t>
  </si>
  <si>
    <t>40.741100, -8.581100</t>
  </si>
  <si>
    <t>40.581100, -8.761100</t>
  </si>
  <si>
    <t>40.842200, -8.381100</t>
  </si>
  <si>
    <t>40.718800, -8.563800</t>
  </si>
  <si>
    <t>40.576500, -8.435000</t>
  </si>
  <si>
    <t>40.655000, -8.411100</t>
  </si>
  <si>
    <t>40.551100, -8.511100</t>
  </si>
  <si>
    <t>40.598000, -7.345000</t>
  </si>
  <si>
    <t>40.155500, -8.811100</t>
  </si>
  <si>
    <t>40.195000, -8.421100</t>
  </si>
  <si>
    <t>40.351100, -8.851100</t>
  </si>
  <si>
    <t>40.095500, -8.525500</t>
  </si>
  <si>
    <t>40.141100, -8.125500</t>
  </si>
  <si>
    <t>40.095500, -8.241100</t>
  </si>
  <si>
    <t>40.135500, -8.141100</t>
  </si>
  <si>
    <t>40.401100, -8.125500</t>
  </si>
  <si>
    <t>40.411100, -8.211100</t>
  </si>
  <si>
    <t>40.735500, -8.121100</t>
  </si>
  <si>
    <t>41.101100, -7.941100</t>
  </si>
  <si>
    <t>41.065500, -7.121100</t>
  </si>
  <si>
    <t>40.381100, -7.545500</t>
  </si>
  <si>
    <t>40.785500, -7.211100</t>
  </si>
  <si>
    <t>39.995500, -7.791100</t>
  </si>
  <si>
    <t>39.895500, -7.251100</t>
  </si>
  <si>
    <t>39.805500, -7.521100</t>
  </si>
  <si>
    <t>39.411100, -9.211100</t>
  </si>
  <si>
    <t>39.755500, -8.795500</t>
  </si>
  <si>
    <t>39.755500, -9.031100</t>
  </si>
  <si>
    <t>39.505500, -9.141100</t>
  </si>
  <si>
    <t>39.925500, -8.611100</t>
  </si>
  <si>
    <t>39.921100, -8.121100</t>
  </si>
  <si>
    <t>39.461100, -8.351100</t>
  </si>
  <si>
    <t>39.585500, -8.421100</t>
  </si>
  <si>
    <t>39.471100, -8.541100</t>
  </si>
  <si>
    <t>38.961100, -8.511100</t>
  </si>
  <si>
    <t>38.791100, -9.312200</t>
  </si>
  <si>
    <t>38.695500, -9.418800</t>
  </si>
  <si>
    <t>38.709500, -9.471500</t>
  </si>
  <si>
    <t>38.931100, -9.398500</t>
  </si>
  <si>
    <t>38.875500, -9.451100</t>
  </si>
  <si>
    <t>38.796100, -9.400500</t>
  </si>
  <si>
    <t>38.995500, -9.421100</t>
  </si>
  <si>
    <t>38.705500, -9.171100</t>
  </si>
  <si>
    <t>38.791100, -9.095500</t>
  </si>
  <si>
    <t>38.921100, -9.011100</t>
  </si>
  <si>
    <t>38.871100, -9.041100</t>
  </si>
  <si>
    <t>38.801100, -9.411100</t>
  </si>
  <si>
    <t>38.655500, -9.081100</t>
  </si>
  <si>
    <t>38.741100, -8.941100</t>
  </si>
  <si>
    <t>38.681100, -9.155500</t>
  </si>
  <si>
    <t>37.842000, -8.791500</t>
  </si>
  <si>
    <t>38.105000, -8.785000</t>
  </si>
  <si>
    <t>37.518000, -8.789000</t>
  </si>
  <si>
    <t>37.715000, -8.771000</t>
  </si>
  <si>
    <t>38.031100, -7.841100</t>
  </si>
  <si>
    <t>38.651100, -7.941100</t>
  </si>
  <si>
    <t>39.475500, -7.981100</t>
  </si>
  <si>
    <t>37.171100, -7.435000</t>
  </si>
  <si>
    <t>37.161100, -7.535000</t>
  </si>
  <si>
    <t>37.125500, -7.641100</t>
  </si>
  <si>
    <t>37.035500, -7.821100</t>
  </si>
  <si>
    <t>37.015500, -8.011100</t>
  </si>
  <si>
    <t>37.085500, -8.151100</t>
  </si>
  <si>
    <t>37.105500, -8.371100</t>
  </si>
  <si>
    <t>37.121100, -8.611100</t>
  </si>
  <si>
    <t>37.096500, -8.461100</t>
  </si>
  <si>
    <t>37.091100, -8.675500</t>
  </si>
  <si>
    <t>37.125500, -8.621100</t>
  </si>
  <si>
    <t>37.195500, -8.911100</t>
  </si>
  <si>
    <t>37.051100, -7.745000</t>
  </si>
  <si>
    <t>FastAPI + MongoDB + IQ Engine (M1–M19)  ·  Multi-tenant (tenant_id)  ·  Campos normalizados prontos para PyMongo  ·  Portugal-Vivo/backend/models/</t>
  </si>
  <si>
    <t>📐  SCHEMA CANÓNICO  —  Documento MongoDB  (colecção: pois)</t>
  </si>
  <si>
    <t>Campo MongoDB</t>
  </si>
  <si>
    <t>Tipo BSON</t>
  </si>
  <si>
    <t>Obrigatório</t>
  </si>
  <si>
    <t>Índice</t>
  </si>
  <si>
    <t>Origem Excel (coluna)</t>
  </si>
  <si>
    <t>Módulo IQ</t>
  </si>
  <si>
    <t>_id</t>
  </si>
  <si>
    <t>ObjectId</t>
  </si>
  <si>
    <t>✅ Sim</t>
  </si>
  <si>
    <t>Primary</t>
  </si>
  <si>
    <t>Auto-gerado por MongoDB</t>
  </si>
  <si>
    <t>tenant_id</t>
  </si>
  <si>
    <t>String</t>
  </si>
  <si>
    <t>Compound (1)</t>
  </si>
  <si>
    <t>Multi-tenant: 'portugal_vivo' | 'parceiro_X'</t>
  </si>
  <si>
    <t>poi_id</t>
  </si>
  <si>
    <t>Unique</t>
  </si>
  <si>
    <t>Base POI: col A</t>
  </si>
  <si>
    <t>Ex: NORTE_006  /  ARQGEO_001</t>
  </si>
  <si>
    <t>M8 slug</t>
  </si>
  <si>
    <t>slug</t>
  </si>
  <si>
    <t>URL-safe kebab: citania-de-briteiros</t>
  </si>
  <si>
    <t>nome</t>
  </si>
  <si>
    <t>Text</t>
  </si>
  <si>
    <t>col B (Nome/Sítio/POI)</t>
  </si>
  <si>
    <t>Nome oficial do ponto de interesse</t>
  </si>
  <si>
    <t>M1 semântico</t>
  </si>
  <si>
    <t>categoria</t>
  </si>
  <si>
    <t>Compound (2)</t>
  </si>
  <si>
    <t>col D/F (Categoria)</t>
  </si>
  <si>
    <t>Natureza | História | Gastronomia | Cultura | Mar | Experiências</t>
  </si>
  <si>
    <t>M2 cognitivo</t>
  </si>
  <si>
    <t>subcategoria</t>
  </si>
  <si>
    <t>❌ Não</t>
  </si>
  <si>
    <t>Compound (3)</t>
  </si>
  <si>
    <t>col E/G (Tipologia)</t>
  </si>
  <si>
    <t>Ex: Arqueologia | Paleontologia | Geologia | Municipal</t>
  </si>
  <si>
    <t>regiao</t>
  </si>
  <si>
    <t>Compound (4)</t>
  </si>
  <si>
    <t>col C/D (Região)</t>
  </si>
  <si>
    <t>Norte | Centro | Lisboa | Alentejo | Algarve | Açores | Madeira</t>
  </si>
  <si>
    <t>M5 endereço</t>
  </si>
  <si>
    <t>distrito</t>
  </si>
  <si>
    <t>Index</t>
  </si>
  <si>
    <t>col D (Distrito)</t>
  </si>
  <si>
    <t>Distrito administrativo PT</t>
  </si>
  <si>
    <t>concelho</t>
  </si>
  <si>
    <t>col E (Concelho)</t>
  </si>
  <si>
    <t>Município PT</t>
  </si>
  <si>
    <t>morada</t>
  </si>
  <si>
    <t>col H/E (Morada)</t>
  </si>
  <si>
    <t>Endereço postal completo</t>
  </si>
  <si>
    <t>codigo_postal</t>
  </si>
  <si>
    <t>col E (Cód. Postal)</t>
  </si>
  <si>
    <t>Formato XXXX-XXX</t>
  </si>
  <si>
    <t>location</t>
  </si>
  <si>
    <t>GeoJSON Point</t>
  </si>
  <si>
    <t>2dsphere</t>
  </si>
  <si>
    <t>col I / GPS (Maps)</t>
  </si>
  <si>
    <t>{ type:'Point', coordinates:[lon,lat] }</t>
  </si>
  <si>
    <t>gps_inicio</t>
  </si>
  <si>
    <t>col D (GPS Início)</t>
  </si>
  <si>
    <t>Percursos/Ecovias: lat,lon partida</t>
  </si>
  <si>
    <t>gps_fim</t>
  </si>
  <si>
    <t>col E (GPS Fim)</t>
  </si>
  <si>
    <t>Percursos/Ecovias: lat,lon chegada</t>
  </si>
  <si>
    <t>descricao</t>
  </si>
  <si>
    <t>col G/I/K (Descrição)</t>
  </si>
  <si>
    <t>Texto curto ~100-300 chars</t>
  </si>
  <si>
    <t>M9 descrição</t>
  </si>
  <si>
    <t>descricao_longa</t>
  </si>
  <si>
    <t>col G/K (Descrição)</t>
  </si>
  <si>
    <t>Versão enciclopédia / longa</t>
  </si>
  <si>
    <t>horario</t>
  </si>
  <si>
    <t>col F/H (Horário)</t>
  </si>
  <si>
    <t>Ex: Ter-Dom 10h-17h; Fechado 2ª feira</t>
  </si>
  <si>
    <t>preco</t>
  </si>
  <si>
    <t>col G (Preço/Visita)</t>
  </si>
  <si>
    <t>Ex: Adulto 4€; &lt;12 Grátis</t>
  </si>
  <si>
    <t>contacto</t>
  </si>
  <si>
    <t>col F (Contacto)</t>
  </si>
  <si>
    <t>Telefone ou email</t>
  </si>
  <si>
    <t>website</t>
  </si>
  <si>
    <t>col G/H (Website)</t>
  </si>
  <si>
    <t>URL do site oficial</t>
  </si>
  <si>
    <t>tipologia</t>
  </si>
  <si>
    <t>col F/G (Tipologia)</t>
  </si>
  <si>
    <t>Ex: Municipal | Nacional | Privado</t>
  </si>
  <si>
    <t>M10 temático</t>
  </si>
  <si>
    <t>periodo_historico</t>
  </si>
  <si>
    <t>col C (Período)</t>
  </si>
  <si>
    <t>Ex: Pré-Séc. XII — Castelos</t>
  </si>
  <si>
    <t>raridade</t>
  </si>
  <si>
    <t>Base POI: col I</t>
  </si>
  <si>
    <t>Comum | Incomum | Raro | Épico | Lendário</t>
  </si>
  <si>
    <t>M7 scoring</t>
  </si>
  <si>
    <t>emoji</t>
  </si>
  <si>
    <t>Base POI: col J</t>
  </si>
  <si>
    <t>Emoji representativo do POI</t>
  </si>
  <si>
    <t>audio_duracao_seg</t>
  </si>
  <si>
    <t>Int32</t>
  </si>
  <si>
    <t>Base POI: col K</t>
  </si>
  <si>
    <t>Duração áudio-guia em segundos</t>
  </si>
  <si>
    <t>estado</t>
  </si>
  <si>
    <t>Base POI: col L</t>
  </si>
  <si>
    <t>Ativo | Inativo | Rascunho | Arquivo</t>
  </si>
  <si>
    <t>folha_origem</t>
  </si>
  <si>
    <t>Nome da folha Excel</t>
  </si>
  <si>
    <t>Ex: Castelos | Museus | Percursos Pedestres</t>
  </si>
  <si>
    <t>M11 routing</t>
  </si>
  <si>
    <t>tags</t>
  </si>
  <si>
    <t>Array[String]</t>
  </si>
  <si>
    <t>Ex: ['UNESCO','geoparque','romano']</t>
  </si>
  <si>
    <t>pois_relacionados</t>
  </si>
  <si>
    <t>Array[ObjectId]</t>
  </si>
  <si>
    <t>poi_ids relacionados (dedup/semântico)</t>
  </si>
  <si>
    <t>M6 dedup</t>
  </si>
  <si>
    <t>imagens</t>
  </si>
  <si>
    <t>Array[Object]</t>
  </si>
  <si>
    <t>[{url, cloudinary_id, alt, prompt_ia}]</t>
  </si>
  <si>
    <t>M3 imagem</t>
  </si>
  <si>
    <t>prompt_ia_a</t>
  </si>
  <si>
    <t>Base POI: col O</t>
  </si>
  <si>
    <t>Prompt Cloudinary — plano geral</t>
  </si>
  <si>
    <t>prompt_ia_b</t>
  </si>
  <si>
    <t>Prompt Cloudinary — detalhe/textura</t>
  </si>
  <si>
    <t>score_iq</t>
  </si>
  <si>
    <t>Double</t>
  </si>
  <si>
    <t>Score IQ Engine 0–100 (qualidade registo)</t>
  </si>
  <si>
    <t>enriquecido</t>
  </si>
  <si>
    <t>Boolean</t>
  </si>
  <si>
    <t>true após todos os módulos IQ Engine</t>
  </si>
  <si>
    <t>M8 enriquecimento</t>
  </si>
  <si>
    <t>created_at</t>
  </si>
  <si>
    <t>Date</t>
  </si>
  <si>
    <t>UTC ISO 8601 — data de criação</t>
  </si>
  <si>
    <t>updated_at</t>
  </si>
  <si>
    <t>UTC ISO 8601 — última actualização</t>
  </si>
  <si>
    <t>source_sheet_row</t>
  </si>
  <si>
    <t>Linha Excel</t>
  </si>
  <si>
    <t>Rastreabilidade à linha de origem</t>
  </si>
  <si>
    <t>campos_especificos</t>
  </si>
  <si>
    <t>Object</t>
  </si>
  <si>
    <t>Colunas extra por folha</t>
  </si>
  <si>
    <t>Sub-doc para campos únicos por categoria</t>
  </si>
  <si>
    <t>🗂️  MAPEAMENTO DE FOLHAS  —  Colecção MongoDB por folha Excel  (48 folhas → pois + colecções auxiliares)</t>
  </si>
  <si>
    <t>Folha Excel</t>
  </si>
  <si>
    <t>Categoria MongoDB</t>
  </si>
  <si>
    <t>Colecção</t>
  </si>
  <si>
    <t>Campos Específicos Únicos</t>
  </si>
  <si>
    <t>Entradas</t>
  </si>
  <si>
    <t>Observações / tenant routing</t>
  </si>
  <si>
    <t>Sistema</t>
  </si>
  <si>
    <t>pois (mestra)</t>
  </si>
  <si>
    <t>poi_id, raridade, emoji, audio_duracao_seg, prompt_ia_a/b</t>
  </si>
  <si>
    <t>Tabela mestre — todos os POIs com ID canónico</t>
  </si>
  <si>
    <t>categorias</t>
  </si>
  <si>
    <t>categoria, descricao, folhas, poi_total</t>
  </si>
  <si>
    <t>Enum de categorias — seed data</t>
  </si>
  <si>
    <t>História &amp; Património</t>
  </si>
  <si>
    <t>pois</t>
  </si>
  <si>
    <t>tipologia (Arqueologia|Geologia|Paleontologia)</t>
  </si>
  <si>
    <t>folha_origem: 'Arqueologia'</t>
  </si>
  <si>
    <t>folha_origem: 'Castelos'</t>
  </si>
  <si>
    <t>tipologia (Municipal|Nacional|Privado)</t>
  </si>
  <si>
    <t>folha_origem: 'Museus'</t>
  </si>
  <si>
    <t>periodo_historico, tipologia</t>
  </si>
  <si>
    <t>folha_origem: 'Palácios e Solares'</t>
  </si>
  <si>
    <t>folha_origem: 'Arte Urbana'</t>
  </si>
  <si>
    <t>folha_origem: 'Património Ferroviário'</t>
  </si>
  <si>
    <t>pois + percursos</t>
  </si>
  <si>
    <t>distancia, duracao, dificuldade, tipo, alt_max, melhor_epoca, pontos_interesse</t>
  </si>
  <si>
    <t>colecção: percursos — campos_especificos expandidos</t>
  </si>
  <si>
    <t>gps_inicio, gps_fim, extensao, tipo, servicos, poi_principal</t>
  </si>
  <si>
    <t>colecção: percursos</t>
  </si>
  <si>
    <t>pois + biodiversidade</t>
  </si>
  <si>
    <t>nome_cientifico, especie, habitat</t>
  </si>
  <si>
    <t>colecção auxiliar: biodiversidade</t>
  </si>
  <si>
    <t>nome_cientifico, familia, florescimento</t>
  </si>
  <si>
    <t>nome_cientifico, jardim_botanico</t>
  </si>
  <si>
    <t>atividade, nivel, equipamento</t>
  </si>
  <si>
    <t>folha_origem: 'Aventura'</t>
  </si>
  <si>
    <t>especialidade</t>
  </si>
  <si>
    <t>folha_origem: 'Natureza Especializada'</t>
  </si>
  <si>
    <t>avistamentos</t>
  </si>
  <si>
    <t>especie, data, local, observador</t>
  </si>
  <si>
    <t>colecção: avistamentos — GBIF/CP integração</t>
  </si>
  <si>
    <t>altitude, tipo_vista</t>
  </si>
  <si>
    <t>folha_origem: 'Miradouros'</t>
  </si>
  <si>
    <t>Barragens e Albufeiras</t>
  </si>
  <si>
    <t>capacidade, rio, bacia</t>
  </si>
  <si>
    <t>folha_origem: 'Barragens'</t>
  </si>
  <si>
    <t>altura_queda, acesso, epoca_caudal</t>
  </si>
  <si>
    <t>folha_origem: 'Cascatas'</t>
  </si>
  <si>
    <t>Mar</t>
  </si>
  <si>
    <t>nivel, orientacao, tipo_onda</t>
  </si>
  <si>
    <t>folha_origem: 'Surf'</t>
  </si>
  <si>
    <t>tipo, qualidade_agua, ilha</t>
  </si>
  <si>
    <t>folha_origem: 'Praias Fluviais'</t>
  </si>
  <si>
    <t>qualidade, tipo, ilha</t>
  </si>
  <si>
    <t>folha_origem: 'Praias Bandeira Azul'</t>
  </si>
  <si>
    <t>especialidade, preco_medio, contacto</t>
  </si>
  <si>
    <t>folha_origem: 'Restaurantes'</t>
  </si>
  <si>
    <t>especialidade, ano_fundacao</t>
  </si>
  <si>
    <t>folha_origem: 'Tabernas'</t>
  </si>
  <si>
    <t>pois + eventos</t>
  </si>
  <si>
    <t>periodicidade, dia_semana</t>
  </si>
  <si>
    <t>folha_origem: 'Mercados'; campos eventos</t>
  </si>
  <si>
    <t>gastronomia_cultural</t>
  </si>
  <si>
    <t>ingredientes, regiao_origem, tipo</t>
  </si>
  <si>
    <t>colecção auxiliar — não é POI físico</t>
  </si>
  <si>
    <t>ingredientes, variante</t>
  </si>
  <si>
    <t>Doçaria Regional</t>
  </si>
  <si>
    <t>ingredientes, dop</t>
  </si>
  <si>
    <t>Produtores DOP e Locais</t>
  </si>
  <si>
    <t>produto, certificacao_dop</t>
  </si>
  <si>
    <t>folha_origem: 'Produtores DOP'</t>
  </si>
  <si>
    <t>data, periodicidade, tipo_festa</t>
  </si>
  <si>
    <t>colecção: eventos</t>
  </si>
  <si>
    <t>Festivais de Música</t>
  </si>
  <si>
    <t>eventos</t>
  </si>
  <si>
    <t>data_inicio, data_fim, genero, capacidade</t>
  </si>
  <si>
    <t>Música Tradicional</t>
  </si>
  <si>
    <t>cultura_imaterial</t>
  </si>
  <si>
    <t>genero, instrumento, regiao</t>
  </si>
  <si>
    <t>colecção auxiliar: cultura_imaterial</t>
  </si>
  <si>
    <t>pois + cultura_imaterial</t>
  </si>
  <si>
    <t>oficio, tecnica, materials</t>
  </si>
  <si>
    <t>colecção: cultura_imaterial</t>
  </si>
  <si>
    <t>Experiências</t>
  </si>
  <si>
    <t>tipo, mineralizacao, indicacoes</t>
  </si>
  <si>
    <t>folha_origem: 'Termas'</t>
  </si>
  <si>
    <t>produtos, visitas, prova_vinho</t>
  </si>
  <si>
    <t>folha_origem: 'Agroturismo'</t>
  </si>
  <si>
    <t>rotas</t>
  </si>
  <si>
    <t>distancia, duracao, poi_ids[], tema</t>
  </si>
  <si>
    <t>colecção: rotas — array de poi_ids</t>
  </si>
  <si>
    <t>etapas, datas, participantes</t>
  </si>
  <si>
    <t>colecção: rotas — evento especial</t>
  </si>
  <si>
    <t>estrelas, servicos, gps</t>
  </si>
  <si>
    <t>folha_origem: 'Campismo'</t>
  </si>
  <si>
    <t>camas, servicos, preco_noite</t>
  </si>
  <si>
    <t>folha_origem: 'Pousadas Juventude'</t>
  </si>
  <si>
    <t>tipo, capacidade, preco_noite</t>
  </si>
  <si>
    <t>folha_origem: 'Alojamentos Rurais'</t>
  </si>
  <si>
    <t>Patrimônio Etnográfico</t>
  </si>
  <si>
    <t>tipo_moinho, estado_conservacao</t>
  </si>
  <si>
    <t>folha_origem: 'Moinhos'</t>
  </si>
  <si>
    <t>Pérolas de Portugal</t>
  </si>
  <si>
    <t>Curadoria</t>
  </si>
  <si>
    <t>selo_perola, motivo</t>
  </si>
  <si>
    <t>folha_origem: 'Pérolas' — curadoria editorial</t>
  </si>
  <si>
    <t>Patrimônio Técnico</t>
  </si>
  <si>
    <t>altura, ano_construcao, alcance_nm</t>
  </si>
  <si>
    <t>folha_origem: 'Faróis'</t>
  </si>
  <si>
    <t>B2B</t>
  </si>
  <si>
    <t>operadores</t>
  </si>
  <si>
    <t>tipo, servicos, contacto</t>
  </si>
  <si>
    <t>colecção: operadores — B2B/parceiros</t>
  </si>
  <si>
    <t>tipo_entidade, area_atuacao</t>
  </si>
  <si>
    <t>Transportes</t>
  </si>
  <si>
    <t>Infraestrutura</t>
  </si>
  <si>
    <t>pois + gtfs</t>
  </si>
  <si>
    <t>tipo, linha, operador</t>
  </si>
  <si>
    <t>integração GTFS/CP</t>
  </si>
  <si>
    <t>Guia do Viajante</t>
  </si>
  <si>
    <t>Editorial</t>
  </si>
  <si>
    <t>conteudo_editorial</t>
  </si>
  <si>
    <t>tipo_conteudo, lingua</t>
  </si>
  <si>
    <t>Conteúdo editorial — não indexado como POI</t>
  </si>
  <si>
    <t>Dashboard</t>
  </si>
  <si>
    <t>Dashboard Excel — não ingerido</t>
  </si>
  <si>
    <t>⚡  ÍNDICES MONGODB  —  Colecção pois  (PyMongo  create_index / create_indexes)</t>
  </si>
  <si>
    <t>Campos</t>
  </si>
  <si>
    <t>Opções</t>
  </si>
  <si>
    <t>Propósito</t>
  </si>
  <si>
    <t>poi_id_unique</t>
  </si>
  <si>
    <t>Único</t>
  </si>
  <si>
    <t>unique=True, sparse=False</t>
  </si>
  <si>
    <t>Chave primária de negócio</t>
  </si>
  <si>
    <t>slug_unique</t>
  </si>
  <si>
    <t>URL-safe identifier</t>
  </si>
  <si>
    <t>tenant_compound</t>
  </si>
  <si>
    <t>Composto</t>
  </si>
  <si>
    <t>tenant_id + categoria + regiao + estado</t>
  </si>
  <si>
    <t>Filtros multi-tenant principais (99% queries)</t>
  </si>
  <si>
    <t>geo_2dsphere</t>
  </si>
  <si>
    <t>Geoespacial</t>
  </si>
  <si>
    <t>Queries $near, $geoWithin, $geoIntersects</t>
  </si>
  <si>
    <t>text_search</t>
  </si>
  <si>
    <t>Texto</t>
  </si>
  <si>
    <t>nome + descricao + tags</t>
  </si>
  <si>
    <t>default_language='portuguese', weights={nome:10,tags:5,descricao:1}</t>
  </si>
  <si>
    <t>Pesquisa full-text em português</t>
  </si>
  <si>
    <t>folha_estado_idx</t>
  </si>
  <si>
    <t>folha_origem + estado</t>
  </si>
  <si>
    <t>Ingestão por folha — IQ Engine batch</t>
  </si>
  <si>
    <t>score_iq_idx</t>
  </si>
  <si>
    <t>Simples</t>
  </si>
  <si>
    <t>sparse=True</t>
  </si>
  <si>
    <t>Ranking e recomendação</t>
  </si>
  <si>
    <t>enriquecido_idx</t>
  </si>
  <si>
    <t>Fila de processamento IQ Engine</t>
  </si>
  <si>
    <t>created_at_idx</t>
  </si>
  <si>
    <t>Ordenação cronológica</t>
  </si>
  <si>
    <t>tags_idx</t>
  </si>
  <si>
    <t>Multikey</t>
  </si>
  <si>
    <t>Filtro por tags/temáticas</t>
  </si>
  <si>
    <t>raridade_idx</t>
  </si>
  <si>
    <t>Gamificação — filtro por raridade</t>
  </si>
  <si>
    <t>🧠  IQ ENGINE  —  Mapeamento de Módulos M1–M19  (iq_engine_base.py → iq_module_m*.py)</t>
  </si>
  <si>
    <t>Módulo</t>
  </si>
  <si>
    <t>Ficheiro</t>
  </si>
  <si>
    <t>Campos Lidos</t>
  </si>
  <si>
    <t>Campos Escritos</t>
  </si>
  <si>
    <t>Trigger</t>
  </si>
  <si>
    <t>Colecções</t>
  </si>
  <si>
    <t>M1 — Semântico</t>
  </si>
  <si>
    <t>iq_module_m1_semantic.py</t>
  </si>
  <si>
    <t>nome, descricao, tags</t>
  </si>
  <si>
    <t>embedding_vector, semantica_score</t>
  </si>
  <si>
    <t>Create/Update nome</t>
  </si>
  <si>
    <t>M2 — Cognitivo</t>
  </si>
  <si>
    <t>iq_module_m2_cognitive.py</t>
  </si>
  <si>
    <t>categoria, subcategoria, tipologia</t>
  </si>
  <si>
    <t>categoria_norm, subcategoria_norm, tags[]</t>
  </si>
  <si>
    <t>Create</t>
  </si>
  <si>
    <t>pois + categorias</t>
  </si>
  <si>
    <t>M3 — Imagem</t>
  </si>
  <si>
    <t>iq_module_m3_image.py</t>
  </si>
  <si>
    <t>prompt_ia_a, prompt_ia_b, nome</t>
  </si>
  <si>
    <t>imagens[{url,cloudinary_id,alt}]</t>
  </si>
  <si>
    <t>Enqueue após M1</t>
  </si>
  <si>
    <t>pois + Cloudinary</t>
  </si>
  <si>
    <t>M4 — [específico]</t>
  </si>
  <si>
    <t>iq_module_m4_*.py</t>
  </si>
  <si>
    <t>campos_especificos enriquecidos</t>
  </si>
  <si>
    <t>Batch</t>
  </si>
  <si>
    <t>M5 — Endereço</t>
  </si>
  <si>
    <t>iq_module_m5_address.py</t>
  </si>
  <si>
    <t>morada, codigo_postal, gps_inicio</t>
  </si>
  <si>
    <t>location{GeoJSON}, regiao, distrito, concelho</t>
  </si>
  <si>
    <t>Create/Update morada</t>
  </si>
  <si>
    <t>M6 — Dedup</t>
  </si>
  <si>
    <t>iq_module_m6_dedup.py</t>
  </si>
  <si>
    <t>nome, location, folha_origem</t>
  </si>
  <si>
    <t>pois_relacionados[], duplicado=true</t>
  </si>
  <si>
    <t>Batch semanal</t>
  </si>
  <si>
    <t>M7 — Scoring</t>
  </si>
  <si>
    <t>iq_module_m7_scoring.py</t>
  </si>
  <si>
    <t>todos os campos preenchidos</t>
  </si>
  <si>
    <t>score_iq, raridade</t>
  </si>
  <si>
    <t>Após M1-M6</t>
  </si>
  <si>
    <t>M8 — Slug</t>
  </si>
  <si>
    <t>iq_module_m8_slug.py</t>
  </si>
  <si>
    <t>nome, regiao, poi_id</t>
  </si>
  <si>
    <t>slug (único URL-safe)</t>
  </si>
  <si>
    <t>M9 — Descrição</t>
  </si>
  <si>
    <t>iq_module_m9_description.py</t>
  </si>
  <si>
    <t>nome, categoria, morada, descricao</t>
  </si>
  <si>
    <t>descricao, descricao_longa</t>
  </si>
  <si>
    <t>Create sem descricao</t>
  </si>
  <si>
    <t>M10 — Temático</t>
  </si>
  <si>
    <t>iq_module_m10_thematic.py</t>
  </si>
  <si>
    <t>categoria, subcategoria, folha_origem</t>
  </si>
  <si>
    <t>tags[], tipologia_norm</t>
  </si>
  <si>
    <t>After M2</t>
  </si>
  <si>
    <t>M11 — Routing</t>
  </si>
  <si>
    <t>iq_module_m11_routing.py</t>
  </si>
  <si>
    <t>folha_origem, categoria</t>
  </si>
  <si>
    <t>colecao_destino, campos_especificos{}</t>
  </si>
  <si>
    <t>Router → colecções</t>
  </si>
  <si>
    <t>M12–M19 — [ext]</t>
  </si>
  <si>
    <t>iq_module_m12-19_*.py</t>
  </si>
  <si>
    <t>variável</t>
  </si>
  <si>
    <t>Configurável</t>
  </si>
  <si>
    <t>pois + externas</t>
  </si>
  <si>
    <t>🏢  MULTI-TENANT  —  Estratégia de Isolamento  (Portugal-Vivo/backend/server.py → 67 routers)</t>
  </si>
  <si>
    <t>Aspecto</t>
  </si>
  <si>
    <t>Detalhe / Configuração</t>
  </si>
  <si>
    <t>Modelo de Dados</t>
  </si>
  <si>
    <t>Documento único por POI com sub-documento campos_especificos para campos únicos por categoria</t>
  </si>
  <si>
    <t>⚙️  PORTUGAL VIVO — Configuração de Ingestão por Folha  (scripts/ingest_excel.py)</t>
  </si>
  <si>
    <t>Cada linha = 1 folha Excel  ·  Colunas = mapeamento directo para campos MongoDB  ·  data_row=linha dos dados (após headers de grupo)</t>
  </si>
  <si>
    <t>folha_excel</t>
  </si>
  <si>
    <t>colecao_mongodb</t>
  </si>
  <si>
    <t>data_row_start</t>
  </si>
  <si>
    <t>col_nome</t>
  </si>
  <si>
    <t>col_regiao</t>
  </si>
  <si>
    <t>col_tipologia</t>
  </si>
  <si>
    <t>col_morada</t>
  </si>
  <si>
    <t>col_gps</t>
  </si>
  <si>
    <t>col_descricao</t>
  </si>
  <si>
    <t>col_extra_1</t>
  </si>
  <si>
    <t>col_extra_1_campo</t>
  </si>
  <si>
    <t>folha_ativa</t>
  </si>
  <si>
    <t>notas_ingestao</t>
  </si>
  <si>
    <t>B</t>
  </si>
  <si>
    <t>C</t>
  </si>
  <si>
    <t>D</t>
  </si>
  <si>
    <t>F</t>
  </si>
  <si>
    <t>M</t>
  </si>
  <si>
    <t>H</t>
  </si>
  <si>
    <t>I</t>
  </si>
  <si>
    <t>SIM</t>
  </si>
  <si>
    <t>Folha mestre — ingerir primeiro; define poi_id canónico</t>
  </si>
  <si>
    <t>G</t>
  </si>
  <si>
    <t>Grupos regionais em rows (ex. 🟦 NORTE · 13 entradas) — skip rows sem nº em col A</t>
  </si>
  <si>
    <t>E</t>
  </si>
  <si>
    <t>J</t>
  </si>
  <si>
    <t>col C = período histórico → campos_especificos.periodo</t>
  </si>
  <si>
    <t>K</t>
  </si>
  <si>
    <t>col E = Cód. Postal; col G = tipologia; col K = descrição</t>
  </si>
  <si>
    <t>Verificar colunas — padrão semelhante a Castelos</t>
  </si>
  <si>
    <t>Verificar colunas específicas</t>
  </si>
  <si>
    <t>percursos</t>
  </si>
  <si>
    <t>L</t>
  </si>
  <si>
    <t>distancia</t>
  </si>
  <si>
    <t>col D=distância, E=duração, F=dificuldade, G=tipo, H=alt_max, I=melhor_época, J=pontos_interesse</t>
  </si>
  <si>
    <t>extensao</t>
  </si>
  <si>
    <t>col D=gps_inicio, E=gps_fim, F=extensão, H=serviços, J=poi_principal</t>
  </si>
  <si>
    <t>biodiversidade</t>
  </si>
  <si>
    <t>Mapear nome_cientifico se existir</t>
  </si>
  <si>
    <t>Verificar colunas botânicas</t>
  </si>
  <si>
    <t>Colecção separada — integração GBIF</t>
  </si>
  <si>
    <t>Verificar colunas — altitude, tipo_vista</t>
  </si>
  <si>
    <t>Verificar colunas — rio, bacia</t>
  </si>
  <si>
    <t>Verificar — altura_queda, acesso</t>
  </si>
  <si>
    <t>Verificar — nivel, orientacao, tipo_onda</t>
  </si>
  <si>
    <t>tipo</t>
  </si>
  <si>
    <t>col E = tipo, col G = qualidade_agua</t>
  </si>
  <si>
    <t>data_row=6 (tem sub-header por concelho); col F=ilha, col G=qualidade</t>
  </si>
  <si>
    <t>preco_medio</t>
  </si>
  <si>
    <t>col F=contacto, col G=preco, col H=localizacao, col I=especialidade</t>
  </si>
  <si>
    <t>Verificar colunas</t>
  </si>
  <si>
    <t>Colecção eventos — periodicidade, dia_semana</t>
  </si>
  <si>
    <t>Não é POI físico — colecção auxiliar</t>
  </si>
  <si>
    <t>col produto, certificacao_dop — verificar</t>
  </si>
  <si>
    <t>Colecção eventos — data, periodicidade</t>
  </si>
  <si>
    <t>Colecção eventos — data_inicio, data_fim, genero</t>
  </si>
  <si>
    <t>Colecção cultura_imaterial</t>
  </si>
  <si>
    <t>Colecção cultura_imaterial — oficio, tecnica</t>
  </si>
  <si>
    <t>Verificar — tipo, mineralizacao, indicacoes</t>
  </si>
  <si>
    <t>Verificar — produtos, visitas, prova_vinho</t>
  </si>
  <si>
    <t>Colecção rotas — poi_ids[], tema, distancia</t>
  </si>
  <si>
    <t>data_row=2; estrutura diferente — verificar</t>
  </si>
  <si>
    <t>Verificar — estrelas, servicos, gps</t>
  </si>
  <si>
    <t>Verificar — camas, preco_noite</t>
  </si>
  <si>
    <t>Verificar — tipo, capacidade, preco_noite</t>
  </si>
  <si>
    <t>Verificar — tipo_moinho, estado_conservacao</t>
  </si>
  <si>
    <t>Curadoria — flag perola=true, motivo</t>
  </si>
  <si>
    <t>Verificar — altura, ano_construcao, alcance_nm</t>
  </si>
  <si>
    <t>Colecção operadores — B2B</t>
  </si>
  <si>
    <t>Integração GTFS/CP — tipo, linha, operador</t>
  </si>
  <si>
    <t>Conteúdo editorial — não é POI</t>
  </si>
  <si>
    <t>NÃO</t>
  </si>
  <si>
    <t>Não ingerir — dashboard interno</t>
  </si>
  <si>
    <t>poi_total</t>
  </si>
  <si>
    <t>Seed data de categorias</t>
  </si>
  <si>
    <t>🔑 poi_id (MongoDB)</t>
  </si>
  <si>
    <t>ARQGEO_001</t>
  </si>
  <si>
    <t>ARQGEO_002</t>
  </si>
  <si>
    <t>ARQGEO_003</t>
  </si>
  <si>
    <t>ARQGEO_004</t>
  </si>
  <si>
    <t>ARQGEO_005</t>
  </si>
  <si>
    <t>ARQGEO_006</t>
  </si>
  <si>
    <t>ARQGEO_007</t>
  </si>
  <si>
    <t>ARQGEO_008</t>
  </si>
  <si>
    <t>ARQGEO_009</t>
  </si>
  <si>
    <t>ARQGEO_010</t>
  </si>
  <si>
    <t>ARQGEO_011</t>
  </si>
  <si>
    <t>ARQGEO_012</t>
  </si>
  <si>
    <t>ARQGEO_013</t>
  </si>
  <si>
    <t>ARQGEO_051</t>
  </si>
  <si>
    <t>ARQGEO_052</t>
  </si>
  <si>
    <t>ARQGEO_053</t>
  </si>
  <si>
    <t>ARQGEO_054</t>
  </si>
  <si>
    <t>ARQGEO_055</t>
  </si>
  <si>
    <t>ARQGEO_056</t>
  </si>
  <si>
    <t>ARQGEO_057</t>
  </si>
  <si>
    <t>ARQGEO_058</t>
  </si>
  <si>
    <t>ARQGEO_059</t>
  </si>
  <si>
    <t>ARQGEO_060</t>
  </si>
  <si>
    <t>ARQGEO_061</t>
  </si>
  <si>
    <t>ARQGEO_062</t>
  </si>
  <si>
    <t>ARQGEO_063</t>
  </si>
  <si>
    <t>ARQGEO_064</t>
  </si>
  <si>
    <t>ARQGEO_065</t>
  </si>
  <si>
    <t>ARQGEO_066</t>
  </si>
  <si>
    <t>ARQGEO_067</t>
  </si>
  <si>
    <t>ARQGEO_068</t>
  </si>
  <si>
    <t>ARQGEO_069</t>
  </si>
  <si>
    <t>ARQGEO_070</t>
  </si>
  <si>
    <t>ARQGEO_071</t>
  </si>
  <si>
    <t>ARQGEO_072</t>
  </si>
  <si>
    <t>ARQGEO_073</t>
  </si>
  <si>
    <t>ARQGEO_074</t>
  </si>
  <si>
    <t>ARQGEO_075</t>
  </si>
  <si>
    <t>ARQGEO_076</t>
  </si>
  <si>
    <t>ARQGEO_077</t>
  </si>
  <si>
    <t>ARQGEO_078</t>
  </si>
  <si>
    <t>ARQGEO_079</t>
  </si>
  <si>
    <t>ARQGEO_080</t>
  </si>
  <si>
    <t>ARQGEO_081</t>
  </si>
  <si>
    <t>ARQGEO_082</t>
  </si>
  <si>
    <t>ARQGEO_083</t>
  </si>
  <si>
    <t>ARQGEO_084</t>
  </si>
  <si>
    <t>ARQGEO_085</t>
  </si>
  <si>
    <t>ARQGEO_086</t>
  </si>
  <si>
    <t>ARQGEO_087</t>
  </si>
  <si>
    <t>ARQGEO_088</t>
  </si>
  <si>
    <t>ARQGEO_089</t>
  </si>
  <si>
    <t>ARQGEO_090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</si>
</sst>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43" x14ac:knownFonts="1">
    <font>
      <sz val="11"/>
      <color theme="1"/>
      <name val="Calibri"/>
      <family val="2"/>
      <scheme val="minor"/>
    </font>
    <font>
      <b/>
      <sz val="10"/>
      <color rgb="FFFFFFFF"/>
      <name val="Arial"/>
    </font>
    <font>
      <sz val="9"/>
      <name val="Arial"/>
    </font>
    <font>
      <u/>
      <sz val="9"/>
      <color rgb="FF0563C1"/>
      <name val="Arial"/>
    </font>
    <font>
      <b/>
      <sz val="14"/>
      <color rgb="FFFFFFFF"/>
      <name val="Arial"/>
    </font>
    <font>
      <i/>
      <sz val="10"/>
      <color rgb="FFBDC3C7"/>
      <name val="Arial"/>
    </font>
    <font>
      <sz val="9"/>
      <color rgb="FFFFFFFF"/>
      <name val="Arial"/>
    </font>
    <font>
      <sz val="9"/>
      <color rgb="FF1A252F"/>
      <name val="Arial"/>
    </font>
    <font>
      <b/>
      <sz val="11"/>
      <color rgb="FF1A252F"/>
      <name val="Arial"/>
    </font>
    <font>
      <i/>
      <sz val="10"/>
      <color rgb="FFFFFFFF"/>
      <name val="Segoe UI"/>
    </font>
    <font>
      <b/>
      <sz val="13"/>
      <color rgb="FFFFFFFF"/>
      <name val="Segoe UI"/>
    </font>
    <font>
      <i/>
      <sz val="9"/>
      <color rgb="FF555555"/>
      <name val="Segoe UI"/>
    </font>
    <font>
      <b/>
      <sz val="8"/>
      <color rgb="FF666666"/>
      <name val="Segoe UI"/>
    </font>
    <font>
      <b/>
      <sz val="10"/>
      <color rgb="FF222222"/>
      <name val="Segoe UI"/>
    </font>
    <font>
      <sz val="9"/>
      <color rgb="FF444444"/>
      <name val="Segoe UI"/>
    </font>
    <font>
      <b/>
      <u/>
      <sz val="10"/>
      <color rgb="FFFFFFFF"/>
      <name val="Segoe UI"/>
    </font>
    <font>
      <i/>
      <sz val="9"/>
      <color rgb="FFFFFFFF"/>
      <name val="Segoe UI"/>
    </font>
    <font>
      <sz val="9"/>
      <color rgb="FFFFFFFF"/>
      <name val="Segoe UI"/>
    </font>
    <font>
      <b/>
      <sz val="10"/>
      <color rgb="FFFFFFFF"/>
      <name val="Segoe UI"/>
    </font>
    <font>
      <sz val="9"/>
      <color rgb="FF222222"/>
      <name val="Segoe UI"/>
    </font>
    <font>
      <u/>
      <sz val="9"/>
      <color rgb="FF1155CC"/>
      <name val="Segoe UI"/>
    </font>
    <font>
      <b/>
      <u/>
      <sz val="9"/>
      <color rgb="FF1155CC"/>
      <name val="Segoe UI"/>
    </font>
    <font>
      <b/>
      <sz val="16"/>
      <color rgb="FFFFFFFF"/>
      <name val="Segoe UI"/>
    </font>
    <font>
      <i/>
      <sz val="10"/>
      <color rgb="FF555555"/>
      <name val="Segoe UI"/>
    </font>
    <font>
      <b/>
      <sz val="9"/>
      <color rgb="FF1A3A5C"/>
      <name val="Segoe UI"/>
    </font>
    <font>
      <b/>
      <sz val="10"/>
      <color rgb="FF444444"/>
      <name val="Segoe UI"/>
    </font>
    <font>
      <b/>
      <i/>
      <sz val="10"/>
      <color rgb="FF1A3A5C"/>
      <name val="Segoe UI"/>
    </font>
    <font>
      <b/>
      <sz val="15"/>
      <color rgb="FFFFFFFF"/>
      <name val="Segoe UI"/>
    </font>
    <font>
      <b/>
      <sz val="11"/>
      <color rgb="FFFFFFFF"/>
      <name val="Segoe UI"/>
    </font>
    <font>
      <b/>
      <sz val="9"/>
      <color rgb="FFFFFFFF"/>
      <name val="Segoe UI"/>
    </font>
    <font>
      <b/>
      <i/>
      <sz val="10"/>
      <color rgb="FF0D47A1"/>
      <name val="Segoe UI"/>
    </font>
    <font>
      <i/>
      <sz val="9"/>
      <color rgb="FF888888"/>
      <name val="Segoe UI"/>
    </font>
    <font>
      <sz val="9"/>
      <name val="Segoe UI"/>
    </font>
    <font>
      <b/>
      <sz val="9"/>
      <name val="Segoe UI"/>
    </font>
    <font>
      <b/>
      <sz val="9"/>
      <color rgb="FF2E75B6"/>
      <name val="Segoe UI"/>
    </font>
    <font>
      <b/>
      <sz val="9"/>
      <color rgb="FF70AD47"/>
      <name val="Segoe UI"/>
    </font>
    <font>
      <b/>
      <sz val="9"/>
      <color rgb="FFED7D31"/>
      <name val="Segoe UI"/>
    </font>
    <font>
      <b/>
      <sz val="9"/>
      <color rgb="FFC00000"/>
      <name val="Segoe UI"/>
    </font>
    <font>
      <i/>
      <sz val="8"/>
      <color rgb="FF595959"/>
      <name val="Segoe UI"/>
    </font>
    <font>
      <b/>
      <sz val="14"/>
      <color rgb="FF1A3A5C"/>
      <name val="Segoe UI"/>
    </font>
    <font>
      <i/>
      <sz val="9"/>
      <color rgb="FF5A5A5A"/>
      <name val="Segoe UI"/>
    </font>
    <font>
      <b/>
      <sz val="13"/>
      <color rgb="FF1A3A5C"/>
      <name val="Segoe UI"/>
    </font>
    <font>
      <sz val="8"/>
      <color rgb="FF888888"/>
      <name val="Segoe UI"/>
    </font>
    <font>
      <b/>
      <sz val="10"/>
      <color rgb="FF1A3A5C"/>
      <name val="Segoe UI"/>
    </font>
    <font>
      <sz val="9"/>
      <color rgb="FF000000"/>
      <name val="Segoe UI"/>
    </font>
    <font>
      <sz val="9"/>
      <color rgb="FF5A5A5A"/>
      <name val="Segoe UI"/>
    </font>
    <font>
      <b/>
      <sz val="9"/>
      <color rgb="FFB8860B"/>
      <name val="Segoe UI"/>
    </font>
    <font>
      <b/>
      <sz val="9"/>
      <color rgb="FF5C4A1A"/>
      <name val="Segoe UI"/>
    </font>
    <font>
      <b/>
      <sz val="9"/>
      <color rgb="FF1A5C2E"/>
      <name val="Segoe UI"/>
    </font>
    <font>
      <b/>
      <sz val="9"/>
      <color rgb="FF5C2E1A"/>
      <name val="Segoe UI"/>
    </font>
    <font>
      <b/>
      <sz val="9"/>
      <color rgb="FF5C1A1A"/>
      <name val="Segoe UI"/>
    </font>
    <font>
      <b/>
      <sz val="9"/>
      <color rgb="FF3A1A5C"/>
      <name val="Segoe UI"/>
    </font>
    <font>
      <b/>
      <sz val="9"/>
      <color rgb="FF5C1A4A"/>
      <name val="Segoe UI"/>
    </font>
    <font>
      <b/>
      <sz val="12"/>
      <color rgb="FFFFFFFF"/>
      <name val="Segoe UI"/>
    </font>
    <font>
      <sz val="8"/>
      <color rgb="FF3E2000"/>
      <name val="Segoe UI"/>
    </font>
    <font>
      <sz val="8"/>
      <color rgb="FF2E1A00"/>
      <name val="Segoe UI"/>
    </font>
    <font>
      <sz val="9"/>
      <color rgb="FF1A1A1A"/>
      <name val="Segoe UI"/>
    </font>
    <font>
      <sz val="9"/>
      <color rgb="FF1A1A2E"/>
      <name val="Segoe UI"/>
    </font>
    <font>
      <sz val="10"/>
      <color theme="1"/>
      <name val="Segoe UI"/>
    </font>
    <font>
      <i/>
      <sz val="10"/>
      <color rgb="FF5A5A5A"/>
      <name val="Segoe UI"/>
    </font>
    <font>
      <sz val="9"/>
      <color theme="1"/>
      <name val="Segoe UI"/>
    </font>
    <font>
      <b/>
      <sz val="9"/>
      <color theme="1"/>
      <name val="Segoe UI"/>
    </font>
    <font>
      <u/>
      <sz val="11"/>
      <color theme="10"/>
      <name val="Calibri"/>
      <family val="2"/>
      <scheme val="minor"/>
    </font>
    <font>
      <b/>
      <sz val="11"/>
      <color theme="1"/>
      <name val="Calibri"/>
      <family val="2"/>
      <scheme val="minor"/>
    </font>
    <font>
      <b/>
      <sz val="9"/>
      <color rgb="FF636363"/>
      <name val="Segoe UI"/>
      <family val="2"/>
    </font>
    <font>
      <b/>
      <sz val="8"/>
      <color rgb="FF636363"/>
      <name val="Segoe UI"/>
      <family val="2"/>
    </font>
    <font>
      <b/>
      <sz val="9"/>
      <color rgb="FF6C6C6C"/>
      <name val="Segoe UI"/>
      <family val="2"/>
    </font>
    <font>
      <b/>
      <sz val="8"/>
      <color rgb="FF6C6C6C"/>
      <name val="Segoe UI"/>
      <family val="2"/>
    </font>
    <font>
      <b/>
      <sz val="9"/>
      <color rgb="FF646464"/>
      <name val="Segoe UI"/>
      <family val="2"/>
    </font>
    <font>
      <b/>
      <sz val="8"/>
      <color rgb="FF646464"/>
      <name val="Segoe UI"/>
      <family val="2"/>
    </font>
    <font>
      <i/>
      <sz val="8"/>
      <color rgb="FF747474"/>
      <name val="Segoe UI"/>
      <family val="2"/>
    </font>
    <font>
      <sz val="11"/>
      <color rgb="FF747474"/>
      <name val="Calibri"/>
      <family val="2"/>
      <scheme val="minor"/>
    </font>
    <font>
      <b/>
      <sz val="9"/>
      <color rgb="FF4F4F4F"/>
      <name val="Segoe UI"/>
      <family val="2"/>
    </font>
    <font>
      <b/>
      <sz val="8"/>
      <color rgb="FF4F4F4F"/>
      <name val="Segoe UI"/>
      <family val="2"/>
    </font>
    <font>
      <i/>
      <sz val="9"/>
      <color rgb="FF4F4F4F"/>
      <name val="Segoe UI"/>
      <family val="2"/>
    </font>
    <font>
      <b/>
      <sz val="9"/>
      <color rgb="FF686868"/>
      <name val="Segoe UI"/>
      <family val="2"/>
    </font>
    <font>
      <b/>
      <sz val="8"/>
      <color rgb="FF686868"/>
      <name val="Segoe UI"/>
      <family val="2"/>
    </font>
    <font>
      <b/>
      <sz val="9"/>
      <color rgb="FF696969"/>
      <name val="Segoe UI"/>
      <family val="2"/>
    </font>
    <font>
      <b/>
      <sz val="8"/>
      <color rgb="FF696969"/>
      <name val="Segoe UI"/>
      <family val="2"/>
    </font>
    <font>
      <b/>
      <sz val="9"/>
      <color rgb="FF666666"/>
      <name val="Segoe UI"/>
      <family val="2"/>
    </font>
    <font>
      <b/>
      <sz val="8"/>
      <color rgb="FF666666"/>
      <name val="Segoe UI"/>
      <family val="2"/>
    </font>
    <font>
      <b/>
      <sz val="9"/>
      <color rgb="FF606060"/>
      <name val="Segoe UI"/>
      <family val="2"/>
    </font>
    <font>
      <b/>
      <sz val="8"/>
      <color rgb="FF606060"/>
      <name val="Segoe UI"/>
      <family val="2"/>
    </font>
    <font>
      <b/>
      <sz val="9"/>
      <color rgb="FF535353"/>
      <name val="Segoe UI"/>
      <family val="2"/>
    </font>
    <font>
      <b/>
      <sz val="8"/>
      <color rgb="FF535353"/>
      <name val="Segoe UI"/>
      <family val="2"/>
    </font>
    <font>
      <b/>
      <sz val="9"/>
      <color rgb="FF6F6F6F"/>
      <name val="Segoe UI"/>
      <family val="2"/>
    </font>
    <font>
      <b/>
      <sz val="8"/>
      <color rgb="FF6F6F6F"/>
      <name val="Segoe UI"/>
      <family val="2"/>
    </font>
    <font>
      <b/>
      <sz val="9"/>
      <color rgb="FF5E5E5E"/>
      <name val="Segoe UI"/>
      <family val="2"/>
    </font>
    <font>
      <b/>
      <sz val="8"/>
      <color rgb="FF5E5E5E"/>
      <name val="Segoe UI"/>
      <family val="2"/>
    </font>
    <font>
      <u/>
      <sz val="9"/>
      <color rgb="FF0046BA"/>
      <name val="Segoe UI"/>
      <family val="2"/>
    </font>
    <font>
      <u/>
      <sz val="9"/>
      <color rgb="FF004BC0"/>
      <name val="Segoe UI"/>
      <family val="2"/>
    </font>
    <font>
      <b/>
      <sz val="16"/>
      <color theme="1"/>
      <name val="Calibri"/>
      <family val="2"/>
      <scheme val="minor"/>
    </font>
    <font>
      <i/>
      <sz val="10"/>
      <color rgb="FF555555"/>
      <name val="Calibri"/>
      <family val="2"/>
      <scheme val="minor"/>
    </font>
    <font>
      <b/>
      <sz val="11"/>
      <color rgb="FFFFFFFF"/>
      <name val="Calibri"/>
      <family val="2"/>
      <scheme val="minor"/>
    </font>
    <font>
      <b/>
      <sz val="14"/>
      <color rgb="FF1A3A5C"/>
      <name val="Segoe UI"/>
      <family val="2"/>
    </font>
    <font>
      <i/>
      <sz val="9"/>
      <color rgb="FF5A5A5A"/>
      <name val="Segoe UI"/>
      <family val="2"/>
    </font>
    <font>
      <sz val="10"/>
      <color rgb="FFFFFFFF"/>
      <name val="Calibri"/>
      <family val="2"/>
      <scheme val="minor"/>
    </font>
    <font>
      <i/>
      <sz val="8"/>
      <color rgb="FF747474"/>
      <name val="Segoe UI"/>
    </font>
    <font>
      <sz val="11"/>
      <color theme="1"/>
      <name val="Segoe UI"/>
    </font>
    <font>
      <b/>
      <u/>
      <sz val="11"/>
      <color rgb="FF004BC0"/>
      <name val="Calibri"/>
      <family val="2"/>
      <scheme val="minor"/>
    </font>
    <font>
      <b/>
      <sz val="9"/>
      <color rgb="FF6B4D00"/>
      <name val="Segoe UI"/>
    </font>
    <font>
      <b/>
      <sz val="9"/>
      <color rgb="FF1A5C2A"/>
      <name val="Segoe UI"/>
    </font>
    <font>
      <b/>
      <sz val="9"/>
      <color rgb="FF8B4513"/>
      <name val="Segoe UI"/>
    </font>
    <font>
      <b/>
      <sz val="9"/>
      <color rgb="FF8B1A1A"/>
      <name val="Segoe UI"/>
    </font>
    <font>
      <b/>
      <sz val="9"/>
      <color rgb="FF4A1A5C"/>
      <name val="Segoe UI"/>
    </font>
    <font>
      <b/>
      <sz val="9"/>
      <color rgb="FF5C3A1A"/>
      <name val="Segoe UI"/>
    </font>
    <font>
      <u/>
      <sz val="11"/>
      <color rgb="FF0563C1"/>
      <name val="Calibri"/>
      <family val="2"/>
      <scheme val="minor"/>
    </font>
    <font>
      <b/>
      <sz val="14"/>
      <color rgb="FFFFFFFF"/>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sz val="9"/>
      <color theme="1"/>
      <name val="Calibri"/>
      <family val="2"/>
      <scheme val="minor"/>
    </font>
    <font>
      <b/>
      <sz val="9"/>
      <color rgb="FFFFFFFF"/>
      <name val="Calibri"/>
      <family val="2"/>
      <scheme val="minor"/>
    </font>
    <font>
      <b/>
      <sz val="9"/>
      <color theme="1"/>
      <name val="Calibri"/>
      <family val="2"/>
      <scheme val="minor"/>
    </font>
    <font>
      <b/>
      <sz val="9"/>
      <color rgb="FF8B0000"/>
      <name val="Calibri"/>
      <family val="2"/>
      <scheme val="minor"/>
    </font>
    <font>
      <b/>
      <sz val="9"/>
      <color rgb="FF1D6B2E"/>
      <name val="Calibri"/>
      <family val="2"/>
      <scheme val="minor"/>
    </font>
    <font>
      <b/>
      <sz val="9"/>
      <color rgb="FF7A5A00"/>
      <name val="Calibri"/>
      <family val="2"/>
      <scheme val="minor"/>
    </font>
    <font>
      <sz val="10"/>
      <color rgb="FF333333"/>
      <name val="Calibri"/>
      <family val="2"/>
      <scheme val="minor"/>
    </font>
    <font>
      <sz val="9"/>
      <color rgb="FFFFFFFF"/>
      <name val="Calibri"/>
      <family val="2"/>
      <scheme val="minor"/>
    </font>
    <font>
      <u/>
      <sz val="9"/>
      <color theme="10"/>
      <name val="Calibri"/>
      <family val="2"/>
      <scheme val="minor"/>
    </font>
    <font>
      <b/>
      <sz val="14"/>
      <color rgb="FFFFFFFF"/>
      <name val="Segoe UI"/>
    </font>
    <font>
      <i/>
      <sz val="10"/>
      <color rgb="FF333333"/>
      <name val="Segoe UI"/>
    </font>
    <font>
      <i/>
      <sz val="10"/>
      <color rgb="FFFFFFFF"/>
      <name val="Calibri"/>
      <family val="2"/>
      <scheme val="minor"/>
    </font>
    <font>
      <i/>
      <sz val="9"/>
      <color rgb="FFFFFFFF"/>
      <name val="Calibri"/>
      <family val="2"/>
      <scheme val="minor"/>
    </font>
    <font>
      <b/>
      <sz val="9"/>
      <color rgb="FFFFFFFF"/>
      <name val="Arial"/>
    </font>
    <font>
      <b/>
      <sz val="9"/>
      <color rgb="FFFFFFFF"/>
      <name val="Segoe UI"/>
      <family val="2"/>
    </font>
    <font>
      <sz val="9"/>
      <color rgb="FF0563C1"/>
      <name val="Calibri"/>
      <family val="2"/>
      <scheme val="minor"/>
    </font>
    <font>
      <b/>
      <sz val="14"/>
      <color rgb="FFFFFFFF"/>
      <name val="Segoe UI"/>
      <family val="2"/>
    </font>
    <font>
      <b/>
      <sz val="13"/>
      <color rgb="FFFFFFFF"/>
      <name val="Calibri"/>
      <family val="2"/>
      <scheme val="minor"/>
    </font>
    <font>
      <i/>
      <sz val="9"/>
      <color rgb="FFFFFFFF"/>
      <name val="Segoe UI"/>
      <family val="2"/>
    </font>
    <font>
      <u/>
      <sz val="11"/>
      <color rgb="FF0000FF"/>
      <name val="Calibri"/>
      <family val="2"/>
      <scheme val="minor"/>
    </font>
    <font>
      <u/>
      <sz val="11"/>
      <color rgb="FF0000FF"/>
      <name val="Calibri"/>
      <scheme val="minor"/>
    </font>
    <font>
      <b/>
      <i/>
      <sz val="11"/>
      <color rgb="FFFFFFFF"/>
      <name val="Segoe UI"/>
    </font>
    <font>
      <i/>
      <sz val="9"/>
      <color rgb="FF5A5A5A"/>
      <name val="Calibri"/>
      <family val="2"/>
      <scheme val="minor"/>
    </font>
    <font>
      <i/>
      <sz val="9"/>
      <color rgb="FF333333"/>
      <name val="Calibri"/>
      <family val="2"/>
      <scheme val="minor"/>
    </font>
    <font>
      <b/>
      <sz val="8"/>
      <color rgb="FF6C6C6C"/>
      <name val="Segoe UI"/>
    </font>
    <font>
      <b/>
      <sz val="9"/>
      <color rgb="FF0044AA"/>
      <name val="Segoe UI"/>
    </font>
    <font>
      <b/>
      <sz val="12"/>
      <color rgb="FF3B1A00"/>
      <name val="Segoe UI"/>
    </font>
    <font>
      <b/>
      <sz val="12"/>
      <color rgb="FF001A3D"/>
      <name val="Segoe UI"/>
    </font>
    <font>
      <u/>
      <sz val="11"/>
      <color rgb="FF1155CC"/>
      <name val="Calibri"/>
      <family val="2"/>
      <scheme val="minor"/>
    </font>
    <font>
      <b/>
      <sz val="12"/>
      <color rgb="FF3D2800"/>
      <name val="Segoe UI"/>
    </font>
    <font>
      <b/>
      <sz val="12"/>
      <color rgb="FF3D1400"/>
      <name val="Segoe UI"/>
    </font>
    <font>
      <b/>
      <sz val="12"/>
      <color rgb="FF0A2E0A"/>
      <name val="Segoe UI"/>
    </font>
    <font>
      <b/>
      <sz val="12"/>
      <color rgb="FF1E0040"/>
      <name val="Segoe UI"/>
    </font>
    <font>
      <b/>
      <sz val="12"/>
      <color rgb="FF3D0000"/>
      <name val="Segoe UI"/>
    </font>
    <font>
      <u/>
      <sz val="11"/>
      <color theme="10"/>
      <name val="Segoe UI"/>
    </font>
    <font>
      <b/>
      <sz val="11"/>
      <color rgb="FF636363"/>
      <name val="Segoe UI"/>
    </font>
    <font>
      <sz val="11"/>
      <color rgb="FF000000"/>
      <name val="Segoe UI"/>
    </font>
    <font>
      <i/>
      <sz val="11"/>
      <color rgb="FF555555"/>
      <name val="Segoe UI"/>
    </font>
    <font>
      <sz val="11"/>
      <color rgb="FF1A1A1A"/>
      <name val="Segoe UI"/>
    </font>
    <font>
      <b/>
      <sz val="11"/>
      <color rgb="FF666666"/>
      <name val="Segoe UI"/>
    </font>
    <font>
      <b/>
      <sz val="11"/>
      <color rgb="FF5E5E5E"/>
      <name val="Segoe UI"/>
    </font>
    <font>
      <sz val="11"/>
      <color rgb="FF747474"/>
      <name val="Segoe UI"/>
    </font>
    <font>
      <b/>
      <sz val="10"/>
      <color rgb="FF636363"/>
      <name val="Segoe UI"/>
    </font>
    <font>
      <sz val="10"/>
      <color rgb="FF000000"/>
      <name val="Segoe UI"/>
    </font>
    <font>
      <sz val="10"/>
      <color rgb="FF1A1A1A"/>
      <name val="Segoe UI"/>
    </font>
    <font>
      <b/>
      <sz val="10"/>
      <color rgb="FF6C6C6C"/>
      <name val="Segoe UI"/>
    </font>
    <font>
      <u/>
      <sz val="10"/>
      <color rgb="FF1155CC"/>
      <name val="Segoe UI"/>
    </font>
    <font>
      <i/>
      <sz val="10"/>
      <color rgb="FFE8F4FD"/>
      <name val="Segoe UI"/>
    </font>
    <font>
      <i/>
      <sz val="10"/>
      <color rgb="FFE8F4FD"/>
      <name val="Calibri"/>
      <family val="2"/>
      <scheme val="minor"/>
    </font>
    <font>
      <u/>
      <sz val="11"/>
      <color rgb="FF1565C0"/>
      <name val="Calibri"/>
      <family val="2"/>
      <scheme val="minor"/>
    </font>
    <font>
      <u/>
      <sz val="11"/>
      <color rgb="FF1565C0"/>
      <name val="Segoe UI"/>
    </font>
    <font>
      <b/>
      <sz val="11"/>
      <color theme="1"/>
      <name val="Segoe UI"/>
    </font>
    <font>
      <b/>
      <sz val="11"/>
      <color rgb="FF6C6C6C"/>
      <name val="Segoe UI"/>
    </font>
    <font>
      <b/>
      <sz val="11"/>
      <color rgb="FF000000"/>
      <name val="Segoe UI"/>
    </font>
    <font>
      <b/>
      <sz val="11"/>
      <color rgb="FF6F6F6F"/>
      <name val="Segoe UI"/>
    </font>
    <font>
      <b/>
      <sz val="11"/>
      <color rgb="FF646464"/>
      <name val="Segoe UI"/>
    </font>
    <font>
      <b/>
      <sz val="11"/>
      <color rgb="FF606060"/>
      <name val="Segoe UI"/>
    </font>
    <font>
      <b/>
      <sz val="11"/>
      <color rgb="FF686868"/>
      <name val="Segoe UI"/>
    </font>
    <font>
      <b/>
      <sz val="11"/>
      <color rgb="FF4F4F4F"/>
      <name val="Segoe UI"/>
    </font>
    <font>
      <i/>
      <sz val="11"/>
      <color rgb="FF4F4F4F"/>
      <name val="Segoe UI"/>
    </font>
    <font>
      <b/>
      <sz val="11"/>
      <color rgb="FF696969"/>
      <name val="Segoe UI"/>
    </font>
    <font>
      <b/>
      <sz val="11"/>
      <color rgb="FF535353"/>
      <name val="Segoe UI"/>
    </font>
    <font>
      <b/>
      <u/>
      <sz val="11"/>
      <color rgb="FF1565C0"/>
      <name val="Segoe UI"/>
    </font>
    <font>
      <b/>
      <u/>
      <sz val="11"/>
      <color rgb="FFFFFFFF"/>
      <name val="Segoe UI"/>
    </font>
    <font>
      <sz val="11"/>
      <color rgb="FF1A1A2E"/>
      <name val="Segoe UI"/>
    </font>
    <font>
      <i/>
      <sz val="10"/>
      <color rgb="FF4A6741"/>
      <name val="Segoe UI"/>
    </font>
    <font>
      <b/>
      <sz val="10"/>
      <color rgb="FFC0392B"/>
      <name val="Segoe UI"/>
    </font>
    <font>
      <sz val="10"/>
      <color rgb="FF5A5A5A"/>
      <name val="Segoe UI"/>
    </font>
    <font>
      <i/>
      <sz val="10"/>
      <color rgb="FF000000"/>
      <name val="Segoe UI"/>
    </font>
    <font>
      <i/>
      <sz val="10"/>
      <color rgb="FF6C6C6C"/>
      <name val="Segoe UI"/>
    </font>
    <font>
      <i/>
      <sz val="10"/>
      <color rgb="FF636363"/>
      <name val="Segoe UI"/>
    </font>
    <font>
      <b/>
      <sz val="10"/>
      <color rgb="FF2980B9"/>
      <name val="Segoe UI"/>
    </font>
    <font>
      <b/>
      <sz val="10"/>
      <color rgb="FFE67E22"/>
      <name val="Segoe UI"/>
    </font>
    <font>
      <b/>
      <sz val="10"/>
      <color rgb="FF27AE60"/>
      <name val="Segoe UI"/>
    </font>
    <font>
      <b/>
      <sz val="10"/>
      <color rgb="FF5C4A1A"/>
      <name val="Segoe UI"/>
    </font>
    <font>
      <b/>
      <sz val="10"/>
      <color rgb="FF6F6F6F"/>
      <name val="Segoe UI"/>
    </font>
    <font>
      <i/>
      <sz val="10"/>
      <color rgb="FF6F6F6F"/>
      <name val="Segoe UI"/>
    </font>
    <font>
      <b/>
      <sz val="10"/>
      <color rgb="FF666666"/>
      <name val="Segoe UI"/>
    </font>
    <font>
      <i/>
      <sz val="10"/>
      <color rgb="FF666666"/>
      <name val="Segoe UI"/>
    </font>
    <font>
      <b/>
      <sz val="10"/>
      <color rgb="FF1A5C2E"/>
      <name val="Segoe UI"/>
    </font>
    <font>
      <b/>
      <sz val="10"/>
      <color rgb="FF646464"/>
      <name val="Segoe UI"/>
    </font>
    <font>
      <i/>
      <sz val="10"/>
      <color rgb="FF646464"/>
      <name val="Segoe UI"/>
    </font>
    <font>
      <b/>
      <sz val="10"/>
      <color rgb="FF555555"/>
      <name val="Segoe UI"/>
    </font>
    <font>
      <b/>
      <sz val="10"/>
      <color rgb="FF5C2E1A"/>
      <name val="Segoe UI"/>
    </font>
    <font>
      <b/>
      <sz val="10"/>
      <color rgb="FF5E5E5E"/>
      <name val="Segoe UI"/>
    </font>
    <font>
      <i/>
      <sz val="10"/>
      <color rgb="FF5E5E5E"/>
      <name val="Segoe UI"/>
    </font>
    <font>
      <b/>
      <sz val="10"/>
      <color rgb="FF5C1A1A"/>
      <name val="Segoe UI"/>
    </font>
    <font>
      <b/>
      <sz val="10"/>
      <color rgb="FF606060"/>
      <name val="Segoe UI"/>
    </font>
    <font>
      <i/>
      <sz val="10"/>
      <color rgb="FF606060"/>
      <name val="Segoe UI"/>
    </font>
    <font>
      <b/>
      <sz val="10"/>
      <color rgb="FF3A1A5C"/>
      <name val="Segoe UI"/>
    </font>
    <font>
      <b/>
      <sz val="10"/>
      <color rgb="FF686868"/>
      <name val="Segoe UI"/>
    </font>
    <font>
      <i/>
      <sz val="10"/>
      <color rgb="FF686868"/>
      <name val="Segoe UI"/>
    </font>
    <font>
      <b/>
      <sz val="10"/>
      <color rgb="FF4F4F4F"/>
      <name val="Segoe UI"/>
    </font>
    <font>
      <i/>
      <sz val="10"/>
      <color rgb="FF4F4F4F"/>
      <name val="Segoe UI"/>
    </font>
    <font>
      <b/>
      <sz val="10"/>
      <color rgb="FF5C1A4A"/>
      <name val="Segoe UI"/>
    </font>
    <font>
      <b/>
      <sz val="10"/>
      <color rgb="FF696969"/>
      <name val="Segoe UI"/>
    </font>
    <font>
      <i/>
      <sz val="10"/>
      <color rgb="FF696969"/>
      <name val="Segoe UI"/>
    </font>
    <font>
      <b/>
      <sz val="10"/>
      <color rgb="FF535353"/>
      <name val="Segoe UI"/>
    </font>
    <font>
      <i/>
      <sz val="10"/>
      <color rgb="FF535353"/>
      <name val="Segoe UI"/>
    </font>
    <font>
      <b/>
      <sz val="10"/>
      <color theme="1"/>
      <name val="Segoe UI"/>
    </font>
    <font>
      <i/>
      <sz val="10"/>
      <color theme="1"/>
      <name val="Segoe UI"/>
    </font>
    <font>
      <b/>
      <i/>
      <sz val="10"/>
      <color rgb="FFFFFFFF"/>
      <name val="Calibri"/>
      <family val="2"/>
      <scheme val="minor"/>
    </font>
    <font>
      <b/>
      <i/>
      <sz val="10"/>
      <color rgb="FF535353"/>
      <name val="Segoe UI"/>
    </font>
    <font>
      <b/>
      <sz val="10"/>
      <color rgb="FF5A5A5A"/>
      <name val="Segoe UI"/>
    </font>
    <font>
      <b/>
      <i/>
      <sz val="10"/>
      <color rgb="FF5A5A5A"/>
      <name val="Segoe UI"/>
    </font>
    <font>
      <b/>
      <i/>
      <sz val="10"/>
      <color rgb="FFFFFFFF"/>
      <name val="Segoe UI"/>
    </font>
    <font>
      <b/>
      <u/>
      <sz val="11"/>
      <color rgb="FF0000FF"/>
      <name val="Calibri"/>
      <scheme val="minor"/>
    </font>
    <font>
      <u/>
      <sz val="10"/>
      <color rgb="FF0000FF"/>
      <name val="Calibri"/>
      <family val="2"/>
      <scheme val="minor"/>
    </font>
    <font>
      <i/>
      <sz val="10"/>
      <color rgb="FF1F4E79"/>
      <name val="Calibri"/>
      <family val="2"/>
      <scheme val="minor"/>
    </font>
    <font>
      <b/>
      <sz val="16"/>
      <color rgb="FFFFFFFF"/>
      <name val="Calibri"/>
      <family val="2"/>
      <scheme val="minor"/>
    </font>
    <font>
      <i/>
      <sz val="11"/>
      <color rgb="FF1F4E79"/>
      <name val="Calibri"/>
      <family val="2"/>
      <scheme val="minor"/>
    </font>
    <font>
      <b/>
      <sz val="12"/>
      <color rgb="FFFFFFFF"/>
      <name val="Calibri"/>
      <family val="2"/>
      <scheme val="minor"/>
    </font>
    <font>
      <u/>
      <sz val="9"/>
      <color rgb="FF0563C1"/>
      <name val="Calibri"/>
      <family val="2"/>
      <scheme val="minor"/>
    </font>
    <font>
      <b/>
      <u/>
      <sz val="9"/>
      <color rgb="FF0563C1"/>
      <name val="Calibri"/>
      <family val="2"/>
      <scheme val="minor"/>
    </font>
    <font>
      <b/>
      <u/>
      <sz val="11"/>
      <color rgb="FF0563C1"/>
      <name val="Calibri"/>
      <family val="2"/>
      <scheme val="minor"/>
    </font>
    <font>
      <b/>
      <sz val="9"/>
      <color theme="1"/>
      <name val="Calibri"/>
      <scheme val="minor"/>
    </font>
    <font>
      <sz val="9"/>
      <color theme="1"/>
      <name val="Calibri"/>
      <scheme val="minor"/>
    </font>
    <font>
      <i/>
      <sz val="10"/>
      <color rgb="FFFFFFFF"/>
      <name val="Calibri"/>
      <scheme val="minor"/>
    </font>
    <font>
      <b/>
      <sz val="13"/>
      <color rgb="FFFFFFFF"/>
      <name val="Calibri"/>
      <scheme val="minor"/>
    </font>
    <font>
      <b/>
      <sz val="10"/>
      <color rgb="FFFFFFFF"/>
      <name val="Calibri"/>
      <scheme val="minor"/>
    </font>
    <font>
      <b/>
      <sz val="10"/>
      <color theme="1"/>
      <name val="Calibri"/>
      <scheme val="minor"/>
    </font>
    <font>
      <b/>
      <sz val="11"/>
      <color rgb="FFFFFFFF"/>
      <name val="Calibri"/>
      <scheme val="minor"/>
    </font>
    <font>
      <b/>
      <sz val="9"/>
      <color rgb="FFFFFFFF"/>
      <name val="Calibri"/>
      <scheme val="minor"/>
    </font>
    <font>
      <sz val="10"/>
      <color theme="1"/>
      <name val="Calibri"/>
      <scheme val="minor"/>
    </font>
    <font>
      <i/>
      <sz val="9"/>
      <color rgb="FF5A5A5A"/>
      <name val="Calibri"/>
      <scheme val="minor"/>
    </font>
    <font>
      <i/>
      <sz val="9"/>
      <color rgb="FFBBDEFB"/>
      <name val="Segoe UI"/>
    </font>
    <font>
      <b/>
      <sz val="9"/>
      <color rgb="FF1565C0"/>
      <name val="Segoe UI"/>
    </font>
    <font>
      <b/>
      <sz val="9"/>
      <color rgb="FF166534"/>
      <name val="Segoe UI"/>
    </font>
    <font>
      <sz val="9"/>
      <color rgb="FF999999"/>
      <name val="Segoe UI"/>
    </font>
    <font>
      <b/>
      <sz val="9"/>
      <color rgb="FFC0392B"/>
      <name val="Segoe UI"/>
    </font>
    <font>
      <b/>
      <sz val="8"/>
      <color rgb="FF166534"/>
      <name val="Courier New"/>
    </font>
    <font>
      <b/>
      <sz val="9"/>
      <color rgb="FF1565C0"/>
      <name val="Courier New"/>
    </font>
  </fonts>
  <fills count="288">
    <fill>
      <patternFill patternType="none"/>
    </fill>
    <fill>
      <patternFill patternType="gray125"/>
    </fill>
    <fill>
      <patternFill patternType="solid">
        <fgColor rgb="FFDDEEFF"/>
      </patternFill>
    </fill>
    <fill>
      <patternFill patternType="solid">
        <fgColor rgb="FFF0E6FF"/>
      </patternFill>
    </fill>
    <fill>
      <patternFill patternType="solid">
        <fgColor rgb="FF4A235A"/>
      </patternFill>
    </fill>
    <fill>
      <patternFill patternType="solid">
        <fgColor rgb="FFC0392B"/>
      </patternFill>
    </fill>
    <fill>
      <patternFill patternType="solid">
        <fgColor rgb="FF154360"/>
      </patternFill>
    </fill>
    <fill>
      <patternFill patternType="solid">
        <fgColor rgb="FFFFF3E0"/>
      </patternFill>
    </fill>
    <fill>
      <patternFill patternType="solid">
        <fgColor rgb="FFEEEEEE"/>
      </patternFill>
    </fill>
    <fill>
      <patternFill patternType="solid">
        <fgColor rgb="FFE3F2FD"/>
      </patternFill>
    </fill>
    <fill>
      <patternFill patternType="solid">
        <fgColor rgb="FF1A252F"/>
      </patternFill>
    </fill>
    <fill>
      <patternFill patternType="solid">
        <fgColor rgb="FF2C3E50"/>
      </patternFill>
    </fill>
    <fill>
      <patternFill patternType="solid">
        <fgColor rgb="FF212F3D"/>
      </patternFill>
    </fill>
    <fill>
      <patternFill patternType="solid">
        <fgColor rgb="FF1B4F72"/>
      </patternFill>
    </fill>
    <fill>
      <patternFill patternType="solid">
        <fgColor rgb="FFFDFEFE"/>
      </patternFill>
    </fill>
    <fill>
      <patternFill patternType="solid">
        <fgColor rgb="FF7D6608"/>
      </patternFill>
    </fill>
    <fill>
      <patternFill patternType="solid">
        <fgColor rgb="FF0B5345"/>
      </patternFill>
    </fill>
    <fill>
      <patternFill patternType="solid">
        <fgColor rgb="FF7B241C"/>
      </patternFill>
    </fill>
    <fill>
      <patternFill patternType="solid">
        <fgColor rgb="FFD5DBDB"/>
      </patternFill>
    </fill>
    <fill>
      <patternFill patternType="solid">
        <fgColor rgb="FFDDFFD6"/>
      </patternFill>
    </fill>
    <fill>
      <patternFill patternType="solid">
        <fgColor rgb="FFFFF9CC"/>
      </patternFill>
    </fill>
    <fill>
      <patternFill patternType="solid">
        <fgColor rgb="FFFFE5CC"/>
      </patternFill>
    </fill>
    <fill>
      <patternFill patternType="solid">
        <fgColor rgb="FFFFD6E0"/>
      </patternFill>
    </fill>
    <fill>
      <patternFill patternType="solid">
        <fgColor rgb="FFFFFFFF"/>
      </patternFill>
    </fill>
    <fill>
      <patternFill patternType="solid">
        <fgColor rgb="FFD5F5E3"/>
      </patternFill>
    </fill>
    <fill>
      <patternFill patternType="solid">
        <fgColor rgb="FFEAF4FB"/>
      </patternFill>
    </fill>
    <fill>
      <patternFill patternType="solid">
        <fgColor rgb="FFF5F5F5"/>
      </patternFill>
    </fill>
    <fill>
      <patternFill patternType="solid">
        <fgColor rgb="FFFFF9E6"/>
      </patternFill>
    </fill>
    <fill>
      <patternFill patternType="solid">
        <fgColor rgb="FFF0F0F0"/>
      </patternFill>
    </fill>
    <fill>
      <patternFill patternType="solid">
        <fgColor rgb="FF8B0000"/>
      </patternFill>
    </fill>
    <fill>
      <patternFill patternType="solid">
        <fgColor rgb="FFA52A2A"/>
      </patternFill>
    </fill>
    <fill>
      <patternFill patternType="solid">
        <fgColor rgb="FF3D0000"/>
      </patternFill>
    </fill>
    <fill>
      <patternFill patternType="solid">
        <fgColor rgb="FFFFF0F0"/>
      </patternFill>
    </fill>
    <fill>
      <patternFill patternType="solid">
        <fgColor rgb="FF4A3000"/>
      </patternFill>
    </fill>
    <fill>
      <patternFill patternType="solid">
        <fgColor rgb="FFFFF8E8"/>
      </patternFill>
    </fill>
    <fill>
      <patternFill patternType="solid">
        <fgColor rgb="FFB8860B"/>
      </patternFill>
    </fill>
    <fill>
      <patternFill patternType="solid">
        <fgColor rgb="FF003D00"/>
      </patternFill>
    </fill>
    <fill>
      <patternFill patternType="solid">
        <fgColor rgb="FFF0FFF0"/>
      </patternFill>
    </fill>
    <fill>
      <patternFill patternType="solid">
        <fgColor rgb="FF228B22"/>
      </patternFill>
    </fill>
    <fill>
      <patternFill patternType="solid">
        <fgColor rgb="FF00008B"/>
      </patternFill>
    </fill>
    <fill>
      <patternFill patternType="solid">
        <fgColor rgb="FFF0F0FF"/>
      </patternFill>
    </fill>
    <fill>
      <patternFill patternType="solid">
        <fgColor rgb="FF1E40AF"/>
      </patternFill>
    </fill>
    <fill>
      <patternFill patternType="solid">
        <fgColor rgb="FF4B0082"/>
      </patternFill>
    </fill>
    <fill>
      <patternFill patternType="solid">
        <fgColor rgb="FFFAF0FF"/>
      </patternFill>
    </fill>
    <fill>
      <patternFill patternType="solid">
        <fgColor rgb="FF6A0DAD"/>
      </patternFill>
    </fill>
    <fill>
      <patternFill patternType="solid">
        <fgColor rgb="FF1A1A2E"/>
      </patternFill>
    </fill>
    <fill>
      <patternFill patternType="solid">
        <fgColor rgb="FFF0F4FF"/>
      </patternFill>
    </fill>
    <fill>
      <patternFill patternType="solid">
        <fgColor rgb="FF16213E"/>
      </patternFill>
    </fill>
    <fill>
      <patternFill patternType="solid">
        <fgColor rgb="FF333333"/>
      </patternFill>
    </fill>
    <fill>
      <patternFill patternType="solid">
        <fgColor rgb="FF1A3A5C"/>
      </patternFill>
    </fill>
    <fill>
      <patternFill patternType="solid">
        <fgColor rgb="FF2D4A1E"/>
      </patternFill>
    </fill>
    <fill>
      <patternFill patternType="solid">
        <fgColor rgb="FF5C3A00"/>
      </patternFill>
    </fill>
    <fill>
      <patternFill patternType="solid">
        <fgColor rgb="FFF8FAFF"/>
      </patternFill>
    </fill>
    <fill>
      <patternFill patternType="solid">
        <fgColor rgb="FF0D4F8B"/>
      </patternFill>
    </fill>
    <fill>
      <patternFill patternType="solid">
        <fgColor rgb="FF2D6AB4"/>
      </patternFill>
    </fill>
    <fill>
      <patternFill patternType="solid">
        <fgColor rgb="FFEAF0FB"/>
      </patternFill>
    </fill>
    <fill>
      <patternFill patternType="solid">
        <fgColor rgb="FFFFFDF5"/>
      </patternFill>
    </fill>
    <fill>
      <patternFill patternType="solid">
        <fgColor rgb="FFE67E22"/>
      </patternFill>
    </fill>
    <fill>
      <patternFill patternType="solid">
        <fgColor rgb="FFFFFAF3"/>
      </patternFill>
    </fill>
    <fill>
      <patternFill patternType="solid">
        <fgColor rgb="FF1A5276"/>
      </patternFill>
    </fill>
    <fill>
      <patternFill patternType="solid">
        <fgColor rgb="FFF4FAFF"/>
      </patternFill>
    </fill>
    <fill>
      <patternFill patternType="solid">
        <fgColor rgb="FFEAF5EA"/>
      </patternFill>
    </fill>
    <fill>
      <patternFill patternType="solid">
        <fgColor rgb="FFF4FFF4"/>
      </patternFill>
    </fill>
    <fill>
      <patternFill patternType="solid">
        <fgColor rgb="FF1E8449"/>
      </patternFill>
    </fill>
    <fill>
      <patternFill patternType="solid">
        <fgColor rgb="FFEAFAF1"/>
      </patternFill>
    </fill>
    <fill>
      <patternFill patternType="solid">
        <fgColor rgb="FFF4FFF8"/>
      </patternFill>
    </fill>
    <fill>
      <patternFill patternType="solid">
        <fgColor rgb="FF7D3C98"/>
      </patternFill>
    </fill>
    <fill>
      <patternFill patternType="solid">
        <fgColor rgb="FFF5EEF8"/>
      </patternFill>
    </fill>
    <fill>
      <patternFill patternType="solid">
        <fgColor rgb="FFFAF5FF"/>
      </patternFill>
    </fill>
    <fill>
      <patternFill patternType="solid">
        <fgColor rgb="FF2E4053"/>
      </patternFill>
    </fill>
    <fill>
      <patternFill patternType="solid">
        <fgColor rgb="FFF4F8FF"/>
      </patternFill>
    </fill>
    <fill>
      <patternFill patternType="solid">
        <fgColor rgb="FFF9F9F9"/>
      </patternFill>
    </fill>
    <fill>
      <patternFill patternType="solid">
        <fgColor rgb="FF0D47A1"/>
      </patternFill>
    </fill>
    <fill>
      <patternFill patternType="solid">
        <fgColor rgb="FF1565C0"/>
      </patternFill>
    </fill>
    <fill>
      <patternFill patternType="solid">
        <fgColor rgb="FFF5F8FF"/>
      </patternFill>
    </fill>
    <fill>
      <patternFill patternType="solid">
        <fgColor rgb="FF1976D2"/>
      </patternFill>
    </fill>
    <fill>
      <patternFill patternType="solid">
        <fgColor rgb="FF0277BD"/>
      </patternFill>
    </fill>
    <fill>
      <patternFill patternType="solid">
        <fgColor rgb="FF01579B"/>
      </patternFill>
    </fill>
    <fill>
      <patternFill patternType="solid">
        <fgColor rgb="FF00838F"/>
      </patternFill>
    </fill>
    <fill>
      <patternFill patternType="solid">
        <fgColor rgb="FFFFF9F0"/>
      </patternFill>
    </fill>
    <fill>
      <patternFill patternType="solid">
        <fgColor rgb="FFD9E2F3"/>
      </patternFill>
    </fill>
    <fill>
      <patternFill patternType="solid">
        <fgColor rgb="FFEBF4FF"/>
      </patternFill>
    </fill>
    <fill>
      <patternFill patternType="solid">
        <fgColor rgb="FFFFF8E6"/>
      </patternFill>
    </fill>
    <fill>
      <patternFill patternType="solid">
        <fgColor rgb="FFEDFAED"/>
      </patternFill>
    </fill>
    <fill>
      <patternFill patternType="solid">
        <fgColor rgb="FFF0F8FF"/>
      </patternFill>
    </fill>
    <fill>
      <patternFill patternType="solid">
        <fgColor rgb="FFFFE6F0"/>
      </patternFill>
    </fill>
    <fill>
      <patternFill patternType="solid">
        <fgColor rgb="FFFFF0E6"/>
      </patternFill>
    </fill>
    <fill>
      <patternFill patternType="solid">
        <fgColor rgb="FFD6E8F7"/>
      </patternFill>
    </fill>
    <fill>
      <patternFill patternType="solid">
        <fgColor rgb="FFF5F9FF"/>
      </patternFill>
    </fill>
    <fill>
      <patternFill patternType="solid">
        <fgColor rgb="FF5C4A1A"/>
      </patternFill>
    </fill>
    <fill>
      <patternFill patternType="solid">
        <fgColor rgb="FFFFE9A0"/>
      </patternFill>
    </fill>
    <fill>
      <patternFill patternType="solid">
        <fgColor rgb="FF1A5C2E"/>
      </patternFill>
    </fill>
    <fill>
      <patternFill patternType="solid">
        <fgColor rgb="FFE8F7EB"/>
      </patternFill>
    </fill>
    <fill>
      <patternFill patternType="solid">
        <fgColor rgb="FFCCEFD4"/>
      </patternFill>
    </fill>
    <fill>
      <patternFill patternType="solid">
        <fgColor rgb="FF5C2E1A"/>
      </patternFill>
    </fill>
    <fill>
      <patternFill patternType="solid">
        <fgColor rgb="FFFFD5B0"/>
      </patternFill>
    </fill>
    <fill>
      <patternFill patternType="solid">
        <fgColor rgb="FF5C1A1A"/>
      </patternFill>
    </fill>
    <fill>
      <patternFill patternType="solid">
        <fgColor rgb="FFFFD6D6"/>
      </patternFill>
    </fill>
    <fill>
      <patternFill patternType="solid">
        <fgColor rgb="FFEBF4FF"/>
      </patternFill>
    </fill>
    <fill>
      <patternFill patternType="solid">
        <fgColor rgb="FF1A3A5C"/>
      </patternFill>
    </fill>
    <fill>
      <patternFill patternType="solid">
        <fgColor rgb="FFD6E8F7"/>
      </patternFill>
    </fill>
    <fill>
      <patternFill patternType="solid">
        <fgColor rgb="FF5C4A1A"/>
      </patternFill>
    </fill>
    <fill>
      <patternFill patternType="solid">
        <fgColor rgb="FFFFF8E6"/>
      </patternFill>
    </fill>
    <fill>
      <patternFill patternType="solid">
        <fgColor rgb="FFFFE9A0"/>
      </patternFill>
    </fill>
    <fill>
      <patternFill patternType="solid">
        <fgColor rgb="FF1A5C2E"/>
      </patternFill>
    </fill>
    <fill>
      <patternFill patternType="solid">
        <fgColor rgb="FFE8F7EB"/>
      </patternFill>
    </fill>
    <fill>
      <patternFill patternType="solid">
        <fgColor rgb="FFCCEFD4"/>
      </patternFill>
    </fill>
    <fill>
      <patternFill patternType="solid">
        <fgColor rgb="FF5C2E1A"/>
      </patternFill>
    </fill>
    <fill>
      <patternFill patternType="solid">
        <fgColor rgb="FFFFF0E6"/>
      </patternFill>
    </fill>
    <fill>
      <patternFill patternType="solid">
        <fgColor rgb="FFFFD5B0"/>
      </patternFill>
    </fill>
    <fill>
      <patternFill patternType="solid">
        <fgColor rgb="FF5C1A1A"/>
      </patternFill>
    </fill>
    <fill>
      <patternFill patternType="solid">
        <fgColor rgb="FFFFF0F0"/>
      </patternFill>
    </fill>
    <fill>
      <patternFill patternType="solid">
        <fgColor rgb="FFFFD6D6"/>
      </patternFill>
    </fill>
    <fill>
      <patternFill patternType="solid">
        <fgColor rgb="FF3A1A5C"/>
      </patternFill>
    </fill>
    <fill>
      <patternFill patternType="solid">
        <fgColor rgb="FFF2E8FF"/>
      </patternFill>
    </fill>
    <fill>
      <patternFill patternType="solid">
        <fgColor rgb="FFD8BAFF"/>
      </patternFill>
    </fill>
    <fill>
      <patternFill patternType="solid">
        <fgColor rgb="FF5C1A4A"/>
      </patternFill>
    </fill>
    <fill>
      <patternFill patternType="solid">
        <fgColor rgb="FFFFE8F4"/>
      </patternFill>
    </fill>
    <fill>
      <patternFill patternType="solid">
        <fgColor rgb="FFFFB8E0"/>
      </patternFill>
    </fill>
    <fill>
      <patternFill patternType="solid">
        <fgColor rgb="FFFFF5E6"/>
      </patternFill>
    </fill>
    <fill>
      <patternFill patternType="solid">
        <fgColor rgb="FFB84500"/>
      </patternFill>
    </fill>
    <fill>
      <patternFill patternType="solid">
        <fgColor rgb="FF8B1A1A"/>
      </patternFill>
    </fill>
    <fill>
      <patternFill patternType="solid">
        <fgColor rgb="FFFFEDE0"/>
      </patternFill>
    </fill>
    <fill>
      <patternFill patternType="solid">
        <fgColor rgb="FF1A3A5C"/>
        <bgColor indexed="64"/>
      </patternFill>
    </fill>
    <fill>
      <patternFill patternType="solid">
        <fgColor rgb="FFEBF4FF"/>
        <bgColor indexed="64"/>
      </patternFill>
    </fill>
    <fill>
      <patternFill patternType="solid">
        <fgColor rgb="FFFFFFFF"/>
        <bgColor indexed="64"/>
      </patternFill>
    </fill>
    <fill>
      <patternFill patternType="solid">
        <fgColor rgb="FF8B1A1A"/>
        <bgColor indexed="64"/>
      </patternFill>
    </fill>
    <fill>
      <patternFill patternType="solid">
        <fgColor rgb="FFFFF0F0"/>
        <bgColor indexed="64"/>
      </patternFill>
    </fill>
    <fill>
      <patternFill patternType="solid">
        <fgColor rgb="FFF0E68C"/>
        <bgColor indexed="64"/>
      </patternFill>
    </fill>
    <fill>
      <patternFill patternType="solid">
        <fgColor rgb="FF1A1A2E"/>
        <bgColor indexed="64"/>
      </patternFill>
    </fill>
    <fill>
      <patternFill patternType="solid">
        <fgColor rgb="FFD6EAF8"/>
        <bgColor indexed="64"/>
      </patternFill>
    </fill>
    <fill>
      <patternFill patternType="solid">
        <fgColor rgb="FFFEF9E7"/>
        <bgColor indexed="64"/>
      </patternFill>
    </fill>
    <fill>
      <patternFill patternType="solid">
        <fgColor rgb="FFD5F5E3"/>
        <bgColor indexed="64"/>
      </patternFill>
    </fill>
    <fill>
      <patternFill patternType="solid">
        <fgColor rgb="FFFDEBD0"/>
        <bgColor indexed="64"/>
      </patternFill>
    </fill>
    <fill>
      <patternFill patternType="solid">
        <fgColor rgb="FFFADBD8"/>
        <bgColor indexed="64"/>
      </patternFill>
    </fill>
    <fill>
      <patternFill patternType="solid">
        <fgColor rgb="FFE8DAEF"/>
        <bgColor indexed="64"/>
      </patternFill>
    </fill>
    <fill>
      <patternFill patternType="solid">
        <fgColor rgb="FFF5CBA7"/>
        <bgColor indexed="64"/>
      </patternFill>
    </fill>
    <fill>
      <patternFill patternType="solid">
        <fgColor rgb="FF8B6914"/>
        <bgColor indexed="64"/>
      </patternFill>
    </fill>
    <fill>
      <patternFill patternType="solid">
        <fgColor rgb="FF1A5C2A"/>
        <bgColor indexed="64"/>
      </patternFill>
    </fill>
    <fill>
      <patternFill patternType="solid">
        <fgColor rgb="FF8B4513"/>
        <bgColor indexed="64"/>
      </patternFill>
    </fill>
    <fill>
      <patternFill patternType="solid">
        <fgColor rgb="FF4A1A5C"/>
        <bgColor indexed="64"/>
      </patternFill>
    </fill>
    <fill>
      <patternFill patternType="solid">
        <fgColor rgb="FF5C3A1A"/>
        <bgColor indexed="64"/>
      </patternFill>
    </fill>
    <fill>
      <patternFill patternType="solid">
        <fgColor rgb="FFD6E9FF"/>
        <bgColor indexed="64"/>
      </patternFill>
    </fill>
    <fill>
      <patternFill patternType="solid">
        <fgColor rgb="FFFFF8D6"/>
        <bgColor indexed="64"/>
      </patternFill>
    </fill>
    <fill>
      <patternFill patternType="solid">
        <fgColor rgb="FFFFFBE8"/>
        <bgColor indexed="64"/>
      </patternFill>
    </fill>
    <fill>
      <patternFill patternType="solid">
        <fgColor rgb="FFD6F5D6"/>
        <bgColor indexed="64"/>
      </patternFill>
    </fill>
    <fill>
      <patternFill patternType="solid">
        <fgColor rgb="FFEBFAEB"/>
        <bgColor indexed="64"/>
      </patternFill>
    </fill>
    <fill>
      <patternFill patternType="solid">
        <fgColor rgb="FFFFE8D6"/>
        <bgColor indexed="64"/>
      </patternFill>
    </fill>
    <fill>
      <patternFill patternType="solid">
        <fgColor rgb="FFFFF4EB"/>
        <bgColor indexed="64"/>
      </patternFill>
    </fill>
    <fill>
      <patternFill patternType="solid">
        <fgColor rgb="FFFFD6D6"/>
        <bgColor indexed="64"/>
      </patternFill>
    </fill>
    <fill>
      <patternFill patternType="solid">
        <fgColor rgb="FFFFEBEB"/>
        <bgColor indexed="64"/>
      </patternFill>
    </fill>
    <fill>
      <patternFill patternType="solid">
        <fgColor rgb="FFE8D6FF"/>
        <bgColor indexed="64"/>
      </patternFill>
    </fill>
    <fill>
      <patternFill patternType="solid">
        <fgColor rgb="FFF4EBFF"/>
        <bgColor indexed="64"/>
      </patternFill>
    </fill>
    <fill>
      <patternFill patternType="solid">
        <fgColor rgb="FFE8DDD6"/>
        <bgColor indexed="64"/>
      </patternFill>
    </fill>
    <fill>
      <patternFill patternType="solid">
        <fgColor rgb="FFF4EEEB"/>
        <bgColor indexed="64"/>
      </patternFill>
    </fill>
    <fill>
      <patternFill patternType="solid">
        <fgColor rgb="FF0D4A7A"/>
        <bgColor indexed="64"/>
      </patternFill>
    </fill>
    <fill>
      <patternFill patternType="solid">
        <fgColor rgb="FF1A6BA0"/>
        <bgColor indexed="64"/>
      </patternFill>
    </fill>
    <fill>
      <patternFill patternType="solid">
        <fgColor rgb="FF2980B9"/>
        <bgColor indexed="64"/>
      </patternFill>
    </fill>
    <fill>
      <patternFill patternType="solid">
        <fgColor rgb="FF6B4914"/>
        <bgColor indexed="64"/>
      </patternFill>
    </fill>
    <fill>
      <patternFill patternType="solid">
        <fgColor rgb="FF1D5F3B"/>
        <bgColor indexed="64"/>
      </patternFill>
    </fill>
    <fill>
      <patternFill patternType="solid">
        <fgColor rgb="FFD6F0E8"/>
        <bgColor indexed="64"/>
      </patternFill>
    </fill>
    <fill>
      <patternFill patternType="solid">
        <fgColor rgb="FF7A4419"/>
        <bgColor indexed="64"/>
      </patternFill>
    </fill>
    <fill>
      <patternFill patternType="solid">
        <fgColor rgb="FFFFE8D1"/>
        <bgColor indexed="64"/>
      </patternFill>
    </fill>
    <fill>
      <patternFill patternType="solid">
        <fgColor rgb="FFC84C0A"/>
        <bgColor indexed="64"/>
      </patternFill>
    </fill>
    <fill>
      <patternFill patternType="solid">
        <fgColor rgb="FFFFE0CC"/>
        <bgColor indexed="64"/>
      </patternFill>
    </fill>
    <fill>
      <patternFill patternType="solid">
        <fgColor rgb="FFFFF0E6"/>
        <bgColor indexed="64"/>
      </patternFill>
    </fill>
    <fill>
      <patternFill patternType="solid">
        <fgColor rgb="FF4A6FA5"/>
        <bgColor indexed="64"/>
      </patternFill>
    </fill>
    <fill>
      <patternFill patternType="solid">
        <fgColor rgb="FF2A5A5A"/>
        <bgColor indexed="64"/>
      </patternFill>
    </fill>
    <fill>
      <patternFill patternType="solid">
        <fgColor rgb="FFD1E8E8"/>
        <bgColor indexed="64"/>
      </patternFill>
    </fill>
    <fill>
      <patternFill patternType="solid">
        <fgColor rgb="FFE6F3F3"/>
        <bgColor indexed="64"/>
      </patternFill>
    </fill>
    <fill>
      <patternFill patternType="solid">
        <fgColor rgb="FFD9E1F2"/>
        <bgColor indexed="64"/>
      </patternFill>
    </fill>
    <fill>
      <patternFill patternType="solid">
        <fgColor rgb="FFFFF8E6"/>
        <bgColor indexed="64"/>
      </patternFill>
    </fill>
    <fill>
      <patternFill patternType="solid">
        <fgColor rgb="FF6B1A1A"/>
        <bgColor indexed="64"/>
      </patternFill>
    </fill>
    <fill>
      <patternFill patternType="solid">
        <fgColor rgb="FFFFF8F0"/>
        <bgColor indexed="64"/>
      </patternFill>
    </fill>
    <fill>
      <patternFill patternType="solid">
        <fgColor rgb="FF1A5276"/>
        <bgColor indexed="64"/>
      </patternFill>
    </fill>
    <fill>
      <patternFill patternType="solid">
        <fgColor rgb="FFF4F8FC"/>
        <bgColor indexed="64"/>
      </patternFill>
    </fill>
    <fill>
      <patternFill patternType="solid">
        <fgColor rgb="FF7B241C"/>
        <bgColor indexed="64"/>
      </patternFill>
    </fill>
    <fill>
      <patternFill patternType="solid">
        <fgColor rgb="FFC0392B"/>
        <bgColor indexed="64"/>
      </patternFill>
    </fill>
    <fill>
      <patternFill patternType="solid">
        <fgColor rgb="FFEAFAF1"/>
        <bgColor indexed="64"/>
      </patternFill>
    </fill>
    <fill>
      <patternFill patternType="solid">
        <fgColor rgb="FFFFF5E6"/>
        <bgColor indexed="64"/>
      </patternFill>
    </fill>
    <fill>
      <patternFill patternType="solid">
        <fgColor rgb="FFF0F4F8"/>
        <bgColor indexed="64"/>
      </patternFill>
    </fill>
    <fill>
      <patternFill patternType="solid">
        <fgColor rgb="FF1A7A3A"/>
        <bgColor indexed="64"/>
      </patternFill>
    </fill>
    <fill>
      <patternFill patternType="solid">
        <fgColor rgb="FFF5F5F5"/>
        <bgColor indexed="64"/>
      </patternFill>
    </fill>
    <fill>
      <patternFill patternType="solid">
        <fgColor rgb="FFB8860B"/>
        <bgColor indexed="64"/>
      </patternFill>
    </fill>
    <fill>
      <patternFill patternType="solid">
        <fgColor rgb="FF6C3483"/>
        <bgColor indexed="64"/>
      </patternFill>
    </fill>
    <fill>
      <patternFill patternType="solid">
        <fgColor rgb="FF0E86D4"/>
        <bgColor indexed="64"/>
      </patternFill>
    </fill>
    <fill>
      <patternFill patternType="solid">
        <fgColor rgb="FF27AE60"/>
        <bgColor indexed="64"/>
      </patternFill>
    </fill>
    <fill>
      <patternFill patternType="solid">
        <fgColor rgb="FFEAF7EE"/>
        <bgColor indexed="64"/>
      </patternFill>
    </fill>
    <fill>
      <patternFill patternType="solid">
        <fgColor rgb="FF2C2C2C"/>
        <bgColor indexed="64"/>
      </patternFill>
    </fill>
    <fill>
      <patternFill patternType="solid">
        <fgColor rgb="FFD4EDDA"/>
        <bgColor indexed="64"/>
      </patternFill>
    </fill>
    <fill>
      <patternFill patternType="solid">
        <fgColor rgb="FFFFFAED"/>
        <bgColor indexed="64"/>
      </patternFill>
    </fill>
    <fill>
      <patternFill patternType="solid">
        <fgColor rgb="FFFFF3CD"/>
        <bgColor indexed="64"/>
      </patternFill>
    </fill>
    <fill>
      <patternFill patternType="solid">
        <fgColor rgb="FFFDECEA"/>
        <bgColor indexed="64"/>
      </patternFill>
    </fill>
    <fill>
      <patternFill patternType="solid">
        <fgColor rgb="FFF4ECF7"/>
        <bgColor indexed="64"/>
      </patternFill>
    </fill>
    <fill>
      <patternFill patternType="solid">
        <fgColor rgb="FFEBF5FB"/>
        <bgColor indexed="64"/>
      </patternFill>
    </fill>
    <fill>
      <patternFill patternType="solid">
        <fgColor rgb="FFB84500"/>
        <bgColor indexed="64"/>
      </patternFill>
    </fill>
    <fill>
      <patternFill patternType="solid">
        <fgColor rgb="FFFFD0D0"/>
        <bgColor indexed="64"/>
      </patternFill>
    </fill>
    <fill>
      <patternFill patternType="solid">
        <fgColor rgb="FFD0E8FF"/>
        <bgColor indexed="64"/>
      </patternFill>
    </fill>
    <fill>
      <patternFill patternType="solid">
        <fgColor rgb="FFFFF8CC"/>
        <bgColor indexed="64"/>
      </patternFill>
    </fill>
    <fill>
      <patternFill patternType="solid">
        <fgColor rgb="FFFFE8CC"/>
        <bgColor indexed="64"/>
      </patternFill>
    </fill>
    <fill>
      <patternFill patternType="solid">
        <fgColor rgb="FFD4F5D4"/>
        <bgColor indexed="64"/>
      </patternFill>
    </fill>
    <fill>
      <patternFill patternType="solid">
        <fgColor rgb="FFECD8FF"/>
        <bgColor indexed="64"/>
      </patternFill>
    </fill>
    <fill>
      <patternFill patternType="solid">
        <fgColor rgb="FFF5E8D0"/>
        <bgColor indexed="64"/>
      </patternFill>
    </fill>
    <fill>
      <patternFill patternType="solid">
        <fgColor rgb="FFD6E8F7"/>
        <bgColor indexed="64"/>
      </patternFill>
    </fill>
    <fill>
      <patternFill patternType="solid">
        <fgColor rgb="FFFFE9A0"/>
        <bgColor indexed="64"/>
      </patternFill>
    </fill>
    <fill>
      <patternFill patternType="solid">
        <fgColor rgb="FFE8F7EB"/>
        <bgColor indexed="64"/>
      </patternFill>
    </fill>
    <fill>
      <patternFill patternType="solid">
        <fgColor rgb="FFCCEFD4"/>
        <bgColor indexed="64"/>
      </patternFill>
    </fill>
    <fill>
      <patternFill patternType="solid">
        <fgColor rgb="FFFFD5B0"/>
        <bgColor indexed="64"/>
      </patternFill>
    </fill>
    <fill>
      <patternFill patternType="solid">
        <fgColor rgb="FFF2E8FF"/>
        <bgColor indexed="64"/>
      </patternFill>
    </fill>
    <fill>
      <patternFill patternType="solid">
        <fgColor rgb="FFD8BAFF"/>
        <bgColor indexed="64"/>
      </patternFill>
    </fill>
    <fill>
      <patternFill patternType="solid">
        <fgColor rgb="FFFFE8F4"/>
        <bgColor indexed="64"/>
      </patternFill>
    </fill>
    <fill>
      <patternFill patternType="solid">
        <fgColor rgb="FFFFB8E0"/>
        <bgColor indexed="64"/>
      </patternFill>
    </fill>
    <fill>
      <patternFill patternType="solid">
        <fgColor rgb="FF2E5C8A"/>
        <bgColor indexed="64"/>
      </patternFill>
    </fill>
    <fill>
      <patternFill patternType="solid">
        <fgColor rgb="FF1565C0"/>
        <bgColor indexed="64"/>
      </patternFill>
    </fill>
    <fill>
      <patternFill patternType="solid">
        <fgColor rgb="FFF57F17"/>
        <bgColor indexed="64"/>
      </patternFill>
    </fill>
    <fill>
      <patternFill patternType="solid">
        <fgColor rgb="FF2E7D32"/>
        <bgColor indexed="64"/>
      </patternFill>
    </fill>
    <fill>
      <patternFill patternType="solid">
        <fgColor rgb="FFE65100"/>
        <bgColor indexed="64"/>
      </patternFill>
    </fill>
    <fill>
      <patternFill patternType="solid">
        <fgColor rgb="FFC62828"/>
        <bgColor indexed="64"/>
      </patternFill>
    </fill>
    <fill>
      <patternFill patternType="solid">
        <fgColor rgb="FF6A1B9A"/>
        <bgColor indexed="64"/>
      </patternFill>
    </fill>
    <fill>
      <patternFill patternType="solid">
        <fgColor rgb="FF004D40"/>
        <bgColor indexed="64"/>
      </patternFill>
    </fill>
    <fill>
      <patternFill patternType="solid">
        <fgColor rgb="FF3E2723"/>
        <bgColor indexed="64"/>
      </patternFill>
    </fill>
    <fill>
      <patternFill patternType="solid">
        <fgColor rgb="FFDBEAFE"/>
        <bgColor indexed="64"/>
      </patternFill>
    </fill>
    <fill>
      <patternFill patternType="solid">
        <fgColor rgb="FFEFF6FF"/>
        <bgColor indexed="64"/>
      </patternFill>
    </fill>
    <fill>
      <patternFill patternType="solid">
        <fgColor rgb="FFFEF9C3"/>
        <bgColor indexed="64"/>
      </patternFill>
    </fill>
    <fill>
      <patternFill patternType="solid">
        <fgColor rgb="FFFEFCE8"/>
        <bgColor indexed="64"/>
      </patternFill>
    </fill>
    <fill>
      <patternFill patternType="solid">
        <fgColor rgb="FFDCFCE7"/>
        <bgColor indexed="64"/>
      </patternFill>
    </fill>
    <fill>
      <patternFill patternType="solid">
        <fgColor rgb="FFF0FDF4"/>
        <bgColor indexed="64"/>
      </patternFill>
    </fill>
    <fill>
      <patternFill patternType="solid">
        <fgColor rgb="FFFFEDD5"/>
        <bgColor indexed="64"/>
      </patternFill>
    </fill>
    <fill>
      <patternFill patternType="solid">
        <fgColor rgb="FFFFF7ED"/>
        <bgColor indexed="64"/>
      </patternFill>
    </fill>
    <fill>
      <patternFill patternType="solid">
        <fgColor rgb="FFFEE2E2"/>
        <bgColor indexed="64"/>
      </patternFill>
    </fill>
    <fill>
      <patternFill patternType="solid">
        <fgColor rgb="FFFFF5F5"/>
        <bgColor indexed="64"/>
      </patternFill>
    </fill>
    <fill>
      <patternFill patternType="solid">
        <fgColor rgb="FFF3E8FF"/>
        <bgColor indexed="64"/>
      </patternFill>
    </fill>
    <fill>
      <patternFill patternType="solid">
        <fgColor rgb="FFFAF5FF"/>
        <bgColor indexed="64"/>
      </patternFill>
    </fill>
    <fill>
      <patternFill patternType="solid">
        <fgColor rgb="FFCCFBF1"/>
        <bgColor indexed="64"/>
      </patternFill>
    </fill>
    <fill>
      <patternFill patternType="solid">
        <fgColor rgb="FFF0FDFA"/>
        <bgColor indexed="64"/>
      </patternFill>
    </fill>
    <fill>
      <patternFill patternType="solid">
        <fgColor rgb="FFFDF6EC"/>
        <bgColor indexed="64"/>
      </patternFill>
    </fill>
    <fill>
      <patternFill patternType="solid">
        <fgColor rgb="FFFFFBF0"/>
        <bgColor indexed="64"/>
      </patternFill>
    </fill>
    <fill>
      <patternFill patternType="solid">
        <fgColor rgb="FFF8FAFC"/>
        <bgColor indexed="64"/>
      </patternFill>
    </fill>
    <fill>
      <patternFill patternType="solid">
        <fgColor rgb="FFBF6000"/>
        <bgColor indexed="64"/>
      </patternFill>
    </fill>
    <fill>
      <patternFill patternType="solid">
        <fgColor rgb="FF4E342E"/>
        <bgColor indexed="64"/>
      </patternFill>
    </fill>
    <fill>
      <patternFill patternType="solid">
        <fgColor rgb="FFFEF3C7"/>
        <bgColor indexed="64"/>
      </patternFill>
    </fill>
    <fill>
      <patternFill patternType="solid">
        <fgColor rgb="FFFFFBEB"/>
        <bgColor indexed="64"/>
      </patternFill>
    </fill>
    <fill>
      <patternFill patternType="solid">
        <fgColor rgb="FFFFFBF5"/>
        <bgColor indexed="64"/>
      </patternFill>
    </fill>
    <fill>
      <patternFill patternType="solid">
        <fgColor rgb="FFE8F4FD"/>
        <bgColor indexed="64"/>
      </patternFill>
    </fill>
    <fill>
      <patternFill patternType="solid">
        <fgColor rgb="FFF0F8FF"/>
        <bgColor indexed="64"/>
      </patternFill>
    </fill>
    <fill>
      <patternFill patternType="solid">
        <fgColor rgb="FFFEF08A"/>
        <bgColor indexed="64"/>
      </patternFill>
    </fill>
    <fill>
      <patternFill patternType="solid">
        <fgColor rgb="FFFEF2F2"/>
        <bgColor indexed="64"/>
      </patternFill>
    </fill>
    <fill>
      <patternFill patternType="solid">
        <fgColor rgb="FFF5E6D3"/>
        <bgColor indexed="64"/>
      </patternFill>
    </fill>
    <fill>
      <patternFill patternType="solid">
        <fgColor rgb="FF1F4E79"/>
        <bgColor indexed="64"/>
      </patternFill>
    </fill>
    <fill>
      <patternFill patternType="solid">
        <fgColor rgb="FF2E75B6"/>
        <bgColor indexed="64"/>
      </patternFill>
    </fill>
    <fill>
      <patternFill patternType="solid">
        <fgColor rgb="FFD6DCE4"/>
        <bgColor indexed="64"/>
      </patternFill>
    </fill>
    <fill>
      <patternFill patternType="solid">
        <fgColor rgb="FFF2F2F2"/>
        <bgColor indexed="64"/>
      </patternFill>
    </fill>
    <fill>
      <patternFill patternType="solid">
        <fgColor rgb="FFD9E2F3"/>
        <bgColor indexed="64"/>
      </patternFill>
    </fill>
    <fill>
      <patternFill patternType="solid">
        <fgColor rgb="FF4472C4"/>
        <bgColor indexed="64"/>
      </patternFill>
    </fill>
    <fill>
      <patternFill patternType="solid">
        <fgColor rgb="FFFFC000"/>
        <bgColor indexed="64"/>
      </patternFill>
    </fill>
    <fill>
      <patternFill patternType="solid">
        <fgColor rgb="FFED7D31"/>
        <bgColor indexed="64"/>
      </patternFill>
    </fill>
    <fill>
      <patternFill patternType="solid">
        <fgColor rgb="FFA0522D"/>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70AD47"/>
        <bgColor indexed="64"/>
      </patternFill>
    </fill>
    <fill>
      <patternFill patternType="solid">
        <fgColor rgb="FF5B9BD5"/>
        <bgColor indexed="64"/>
      </patternFill>
    </fill>
    <fill>
      <patternFill patternType="solid">
        <fgColor rgb="FFA5A5A5"/>
        <bgColor indexed="64"/>
      </patternFill>
    </fill>
    <fill>
      <patternFill patternType="solid">
        <fgColor rgb="FF9E480E"/>
        <bgColor indexed="64"/>
      </patternFill>
    </fill>
    <fill>
      <patternFill patternType="solid">
        <fgColor rgb="FF2E6DA4"/>
        <bgColor indexed="64"/>
      </patternFill>
    </fill>
    <fill>
      <patternFill patternType="solid">
        <fgColor rgb="FFEBF3FB"/>
        <bgColor indexed="64"/>
      </patternFill>
    </fill>
    <fill>
      <patternFill patternType="solid">
        <fgColor rgb="FFD0E7F7"/>
        <bgColor indexed="64"/>
      </patternFill>
    </fill>
    <fill>
      <patternFill patternType="solid">
        <fgColor rgb="FFEBF7EF"/>
        <bgColor indexed="64"/>
      </patternFill>
    </fill>
    <fill>
      <patternFill patternType="solid">
        <fgColor rgb="FFC8EDDA"/>
        <bgColor indexed="64"/>
      </patternFill>
    </fill>
    <fill>
      <patternFill patternType="solid">
        <fgColor rgb="FFFDE8C4"/>
        <bgColor indexed="64"/>
      </patternFill>
    </fill>
    <fill>
      <patternFill patternType="solid">
        <fgColor rgb="FFFEF6E7"/>
        <bgColor indexed="64"/>
      </patternFill>
    </fill>
    <fill>
      <patternFill patternType="solid">
        <fgColor rgb="FF7B3F00"/>
        <bgColor indexed="64"/>
      </patternFill>
    </fill>
    <fill>
      <patternFill patternType="solid">
        <fgColor rgb="FFB25000"/>
        <bgColor indexed="64"/>
      </patternFill>
    </fill>
    <fill>
      <patternFill patternType="solid">
        <fgColor rgb="FFF5F0FF"/>
        <bgColor indexed="64"/>
      </patternFill>
    </fill>
    <fill>
      <patternFill patternType="solid">
        <fgColor rgb="FFE8DAFF"/>
        <bgColor indexed="64"/>
      </patternFill>
    </fill>
    <fill>
      <patternFill patternType="solid">
        <fgColor rgb="FFFFF8E1"/>
        <bgColor indexed="64"/>
      </patternFill>
    </fill>
    <fill>
      <patternFill patternType="solid">
        <fgColor rgb="FFFFECB3"/>
        <bgColor indexed="64"/>
      </patternFill>
    </fill>
    <fill>
      <patternFill patternType="solid">
        <fgColor rgb="FFE8F5E9"/>
        <bgColor indexed="64"/>
      </patternFill>
    </fill>
    <fill>
      <patternFill patternType="solid">
        <fgColor rgb="FFC8E6C9"/>
        <bgColor indexed="64"/>
      </patternFill>
    </fill>
    <fill>
      <patternFill patternType="solid">
        <fgColor rgb="FFE0F7FA"/>
        <bgColor indexed="64"/>
      </patternFill>
    </fill>
    <fill>
      <patternFill patternType="solid">
        <fgColor rgb="FFB2EBF2"/>
        <bgColor indexed="64"/>
      </patternFill>
    </fill>
    <fill>
      <patternFill patternType="solid">
        <fgColor rgb="FFFCE4EC"/>
        <bgColor indexed="64"/>
      </patternFill>
    </fill>
    <fill>
      <patternFill patternType="solid">
        <fgColor rgb="FFF8BBD0"/>
        <bgColor indexed="64"/>
      </patternFill>
    </fill>
    <fill>
      <patternFill patternType="solid">
        <fgColor rgb="FF0E7490"/>
        <bgColor indexed="64"/>
      </patternFill>
    </fill>
    <fill>
      <patternFill patternType="solid">
        <fgColor rgb="FF92400E"/>
        <bgColor indexed="64"/>
      </patternFill>
    </fill>
    <fill>
      <patternFill patternType="solid">
        <fgColor rgb="FF4C1D95"/>
        <bgColor indexed="64"/>
      </patternFill>
    </fill>
    <fill>
      <patternFill patternType="solid">
        <fgColor rgb="FF166534"/>
        <bgColor indexed="64"/>
      </patternFill>
    </fill>
    <fill>
      <patternFill patternType="solid">
        <fgColor rgb="FFF1F5F9"/>
        <bgColor indexed="64"/>
      </patternFill>
    </fill>
  </fills>
  <borders count="20">
    <border>
      <left/>
      <right/>
      <top/>
      <bottom/>
      <diagonal/>
    </border>
    <border>
      <left style="thin">
        <color rgb="FFCCCCCC"/>
      </left>
      <right style="thin">
        <color rgb="FFCCCCCC"/>
      </right>
      <top style="thin">
        <color rgb="FFCCCCCC"/>
      </top>
      <bottom style="thin">
        <color rgb="FFCCCCCC"/>
      </bottom>
      <diagonal/>
    </border>
    <border>
      <left style="thin">
        <color rgb="FF888888"/>
      </left>
      <right style="thin">
        <color rgb="FF888888"/>
      </right>
      <top style="thin">
        <color rgb="FF888888"/>
      </top>
      <bottom style="thin">
        <color rgb="FF888888"/>
      </bottom>
      <diagonal/>
    </border>
    <border>
      <left style="thin">
        <color rgb="FFDDDDDD"/>
      </left>
      <right style="thin">
        <color rgb="FFDDDDDD"/>
      </right>
      <top style="thin">
        <color rgb="FFDDDDDD"/>
      </top>
      <bottom style="thin">
        <color rgb="FFDDDDDD"/>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EEEEEE"/>
      </left>
      <right style="thin">
        <color rgb="FFEEEEEE"/>
      </right>
      <top style="thin">
        <color rgb="FFEEEEEE"/>
      </top>
      <bottom style="thin">
        <color rgb="FFEEEEEE"/>
      </bottom>
      <diagonal/>
    </border>
    <border>
      <left style="thin">
        <color rgb="FFB0B0B0"/>
      </left>
      <right style="thin">
        <color rgb="FFB0B0B0"/>
      </right>
      <top style="thin">
        <color rgb="FFB0B0B0"/>
      </top>
      <bottom style="thin">
        <color rgb="FFB0B0B0"/>
      </bottom>
      <diagonal/>
    </border>
    <border>
      <left/>
      <right/>
      <top/>
      <bottom style="thin">
        <color rgb="FF0D4A7A"/>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62" fillId="0" borderId="0" applyNumberFormat="0" applyFill="0" applyBorder="0" applyAlignment="0" applyProtection="0"/>
  </cellStyleXfs>
  <cellXfs count="1637">
    <xf numFmtId="0" fontId="0" fillId="0" borderId="0" xfId="0"/>
    <xf numFmtId="0" fontId="1" fillId="12" borderId="0" xfId="0" applyFont="1" applyFill="1" applyAlignment="1">
      <alignment horizontal="center" vertical="center"/>
    </xf>
    <xf numFmtId="0" fontId="6" fillId="13" borderId="0" xfId="0" applyFont="1" applyFill="1" applyAlignment="1">
      <alignment vertical="center" wrapText="1"/>
    </xf>
    <xf numFmtId="0" fontId="7" fillId="14" borderId="0" xfId="0" applyFont="1" applyFill="1" applyAlignment="1">
      <alignment vertical="center" wrapText="1"/>
    </xf>
    <xf numFmtId="0" fontId="3" fillId="14" borderId="0" xfId="0" applyFont="1" applyFill="1" applyAlignment="1">
      <alignment vertical="center" wrapText="1"/>
    </xf>
    <xf numFmtId="0" fontId="6" fillId="15" borderId="0" xfId="0" applyFont="1" applyFill="1" applyAlignment="1">
      <alignment vertical="center" wrapText="1"/>
    </xf>
    <xf numFmtId="0" fontId="6" fillId="16" borderId="0" xfId="0" applyFont="1" applyFill="1" applyAlignment="1">
      <alignment vertical="center" wrapText="1"/>
    </xf>
    <xf numFmtId="0" fontId="6" fillId="4" borderId="0" xfId="0" applyFont="1" applyFill="1" applyAlignment="1">
      <alignment vertical="center" wrapText="1"/>
    </xf>
    <xf numFmtId="0" fontId="6" fillId="17" borderId="0" xfId="0" applyFont="1" applyFill="1" applyAlignment="1">
      <alignment vertical="center" wrapText="1"/>
    </xf>
    <xf numFmtId="0" fontId="6" fillId="6" borderId="0" xfId="0" applyFont="1" applyFill="1" applyAlignment="1">
      <alignment vertical="center" wrapText="1"/>
    </xf>
    <xf numFmtId="0" fontId="2" fillId="19" borderId="1" xfId="0" applyFont="1" applyFill="1" applyBorder="1" applyAlignment="1">
      <alignment vertical="center"/>
    </xf>
    <xf numFmtId="0" fontId="2" fillId="19" borderId="1" xfId="0" applyFont="1" applyFill="1" applyBorder="1" applyAlignment="1">
      <alignment vertical="center" wrapText="1"/>
    </xf>
    <xf numFmtId="0" fontId="2" fillId="20" borderId="1" xfId="0" applyFont="1" applyFill="1" applyBorder="1" applyAlignment="1">
      <alignment vertical="center"/>
    </xf>
    <xf numFmtId="0" fontId="2" fillId="20" borderId="1" xfId="0" applyFont="1" applyFill="1" applyBorder="1" applyAlignment="1">
      <alignment vertical="center" wrapText="1"/>
    </xf>
    <xf numFmtId="0" fontId="2" fillId="21" borderId="1" xfId="0" applyFont="1" applyFill="1" applyBorder="1" applyAlignment="1">
      <alignment vertical="center"/>
    </xf>
    <xf numFmtId="0" fontId="2" fillId="21" borderId="1" xfId="0" applyFont="1" applyFill="1" applyBorder="1" applyAlignment="1">
      <alignment vertical="center" wrapText="1"/>
    </xf>
    <xf numFmtId="0" fontId="2" fillId="22" borderId="1" xfId="0" applyFont="1" applyFill="1" applyBorder="1" applyAlignment="1">
      <alignment vertical="center"/>
    </xf>
    <xf numFmtId="0" fontId="2" fillId="2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2" fillId="24" borderId="1" xfId="0" applyFont="1" applyFill="1" applyBorder="1" applyAlignment="1">
      <alignment vertical="center"/>
    </xf>
    <xf numFmtId="0" fontId="2" fillId="24" borderId="1" xfId="0" applyFont="1" applyFill="1" applyBorder="1" applyAlignment="1">
      <alignment vertical="center" wrapText="1"/>
    </xf>
    <xf numFmtId="0" fontId="12" fillId="8" borderId="1" xfId="0" applyFont="1" applyFill="1" applyBorder="1" applyAlignment="1">
      <alignment horizontal="center" vertical="center"/>
    </xf>
    <xf numFmtId="0" fontId="13" fillId="32" borderId="3" xfId="0" applyFont="1" applyFill="1" applyBorder="1" applyAlignment="1">
      <alignment horizontal="left" vertical="center" wrapText="1"/>
    </xf>
    <xf numFmtId="0" fontId="14" fillId="32" borderId="3" xfId="0" applyFont="1" applyFill="1" applyBorder="1" applyAlignment="1">
      <alignment horizontal="left" vertical="center" wrapText="1"/>
    </xf>
    <xf numFmtId="0" fontId="13" fillId="23" borderId="3" xfId="0" applyFont="1" applyFill="1" applyBorder="1" applyAlignment="1">
      <alignment horizontal="left" vertical="center" wrapText="1"/>
    </xf>
    <xf numFmtId="0" fontId="14" fillId="23" borderId="3" xfId="0" applyFont="1" applyFill="1" applyBorder="1" applyAlignment="1">
      <alignment horizontal="left" vertical="center" wrapText="1"/>
    </xf>
    <xf numFmtId="0" fontId="13" fillId="34" borderId="3" xfId="0" applyFont="1" applyFill="1" applyBorder="1" applyAlignment="1">
      <alignment horizontal="left" vertical="center" wrapText="1"/>
    </xf>
    <xf numFmtId="0" fontId="14" fillId="34" borderId="3" xfId="0" applyFont="1" applyFill="1" applyBorder="1" applyAlignment="1">
      <alignment horizontal="left" vertical="center" wrapText="1"/>
    </xf>
    <xf numFmtId="0" fontId="13" fillId="37" borderId="3" xfId="0" applyFont="1" applyFill="1" applyBorder="1" applyAlignment="1">
      <alignment horizontal="left" vertical="center" wrapText="1"/>
    </xf>
    <xf numFmtId="0" fontId="14" fillId="37" borderId="3" xfId="0" applyFont="1" applyFill="1" applyBorder="1" applyAlignment="1">
      <alignment horizontal="left" vertical="center" wrapText="1"/>
    </xf>
    <xf numFmtId="0" fontId="13" fillId="40" borderId="3" xfId="0" applyFont="1" applyFill="1" applyBorder="1" applyAlignment="1">
      <alignment horizontal="left" vertical="center" wrapText="1"/>
    </xf>
    <xf numFmtId="0" fontId="14" fillId="40" borderId="3" xfId="0" applyFont="1" applyFill="1" applyBorder="1" applyAlignment="1">
      <alignment horizontal="left" vertical="center" wrapText="1"/>
    </xf>
    <xf numFmtId="0" fontId="13" fillId="43" borderId="3" xfId="0" applyFont="1" applyFill="1" applyBorder="1" applyAlignment="1">
      <alignment horizontal="left" vertical="center" wrapText="1"/>
    </xf>
    <xf numFmtId="0" fontId="14" fillId="43" borderId="3" xfId="0" applyFont="1" applyFill="1" applyBorder="1" applyAlignment="1">
      <alignment horizontal="left" vertical="center" wrapText="1"/>
    </xf>
    <xf numFmtId="0" fontId="13" fillId="46" borderId="3" xfId="0" applyFont="1" applyFill="1" applyBorder="1" applyAlignment="1">
      <alignment horizontal="left" vertical="center" wrapText="1"/>
    </xf>
    <xf numFmtId="0" fontId="14" fillId="46" borderId="3" xfId="0" applyFont="1" applyFill="1" applyBorder="1" applyAlignment="1">
      <alignment horizontal="left" vertical="center" wrapText="1"/>
    </xf>
    <xf numFmtId="0" fontId="18" fillId="49" borderId="0" xfId="0" applyFont="1" applyFill="1" applyAlignment="1">
      <alignment horizontal="center" vertical="center" wrapText="1"/>
    </xf>
    <xf numFmtId="0" fontId="12" fillId="8" borderId="0" xfId="0" applyFont="1" applyFill="1" applyAlignment="1">
      <alignment horizontal="center" vertical="center"/>
    </xf>
    <xf numFmtId="0" fontId="13" fillId="23" borderId="0" xfId="0" applyFont="1" applyFill="1" applyAlignment="1">
      <alignment horizontal="left" vertical="center" wrapText="1"/>
    </xf>
    <xf numFmtId="0" fontId="14" fillId="23" borderId="0" xfId="0" applyFont="1" applyFill="1" applyAlignment="1">
      <alignment horizontal="left" vertical="center" wrapText="1"/>
    </xf>
    <xf numFmtId="0" fontId="13" fillId="52" borderId="0" xfId="0" applyFont="1" applyFill="1" applyAlignment="1">
      <alignment horizontal="left" vertical="center" wrapText="1"/>
    </xf>
    <xf numFmtId="0" fontId="14" fillId="52" borderId="0" xfId="0" applyFont="1" applyFill="1" applyAlignment="1">
      <alignment horizontal="left" vertical="center" wrapText="1"/>
    </xf>
    <xf numFmtId="0" fontId="19" fillId="23" borderId="8" xfId="0" applyFont="1" applyFill="1" applyBorder="1" applyAlignment="1">
      <alignment horizontal="left" vertical="center"/>
    </xf>
    <xf numFmtId="0" fontId="19" fillId="23" borderId="8" xfId="0" applyFont="1" applyFill="1" applyBorder="1" applyAlignment="1">
      <alignment horizontal="left" vertical="center" wrapText="1"/>
    </xf>
    <xf numFmtId="0" fontId="20" fillId="2" borderId="1" xfId="0" applyFont="1" applyFill="1" applyBorder="1" applyAlignment="1">
      <alignment vertical="center"/>
    </xf>
    <xf numFmtId="0" fontId="20" fillId="19" borderId="1" xfId="0" applyFont="1" applyFill="1" applyBorder="1" applyAlignment="1">
      <alignment vertical="center"/>
    </xf>
    <xf numFmtId="0" fontId="20" fillId="20" borderId="1" xfId="0" applyFont="1" applyFill="1" applyBorder="1" applyAlignment="1">
      <alignment vertical="center"/>
    </xf>
    <xf numFmtId="0" fontId="20" fillId="21" borderId="1" xfId="0" applyFont="1" applyFill="1" applyBorder="1" applyAlignment="1">
      <alignment vertical="center"/>
    </xf>
    <xf numFmtId="0" fontId="20" fillId="24" borderId="1" xfId="0" applyFont="1" applyFill="1" applyBorder="1" applyAlignment="1">
      <alignment vertical="center"/>
    </xf>
    <xf numFmtId="0" fontId="24" fillId="27" borderId="0" xfId="0" applyFont="1" applyFill="1" applyAlignment="1">
      <alignment horizontal="left" vertical="center" indent="1"/>
    </xf>
    <xf numFmtId="0" fontId="19" fillId="27" borderId="0" xfId="0" applyFont="1" applyFill="1" applyAlignment="1">
      <alignment horizontal="left" vertical="center" wrapText="1"/>
    </xf>
    <xf numFmtId="0" fontId="24" fillId="56" borderId="0" xfId="0" applyFont="1" applyFill="1" applyAlignment="1">
      <alignment horizontal="left" vertical="center" indent="1"/>
    </xf>
    <xf numFmtId="0" fontId="19" fillId="56" borderId="0" xfId="0" applyFont="1" applyFill="1" applyAlignment="1">
      <alignment horizontal="left" vertical="center" wrapText="1"/>
    </xf>
    <xf numFmtId="0" fontId="0" fillId="23" borderId="0" xfId="0" applyFill="1"/>
    <xf numFmtId="0" fontId="24" fillId="7" borderId="0" xfId="0" applyFont="1" applyFill="1" applyAlignment="1">
      <alignment horizontal="left" vertical="center" indent="1"/>
    </xf>
    <xf numFmtId="0" fontId="19" fillId="7" borderId="0" xfId="0" applyFont="1" applyFill="1" applyAlignment="1">
      <alignment horizontal="left" vertical="center" wrapText="1"/>
    </xf>
    <xf numFmtId="0" fontId="24" fillId="58" borderId="0" xfId="0" applyFont="1" applyFill="1" applyAlignment="1">
      <alignment horizontal="left" vertical="center" indent="1"/>
    </xf>
    <xf numFmtId="0" fontId="19" fillId="58" borderId="0" xfId="0" applyFont="1" applyFill="1" applyAlignment="1">
      <alignment horizontal="left" vertical="center" wrapText="1"/>
    </xf>
    <xf numFmtId="0" fontId="24" fillId="25" borderId="0" xfId="0" applyFont="1" applyFill="1" applyAlignment="1">
      <alignment horizontal="left" vertical="center" indent="1"/>
    </xf>
    <xf numFmtId="0" fontId="19" fillId="25" borderId="0" xfId="0" applyFont="1" applyFill="1" applyAlignment="1">
      <alignment horizontal="left" vertical="center" wrapText="1"/>
    </xf>
    <xf numFmtId="0" fontId="24" fillId="60" borderId="0" xfId="0" applyFont="1" applyFill="1" applyAlignment="1">
      <alignment horizontal="left" vertical="center" indent="1"/>
    </xf>
    <xf numFmtId="0" fontId="19" fillId="60" borderId="0" xfId="0" applyFont="1" applyFill="1" applyAlignment="1">
      <alignment horizontal="left" vertical="center" wrapText="1"/>
    </xf>
    <xf numFmtId="0" fontId="24" fillId="61" borderId="0" xfId="0" applyFont="1" applyFill="1" applyAlignment="1">
      <alignment horizontal="left" vertical="center" indent="1"/>
    </xf>
    <xf numFmtId="0" fontId="19" fillId="61" borderId="0" xfId="0" applyFont="1" applyFill="1" applyAlignment="1">
      <alignment horizontal="left" vertical="center" wrapText="1"/>
    </xf>
    <xf numFmtId="0" fontId="24" fillId="62" borderId="0" xfId="0" applyFont="1" applyFill="1" applyAlignment="1">
      <alignment horizontal="left" vertical="center" indent="1"/>
    </xf>
    <xf numFmtId="0" fontId="19" fillId="62" borderId="0" xfId="0" applyFont="1" applyFill="1" applyAlignment="1">
      <alignment horizontal="left" vertical="center" wrapText="1"/>
    </xf>
    <xf numFmtId="0" fontId="24" fillId="64" borderId="0" xfId="0" applyFont="1" applyFill="1" applyAlignment="1">
      <alignment horizontal="left" vertical="center" indent="1"/>
    </xf>
    <xf numFmtId="0" fontId="19" fillId="64" borderId="0" xfId="0" applyFont="1" applyFill="1" applyAlignment="1">
      <alignment horizontal="left" vertical="center" wrapText="1"/>
    </xf>
    <xf numFmtId="0" fontId="24" fillId="65" borderId="0" xfId="0" applyFont="1" applyFill="1" applyAlignment="1">
      <alignment horizontal="left" vertical="center" indent="1"/>
    </xf>
    <xf numFmtId="0" fontId="19" fillId="65" borderId="0" xfId="0" applyFont="1" applyFill="1" applyAlignment="1">
      <alignment horizontal="left" vertical="center" wrapText="1"/>
    </xf>
    <xf numFmtId="0" fontId="24" fillId="67" borderId="0" xfId="0" applyFont="1" applyFill="1" applyAlignment="1">
      <alignment horizontal="left" vertical="center" indent="1"/>
    </xf>
    <xf numFmtId="0" fontId="19" fillId="67" borderId="0" xfId="0" applyFont="1" applyFill="1" applyAlignment="1">
      <alignment horizontal="left" vertical="center" wrapText="1"/>
    </xf>
    <xf numFmtId="0" fontId="24" fillId="68" borderId="0" xfId="0" applyFont="1" applyFill="1" applyAlignment="1">
      <alignment horizontal="left" vertical="center" indent="1"/>
    </xf>
    <xf numFmtId="0" fontId="19" fillId="68" borderId="0" xfId="0" applyFont="1" applyFill="1" applyAlignment="1">
      <alignment horizontal="left" vertical="center" wrapText="1"/>
    </xf>
    <xf numFmtId="0" fontId="24" fillId="55" borderId="0" xfId="0" applyFont="1" applyFill="1" applyAlignment="1">
      <alignment horizontal="left" vertical="center" indent="1"/>
    </xf>
    <xf numFmtId="0" fontId="19" fillId="55" borderId="0" xfId="0" applyFont="1" applyFill="1" applyAlignment="1">
      <alignment horizontal="left" vertical="center" wrapText="1"/>
    </xf>
    <xf numFmtId="0" fontId="24" fillId="70" borderId="0" xfId="0" applyFont="1" applyFill="1" applyAlignment="1">
      <alignment horizontal="left" vertical="center" indent="1"/>
    </xf>
    <xf numFmtId="0" fontId="19" fillId="70" borderId="0" xfId="0" applyFont="1" applyFill="1" applyAlignment="1">
      <alignment horizontal="left" vertical="center" wrapText="1"/>
    </xf>
    <xf numFmtId="0" fontId="24" fillId="14" borderId="0" xfId="0" applyFont="1" applyFill="1" applyAlignment="1">
      <alignment horizontal="left" vertical="center" indent="1"/>
    </xf>
    <xf numFmtId="0" fontId="19" fillId="14" borderId="0" xfId="0" applyFont="1" applyFill="1" applyAlignment="1">
      <alignment horizontal="left" vertical="center" wrapText="1"/>
    </xf>
    <xf numFmtId="0" fontId="24" fillId="71" borderId="0" xfId="0" applyFont="1" applyFill="1" applyAlignment="1">
      <alignment horizontal="left" vertical="center" indent="1"/>
    </xf>
    <xf numFmtId="0" fontId="19" fillId="71" borderId="0" xfId="0" applyFont="1" applyFill="1" applyAlignment="1">
      <alignment horizontal="left" vertical="center" wrapText="1"/>
    </xf>
    <xf numFmtId="0" fontId="24" fillId="23" borderId="0" xfId="0" applyFont="1" applyFill="1" applyAlignment="1">
      <alignment horizontal="left" vertical="center" indent="1"/>
    </xf>
    <xf numFmtId="0" fontId="20" fillId="23" borderId="0" xfId="0" applyFont="1" applyFill="1" applyAlignment="1">
      <alignment horizontal="left" vertical="center"/>
    </xf>
    <xf numFmtId="0" fontId="21" fillId="2" borderId="1" xfId="0" applyFont="1" applyFill="1" applyBorder="1" applyAlignment="1">
      <alignment horizontal="center" vertical="center"/>
    </xf>
    <xf numFmtId="0" fontId="21" fillId="19" borderId="1" xfId="0" applyFont="1" applyFill="1" applyBorder="1" applyAlignment="1">
      <alignment horizontal="center" vertical="center"/>
    </xf>
    <xf numFmtId="0" fontId="21" fillId="20" borderId="1" xfId="0" applyFont="1" applyFill="1" applyBorder="1" applyAlignment="1">
      <alignment horizontal="center" vertical="center"/>
    </xf>
    <xf numFmtId="0" fontId="21" fillId="21" borderId="1" xfId="0" applyFont="1" applyFill="1" applyBorder="1" applyAlignment="1">
      <alignment horizontal="center" vertical="center"/>
    </xf>
    <xf numFmtId="0" fontId="21" fillId="22" borderId="1" xfId="0" applyFont="1" applyFill="1" applyBorder="1" applyAlignment="1">
      <alignment horizontal="center" vertical="center"/>
    </xf>
    <xf numFmtId="0" fontId="21" fillId="24" borderId="1" xfId="0" applyFont="1" applyFill="1" applyBorder="1" applyAlignment="1">
      <alignment horizontal="center" vertical="center"/>
    </xf>
    <xf numFmtId="0" fontId="29" fillId="49" borderId="1" xfId="0" applyFont="1" applyFill="1" applyBorder="1" applyAlignment="1">
      <alignment horizontal="center" vertical="center" wrapText="1"/>
    </xf>
    <xf numFmtId="0" fontId="19" fillId="74" borderId="8" xfId="0" applyFont="1" applyFill="1" applyBorder="1" applyAlignment="1">
      <alignment horizontal="left" vertical="center"/>
    </xf>
    <xf numFmtId="0" fontId="20" fillId="74" borderId="8" xfId="0" applyFont="1" applyFill="1" applyBorder="1" applyAlignment="1">
      <alignment horizontal="left" vertical="center"/>
    </xf>
    <xf numFmtId="0" fontId="19" fillId="74" borderId="8" xfId="0" applyFont="1" applyFill="1" applyBorder="1" applyAlignment="1">
      <alignment horizontal="left" vertical="center" wrapText="1"/>
    </xf>
    <xf numFmtId="0" fontId="20" fillId="23" borderId="8" xfId="0" applyFont="1" applyFill="1" applyBorder="1" applyAlignment="1">
      <alignment horizontal="left" vertical="center"/>
    </xf>
    <xf numFmtId="0" fontId="21" fillId="3" borderId="0" xfId="0" applyFont="1" applyFill="1" applyAlignment="1">
      <alignment horizontal="center" vertical="center"/>
    </xf>
    <xf numFmtId="0" fontId="32" fillId="23" borderId="9" xfId="0" applyFont="1" applyFill="1" applyBorder="1" applyAlignment="1">
      <alignment horizontal="center" vertical="center" wrapText="1"/>
    </xf>
    <xf numFmtId="0" fontId="33" fillId="23"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2" fillId="23" borderId="9" xfId="0" applyFont="1" applyFill="1" applyBorder="1" applyAlignment="1">
      <alignment horizontal="left" vertical="center" wrapText="1"/>
    </xf>
    <xf numFmtId="0" fontId="32" fillId="80" borderId="9" xfId="0" applyFont="1" applyFill="1" applyBorder="1" applyAlignment="1">
      <alignment horizontal="center" vertical="center" wrapText="1"/>
    </xf>
    <xf numFmtId="0" fontId="33" fillId="80" borderId="9" xfId="0" applyFont="1" applyFill="1" applyBorder="1" applyAlignment="1">
      <alignment horizontal="left" vertical="center" wrapText="1"/>
    </xf>
    <xf numFmtId="0" fontId="34" fillId="80" borderId="9" xfId="0" applyFont="1" applyFill="1" applyBorder="1" applyAlignment="1">
      <alignment horizontal="left" vertical="center" wrapText="1"/>
    </xf>
    <xf numFmtId="0" fontId="32" fillId="80" borderId="9" xfId="0" applyFont="1" applyFill="1" applyBorder="1" applyAlignment="1">
      <alignment horizontal="left" vertical="center" wrapText="1"/>
    </xf>
    <xf numFmtId="0" fontId="35" fillId="23" borderId="9" xfId="0" applyFont="1" applyFill="1" applyBorder="1" applyAlignment="1">
      <alignment horizontal="left" vertical="center" wrapText="1"/>
    </xf>
    <xf numFmtId="0" fontId="35" fillId="80" borderId="9" xfId="0" applyFont="1" applyFill="1" applyBorder="1" applyAlignment="1">
      <alignment horizontal="left" vertical="center" wrapText="1"/>
    </xf>
    <xf numFmtId="0" fontId="36" fillId="80" borderId="9" xfId="0" applyFont="1" applyFill="1" applyBorder="1" applyAlignment="1">
      <alignment horizontal="left" vertical="center" wrapText="1"/>
    </xf>
    <xf numFmtId="0" fontId="36" fillId="23" borderId="9" xfId="0" applyFont="1" applyFill="1" applyBorder="1" applyAlignment="1">
      <alignment horizontal="left" vertical="center" wrapText="1"/>
    </xf>
    <xf numFmtId="0" fontId="37" fillId="23" borderId="9" xfId="0" applyFont="1" applyFill="1" applyBorder="1" applyAlignment="1">
      <alignment horizontal="left" vertical="center" wrapText="1"/>
    </xf>
    <xf numFmtId="0" fontId="37" fillId="80" borderId="9" xfId="0" applyFont="1" applyFill="1" applyBorder="1" applyAlignment="1">
      <alignment horizontal="left" vertical="center" wrapText="1"/>
    </xf>
    <xf numFmtId="0" fontId="38" fillId="0" borderId="0" xfId="0" applyFont="1" applyAlignment="1">
      <alignment horizontal="left" vertical="center" wrapText="1"/>
    </xf>
    <xf numFmtId="0" fontId="32" fillId="81" borderId="0" xfId="0" applyFont="1" applyFill="1" applyAlignment="1">
      <alignment horizontal="center" vertical="center" wrapText="1"/>
    </xf>
    <xf numFmtId="0" fontId="32" fillId="81" borderId="0" xfId="0" applyFont="1" applyFill="1" applyAlignment="1">
      <alignment horizontal="left" vertical="center" wrapText="1"/>
    </xf>
    <xf numFmtId="0" fontId="21" fillId="81" borderId="0" xfId="0" applyFont="1" applyFill="1" applyAlignment="1">
      <alignment horizontal="center" vertical="center" wrapText="1"/>
    </xf>
    <xf numFmtId="0" fontId="32" fillId="23" borderId="0" xfId="0" applyFont="1" applyFill="1" applyAlignment="1">
      <alignment horizontal="center" vertical="center" wrapText="1"/>
    </xf>
    <xf numFmtId="0" fontId="32" fillId="23" borderId="0" xfId="0" applyFont="1" applyFill="1" applyAlignment="1">
      <alignment horizontal="left" vertical="center" wrapText="1"/>
    </xf>
    <xf numFmtId="0" fontId="32" fillId="82" borderId="0" xfId="0" applyFont="1" applyFill="1" applyAlignment="1">
      <alignment horizontal="center" vertical="center" wrapText="1"/>
    </xf>
    <xf numFmtId="0" fontId="32" fillId="82" borderId="0" xfId="0" applyFont="1" applyFill="1" applyAlignment="1">
      <alignment horizontal="left" vertical="center" wrapText="1"/>
    </xf>
    <xf numFmtId="0" fontId="21" fillId="82" borderId="0" xfId="0" applyFont="1" applyFill="1" applyAlignment="1">
      <alignment horizontal="center" vertical="center" wrapText="1"/>
    </xf>
    <xf numFmtId="0" fontId="32" fillId="83" borderId="0" xfId="0" applyFont="1" applyFill="1" applyAlignment="1">
      <alignment horizontal="center" vertical="center" wrapText="1"/>
    </xf>
    <xf numFmtId="0" fontId="32" fillId="83" borderId="0" xfId="0" applyFont="1" applyFill="1" applyAlignment="1">
      <alignment horizontal="left" vertical="center" wrapText="1"/>
    </xf>
    <xf numFmtId="0" fontId="32" fillId="84" borderId="0" xfId="0" applyFont="1" applyFill="1" applyAlignment="1">
      <alignment horizontal="center" vertical="center" wrapText="1"/>
    </xf>
    <xf numFmtId="0" fontId="32" fillId="84" borderId="0" xfId="0" applyFont="1" applyFill="1" applyAlignment="1">
      <alignment horizontal="left" vertical="center" wrapText="1"/>
    </xf>
    <xf numFmtId="0" fontId="32" fillId="3" borderId="0" xfId="0" applyFont="1" applyFill="1" applyAlignment="1">
      <alignment horizontal="center" vertical="center" wrapText="1"/>
    </xf>
    <xf numFmtId="0" fontId="32" fillId="3" borderId="0" xfId="0" applyFont="1" applyFill="1" applyAlignment="1">
      <alignment horizontal="left" vertical="center" wrapText="1"/>
    </xf>
    <xf numFmtId="0" fontId="32" fillId="85" borderId="0" xfId="0" applyFont="1" applyFill="1" applyAlignment="1">
      <alignment horizontal="center" vertical="center" wrapText="1"/>
    </xf>
    <xf numFmtId="0" fontId="32" fillId="85" borderId="0" xfId="0" applyFont="1" applyFill="1" applyAlignment="1">
      <alignment horizontal="left" vertical="center" wrapText="1"/>
    </xf>
    <xf numFmtId="0" fontId="32" fillId="86" borderId="0" xfId="0" applyFont="1" applyFill="1" applyAlignment="1">
      <alignment horizontal="center" vertical="center" wrapText="1"/>
    </xf>
    <xf numFmtId="0" fontId="32" fillId="86" borderId="0" xfId="0" applyFont="1" applyFill="1" applyAlignment="1">
      <alignment horizontal="left" vertical="center" wrapText="1"/>
    </xf>
    <xf numFmtId="0" fontId="21" fillId="86" borderId="0" xfId="0" applyFont="1" applyFill="1" applyAlignment="1">
      <alignment horizontal="center" vertical="center" wrapText="1"/>
    </xf>
    <xf numFmtId="0" fontId="32" fillId="26" borderId="0" xfId="0" applyFont="1" applyFill="1" applyAlignment="1">
      <alignment horizontal="center" vertical="center" wrapText="1"/>
    </xf>
    <xf numFmtId="0" fontId="32" fillId="26" borderId="0" xfId="0" applyFont="1" applyFill="1" applyAlignment="1">
      <alignment horizontal="left" vertical="center" wrapText="1"/>
    </xf>
    <xf numFmtId="0" fontId="24" fillId="87" borderId="0" xfId="0" applyFont="1" applyFill="1" applyAlignment="1">
      <alignment horizontal="center" vertical="center" wrapText="1"/>
    </xf>
    <xf numFmtId="0" fontId="42" fillId="88" borderId="0" xfId="0" applyFont="1" applyFill="1" applyAlignment="1">
      <alignment horizontal="center" vertical="center" wrapText="1"/>
    </xf>
    <xf numFmtId="0" fontId="24" fillId="88" borderId="0" xfId="0" applyFont="1" applyFill="1" applyAlignment="1">
      <alignment horizontal="left" vertical="center"/>
    </xf>
    <xf numFmtId="0" fontId="20" fillId="88" borderId="0" xfId="0" applyFont="1" applyFill="1" applyAlignment="1">
      <alignment horizontal="center" vertical="center" wrapText="1"/>
    </xf>
    <xf numFmtId="0" fontId="42" fillId="23" borderId="0" xfId="0" applyFont="1" applyFill="1" applyAlignment="1">
      <alignment horizontal="center" vertical="center" wrapText="1"/>
    </xf>
    <xf numFmtId="0" fontId="24" fillId="23" borderId="0" xfId="0" applyFont="1" applyFill="1" applyAlignment="1">
      <alignment horizontal="left" vertical="center"/>
    </xf>
    <xf numFmtId="0" fontId="20" fillId="23" borderId="0" xfId="0" applyFont="1" applyFill="1" applyAlignment="1">
      <alignment horizontal="center" vertical="center" wrapText="1"/>
    </xf>
    <xf numFmtId="0" fontId="21" fillId="23" borderId="9" xfId="0" applyFont="1" applyFill="1" applyBorder="1" applyAlignment="1">
      <alignment horizontal="center" vertical="center"/>
    </xf>
    <xf numFmtId="0" fontId="21" fillId="80" borderId="9" xfId="0" applyFont="1" applyFill="1" applyBorder="1" applyAlignment="1">
      <alignment horizontal="center" vertical="center"/>
    </xf>
    <xf numFmtId="0" fontId="21" fillId="81" borderId="0" xfId="0" applyFont="1" applyFill="1" applyAlignment="1">
      <alignment horizontal="center" vertical="center"/>
    </xf>
    <xf numFmtId="0" fontId="21" fillId="23" borderId="0" xfId="0" applyFont="1" applyFill="1" applyAlignment="1">
      <alignment horizontal="center" vertical="center"/>
    </xf>
    <xf numFmtId="0" fontId="21" fillId="82" borderId="0" xfId="0" applyFont="1" applyFill="1" applyAlignment="1">
      <alignment horizontal="center" vertical="center"/>
    </xf>
    <xf numFmtId="0" fontId="21" fillId="83" borderId="0" xfId="0" applyFont="1" applyFill="1" applyAlignment="1">
      <alignment horizontal="center" vertical="center"/>
    </xf>
    <xf numFmtId="0" fontId="21" fillId="84" borderId="0" xfId="0" applyFont="1" applyFill="1" applyAlignment="1">
      <alignment horizontal="center" vertical="center"/>
    </xf>
    <xf numFmtId="0" fontId="21" fillId="85" borderId="0" xfId="0" applyFont="1" applyFill="1" applyAlignment="1">
      <alignment horizontal="center" vertical="center"/>
    </xf>
    <xf numFmtId="0" fontId="21" fillId="86" borderId="0" xfId="0" applyFont="1" applyFill="1" applyAlignment="1">
      <alignment horizontal="center" vertical="center"/>
    </xf>
    <xf numFmtId="0" fontId="21" fillId="26" borderId="0" xfId="0" applyFont="1" applyFill="1" applyAlignment="1">
      <alignment horizontal="center" vertical="center"/>
    </xf>
    <xf numFmtId="0" fontId="43" fillId="81" borderId="0" xfId="0" applyFont="1" applyFill="1" applyAlignment="1">
      <alignment horizontal="left" vertical="center" wrapText="1"/>
    </xf>
    <xf numFmtId="0" fontId="44" fillId="81" borderId="0" xfId="0" applyFont="1" applyFill="1" applyAlignment="1">
      <alignment horizontal="center" vertical="center" wrapText="1"/>
    </xf>
    <xf numFmtId="0" fontId="45" fillId="81" borderId="0" xfId="0" applyFont="1" applyFill="1" applyAlignment="1">
      <alignment horizontal="center" vertical="center" wrapText="1"/>
    </xf>
    <xf numFmtId="0" fontId="44" fillId="81" borderId="0" xfId="0" applyFont="1" applyFill="1" applyAlignment="1">
      <alignment horizontal="left" vertical="top" wrapText="1"/>
    </xf>
    <xf numFmtId="0" fontId="31" fillId="81" borderId="0" xfId="0" applyFont="1" applyFill="1" applyAlignment="1">
      <alignment horizontal="center" vertical="center" wrapText="1"/>
    </xf>
    <xf numFmtId="0" fontId="40" fillId="81" borderId="0" xfId="0" applyFont="1" applyFill="1" applyAlignment="1">
      <alignment horizontal="left" vertical="center" wrapText="1"/>
    </xf>
    <xf numFmtId="0" fontId="43" fillId="87" borderId="0" xfId="0" applyFont="1" applyFill="1" applyAlignment="1">
      <alignment horizontal="left" vertical="center" wrapText="1"/>
    </xf>
    <xf numFmtId="0" fontId="44" fillId="87" borderId="0" xfId="0" applyFont="1" applyFill="1" applyAlignment="1">
      <alignment horizontal="center" vertical="center" wrapText="1"/>
    </xf>
    <xf numFmtId="0" fontId="45" fillId="87" borderId="0" xfId="0" applyFont="1" applyFill="1" applyAlignment="1">
      <alignment horizontal="center" vertical="center" wrapText="1"/>
    </xf>
    <xf numFmtId="0" fontId="44" fillId="87" borderId="0" xfId="0" applyFont="1" applyFill="1" applyAlignment="1">
      <alignment horizontal="left" vertical="top" wrapText="1"/>
    </xf>
    <xf numFmtId="0" fontId="21" fillId="87" borderId="0" xfId="0" applyFont="1" applyFill="1" applyAlignment="1">
      <alignment horizontal="center" vertical="center" wrapText="1"/>
    </xf>
    <xf numFmtId="0" fontId="31" fillId="87" borderId="0" xfId="0" applyFont="1" applyFill="1" applyAlignment="1">
      <alignment horizontal="center" vertical="center" wrapText="1"/>
    </xf>
    <xf numFmtId="0" fontId="40" fillId="87" borderId="0" xfId="0" applyFont="1" applyFill="1" applyAlignment="1">
      <alignment horizontal="left" vertical="center" wrapText="1"/>
    </xf>
    <xf numFmtId="0" fontId="46" fillId="81" borderId="0" xfId="0" applyFont="1" applyFill="1" applyAlignment="1">
      <alignment horizontal="center" vertical="center" wrapText="1"/>
    </xf>
    <xf numFmtId="0" fontId="20" fillId="81" borderId="0" xfId="0" applyFont="1" applyFill="1" applyAlignment="1">
      <alignment horizontal="center" vertical="center" wrapText="1"/>
    </xf>
    <xf numFmtId="0" fontId="46" fillId="87" borderId="0" xfId="0" applyFont="1" applyFill="1" applyAlignment="1">
      <alignment horizontal="center" vertical="center" wrapText="1"/>
    </xf>
    <xf numFmtId="0" fontId="20" fillId="87" borderId="0" xfId="0" applyFont="1" applyFill="1" applyAlignment="1">
      <alignment horizontal="center" vertical="center" wrapText="1"/>
    </xf>
    <xf numFmtId="0" fontId="43" fillId="82" borderId="0" xfId="0" applyFont="1" applyFill="1" applyAlignment="1">
      <alignment horizontal="left" vertical="center" wrapText="1"/>
    </xf>
    <xf numFmtId="0" fontId="44" fillId="82" borderId="0" xfId="0" applyFont="1" applyFill="1" applyAlignment="1">
      <alignment horizontal="center" vertical="center" wrapText="1"/>
    </xf>
    <xf numFmtId="0" fontId="47" fillId="90" borderId="0" xfId="0" applyFont="1" applyFill="1" applyAlignment="1">
      <alignment horizontal="center" vertical="center" wrapText="1"/>
    </xf>
    <xf numFmtId="0" fontId="45" fillId="82" borderId="0" xfId="0" applyFont="1" applyFill="1" applyAlignment="1">
      <alignment horizontal="center" vertical="center" wrapText="1"/>
    </xf>
    <xf numFmtId="0" fontId="44" fillId="82" borderId="0" xfId="0" applyFont="1" applyFill="1" applyAlignment="1">
      <alignment horizontal="left" vertical="top" wrapText="1"/>
    </xf>
    <xf numFmtId="0" fontId="31" fillId="82" borderId="0" xfId="0" applyFont="1" applyFill="1" applyAlignment="1">
      <alignment horizontal="center" vertical="center" wrapText="1"/>
    </xf>
    <xf numFmtId="0" fontId="40" fillId="82" borderId="0" xfId="0" applyFont="1" applyFill="1" applyAlignment="1">
      <alignment horizontal="left" vertical="center" wrapText="1"/>
    </xf>
    <xf numFmtId="0" fontId="43" fillId="90" borderId="0" xfId="0" applyFont="1" applyFill="1" applyAlignment="1">
      <alignment horizontal="left" vertical="center" wrapText="1"/>
    </xf>
    <xf numFmtId="0" fontId="44" fillId="90" borderId="0" xfId="0" applyFont="1" applyFill="1" applyAlignment="1">
      <alignment horizontal="center" vertical="center" wrapText="1"/>
    </xf>
    <xf numFmtId="0" fontId="45" fillId="90" borderId="0" xfId="0" applyFont="1" applyFill="1" applyAlignment="1">
      <alignment horizontal="center" vertical="center" wrapText="1"/>
    </xf>
    <xf numFmtId="0" fontId="44" fillId="90" borderId="0" xfId="0" applyFont="1" applyFill="1" applyAlignment="1">
      <alignment horizontal="left" vertical="top" wrapText="1"/>
    </xf>
    <xf numFmtId="0" fontId="21" fillId="90" borderId="0" xfId="0" applyFont="1" applyFill="1" applyAlignment="1">
      <alignment horizontal="center" vertical="center" wrapText="1"/>
    </xf>
    <xf numFmtId="0" fontId="31" fillId="90" borderId="0" xfId="0" applyFont="1" applyFill="1" applyAlignment="1">
      <alignment horizontal="center" vertical="center" wrapText="1"/>
    </xf>
    <xf numFmtId="0" fontId="40" fillId="90" borderId="0" xfId="0" applyFont="1" applyFill="1" applyAlignment="1">
      <alignment horizontal="left" vertical="center" wrapText="1"/>
    </xf>
    <xf numFmtId="0" fontId="46" fillId="82" borderId="0" xfId="0" applyFont="1" applyFill="1" applyAlignment="1">
      <alignment horizontal="center" vertical="center" wrapText="1"/>
    </xf>
    <xf numFmtId="0" fontId="20" fillId="82" borderId="0" xfId="0" applyFont="1" applyFill="1" applyAlignment="1">
      <alignment horizontal="center" vertical="center" wrapText="1"/>
    </xf>
    <xf numFmtId="0" fontId="46" fillId="90" borderId="0" xfId="0" applyFont="1" applyFill="1" applyAlignment="1">
      <alignment horizontal="center" vertical="center" wrapText="1"/>
    </xf>
    <xf numFmtId="0" fontId="20" fillId="90" borderId="0" xfId="0" applyFont="1" applyFill="1" applyAlignment="1">
      <alignment horizontal="center" vertical="center" wrapText="1"/>
    </xf>
    <xf numFmtId="0" fontId="43" fillId="92" borderId="0" xfId="0" applyFont="1" applyFill="1" applyAlignment="1">
      <alignment horizontal="left" vertical="center" wrapText="1"/>
    </xf>
    <xf numFmtId="0" fontId="44" fillId="92" borderId="0" xfId="0" applyFont="1" applyFill="1" applyAlignment="1">
      <alignment horizontal="center" vertical="center" wrapText="1"/>
    </xf>
    <xf numFmtId="0" fontId="48" fillId="93" borderId="0" xfId="0" applyFont="1" applyFill="1" applyAlignment="1">
      <alignment horizontal="center" vertical="center" wrapText="1"/>
    </xf>
    <xf numFmtId="0" fontId="46" fillId="92" borderId="0" xfId="0" applyFont="1" applyFill="1" applyAlignment="1">
      <alignment horizontal="center" vertical="center" wrapText="1"/>
    </xf>
    <xf numFmtId="0" fontId="44" fillId="92" borderId="0" xfId="0" applyFont="1" applyFill="1" applyAlignment="1">
      <alignment horizontal="left" vertical="top" wrapText="1"/>
    </xf>
    <xf numFmtId="0" fontId="21" fillId="92" borderId="0" xfId="0" applyFont="1" applyFill="1" applyAlignment="1">
      <alignment horizontal="center" vertical="center" wrapText="1"/>
    </xf>
    <xf numFmtId="0" fontId="31" fillId="92" borderId="0" xfId="0" applyFont="1" applyFill="1" applyAlignment="1">
      <alignment horizontal="center" vertical="center" wrapText="1"/>
    </xf>
    <xf numFmtId="0" fontId="40" fillId="92" borderId="0" xfId="0" applyFont="1" applyFill="1" applyAlignment="1">
      <alignment horizontal="left" vertical="center" wrapText="1"/>
    </xf>
    <xf numFmtId="0" fontId="43" fillId="93" borderId="0" xfId="0" applyFont="1" applyFill="1" applyAlignment="1">
      <alignment horizontal="left" vertical="center" wrapText="1"/>
    </xf>
    <xf numFmtId="0" fontId="44" fillId="93" borderId="0" xfId="0" applyFont="1" applyFill="1" applyAlignment="1">
      <alignment horizontal="center" vertical="center" wrapText="1"/>
    </xf>
    <xf numFmtId="0" fontId="46" fillId="93" borderId="0" xfId="0" applyFont="1" applyFill="1" applyAlignment="1">
      <alignment horizontal="center" vertical="center" wrapText="1"/>
    </xf>
    <xf numFmtId="0" fontId="44" fillId="93" borderId="0" xfId="0" applyFont="1" applyFill="1" applyAlignment="1">
      <alignment horizontal="left" vertical="top" wrapText="1"/>
    </xf>
    <xf numFmtId="0" fontId="21" fillId="93" borderId="0" xfId="0" applyFont="1" applyFill="1" applyAlignment="1">
      <alignment horizontal="center" vertical="center" wrapText="1"/>
    </xf>
    <xf numFmtId="0" fontId="31" fillId="93" borderId="0" xfId="0" applyFont="1" applyFill="1" applyAlignment="1">
      <alignment horizontal="center" vertical="center" wrapText="1"/>
    </xf>
    <xf numFmtId="0" fontId="40" fillId="93" borderId="0" xfId="0" applyFont="1" applyFill="1" applyAlignment="1">
      <alignment horizontal="left" vertical="center" wrapText="1"/>
    </xf>
    <xf numFmtId="0" fontId="20" fillId="92" borderId="0" xfId="0" applyFont="1" applyFill="1" applyAlignment="1">
      <alignment horizontal="center" vertical="center" wrapText="1"/>
    </xf>
    <xf numFmtId="0" fontId="45" fillId="93" borderId="0" xfId="0" applyFont="1" applyFill="1" applyAlignment="1">
      <alignment horizontal="center" vertical="center" wrapText="1"/>
    </xf>
    <xf numFmtId="0" fontId="43" fillId="86" borderId="0" xfId="0" applyFont="1" applyFill="1" applyAlignment="1">
      <alignment horizontal="left" vertical="center" wrapText="1"/>
    </xf>
    <xf numFmtId="0" fontId="44" fillId="86" borderId="0" xfId="0" applyFont="1" applyFill="1" applyAlignment="1">
      <alignment horizontal="center" vertical="center" wrapText="1"/>
    </xf>
    <xf numFmtId="0" fontId="49" fillId="95" borderId="0" xfId="0" applyFont="1" applyFill="1" applyAlignment="1">
      <alignment horizontal="center" vertical="center" wrapText="1"/>
    </xf>
    <xf numFmtId="0" fontId="46" fillId="86" borderId="0" xfId="0" applyFont="1" applyFill="1" applyAlignment="1">
      <alignment horizontal="center" vertical="center" wrapText="1"/>
    </xf>
    <xf numFmtId="0" fontId="44" fillId="86" borderId="0" xfId="0" applyFont="1" applyFill="1" applyAlignment="1">
      <alignment horizontal="left" vertical="top" wrapText="1"/>
    </xf>
    <xf numFmtId="0" fontId="31" fillId="86" borderId="0" xfId="0" applyFont="1" applyFill="1" applyAlignment="1">
      <alignment horizontal="center" vertical="center" wrapText="1"/>
    </xf>
    <xf numFmtId="0" fontId="40" fillId="86" borderId="0" xfId="0" applyFont="1" applyFill="1" applyAlignment="1">
      <alignment horizontal="left" vertical="center" wrapText="1"/>
    </xf>
    <xf numFmtId="0" fontId="43" fillId="95" borderId="0" xfId="0" applyFont="1" applyFill="1" applyAlignment="1">
      <alignment horizontal="left" vertical="center" wrapText="1"/>
    </xf>
    <xf numFmtId="0" fontId="44" fillId="95" borderId="0" xfId="0" applyFont="1" applyFill="1" applyAlignment="1">
      <alignment horizontal="center" vertical="center" wrapText="1"/>
    </xf>
    <xf numFmtId="0" fontId="46" fillId="95" borderId="0" xfId="0" applyFont="1" applyFill="1" applyAlignment="1">
      <alignment horizontal="center" vertical="center" wrapText="1"/>
    </xf>
    <xf numFmtId="0" fontId="44" fillId="95" borderId="0" xfId="0" applyFont="1" applyFill="1" applyAlignment="1">
      <alignment horizontal="left" vertical="top" wrapText="1"/>
    </xf>
    <xf numFmtId="0" fontId="21" fillId="95" borderId="0" xfId="0" applyFont="1" applyFill="1" applyAlignment="1">
      <alignment horizontal="center" vertical="center" wrapText="1"/>
    </xf>
    <xf numFmtId="0" fontId="20" fillId="95" borderId="0" xfId="0" applyFont="1" applyFill="1" applyAlignment="1">
      <alignment horizontal="center" vertical="center" wrapText="1"/>
    </xf>
    <xf numFmtId="0" fontId="40" fillId="95" borderId="0" xfId="0" applyFont="1" applyFill="1" applyAlignment="1">
      <alignment horizontal="left" vertical="center" wrapText="1"/>
    </xf>
    <xf numFmtId="0" fontId="45" fillId="86" borderId="0" xfId="0" applyFont="1" applyFill="1" applyAlignment="1">
      <alignment horizontal="center" vertical="center" wrapText="1"/>
    </xf>
    <xf numFmtId="0" fontId="31" fillId="95" borderId="0" xfId="0" applyFont="1" applyFill="1" applyAlignment="1">
      <alignment horizontal="center" vertical="center" wrapText="1"/>
    </xf>
    <xf numFmtId="0" fontId="45" fillId="95" borderId="0" xfId="0" applyFont="1" applyFill="1" applyAlignment="1">
      <alignment horizontal="center" vertical="center" wrapText="1"/>
    </xf>
    <xf numFmtId="0" fontId="43" fillId="32" borderId="0" xfId="0" applyFont="1" applyFill="1" applyAlignment="1">
      <alignment horizontal="left" vertical="center" wrapText="1"/>
    </xf>
    <xf numFmtId="0" fontId="44" fillId="32" borderId="0" xfId="0" applyFont="1" applyFill="1" applyAlignment="1">
      <alignment horizontal="center" vertical="center" wrapText="1"/>
    </xf>
    <xf numFmtId="0" fontId="50" fillId="97" borderId="0" xfId="0" applyFont="1" applyFill="1" applyAlignment="1">
      <alignment horizontal="center" vertical="center" wrapText="1"/>
    </xf>
    <xf numFmtId="0" fontId="45" fillId="32" borderId="0" xfId="0" applyFont="1" applyFill="1" applyAlignment="1">
      <alignment horizontal="center" vertical="center" wrapText="1"/>
    </xf>
    <xf numFmtId="0" fontId="44" fillId="32" borderId="0" xfId="0" applyFont="1" applyFill="1" applyAlignment="1">
      <alignment horizontal="left" vertical="top" wrapText="1"/>
    </xf>
    <xf numFmtId="0" fontId="21" fillId="32" borderId="0" xfId="0" applyFont="1" applyFill="1" applyAlignment="1">
      <alignment horizontal="center" vertical="center" wrapText="1"/>
    </xf>
    <xf numFmtId="0" fontId="31" fillId="32" borderId="0" xfId="0" applyFont="1" applyFill="1" applyAlignment="1">
      <alignment horizontal="center" vertical="center" wrapText="1"/>
    </xf>
    <xf numFmtId="0" fontId="40" fillId="32" borderId="0" xfId="0" applyFont="1" applyFill="1" applyAlignment="1">
      <alignment horizontal="left" vertical="center" wrapText="1"/>
    </xf>
    <xf numFmtId="0" fontId="43" fillId="97" borderId="0" xfId="0" applyFont="1" applyFill="1" applyAlignment="1">
      <alignment horizontal="left" vertical="center" wrapText="1"/>
    </xf>
    <xf numFmtId="0" fontId="44" fillId="97" borderId="0" xfId="0" applyFont="1" applyFill="1" applyAlignment="1">
      <alignment horizontal="center" vertical="center" wrapText="1"/>
    </xf>
    <xf numFmtId="0" fontId="46" fillId="97" borderId="0" xfId="0" applyFont="1" applyFill="1" applyAlignment="1">
      <alignment horizontal="center" vertical="center" wrapText="1"/>
    </xf>
    <xf numFmtId="0" fontId="44" fillId="97" borderId="0" xfId="0" applyFont="1" applyFill="1" applyAlignment="1">
      <alignment horizontal="left" vertical="top" wrapText="1"/>
    </xf>
    <xf numFmtId="0" fontId="21" fillId="97" borderId="0" xfId="0" applyFont="1" applyFill="1" applyAlignment="1">
      <alignment horizontal="center" vertical="center" wrapText="1"/>
    </xf>
    <xf numFmtId="0" fontId="20" fillId="97" borderId="0" xfId="0" applyFont="1" applyFill="1" applyAlignment="1">
      <alignment horizontal="center" vertical="center" wrapText="1"/>
    </xf>
    <xf numFmtId="0" fontId="40" fillId="97" borderId="0" xfId="0" applyFont="1" applyFill="1" applyAlignment="1">
      <alignment horizontal="left" vertical="center" wrapText="1"/>
    </xf>
    <xf numFmtId="0" fontId="46" fillId="32" borderId="0" xfId="0" applyFont="1" applyFill="1" applyAlignment="1">
      <alignment horizontal="center" vertical="center" wrapText="1"/>
    </xf>
    <xf numFmtId="0" fontId="20" fillId="32" borderId="0" xfId="0" applyFont="1" applyFill="1" applyAlignment="1">
      <alignment horizontal="center" vertical="center" wrapText="1"/>
    </xf>
    <xf numFmtId="0" fontId="45" fillId="97" borderId="0" xfId="0" applyFont="1" applyFill="1" applyAlignment="1">
      <alignment horizontal="center" vertical="center" wrapText="1"/>
    </xf>
    <xf numFmtId="0" fontId="31" fillId="97" borderId="0" xfId="0" applyFont="1" applyFill="1" applyAlignment="1">
      <alignment horizontal="center" vertical="center" wrapText="1"/>
    </xf>
    <xf numFmtId="0" fontId="18" fillId="99" borderId="0" xfId="0" applyFont="1" applyFill="1" applyAlignment="1">
      <alignment horizontal="center" vertical="center" wrapText="1"/>
    </xf>
    <xf numFmtId="0" fontId="44" fillId="98" borderId="0" xfId="0" applyFont="1" applyFill="1" applyAlignment="1">
      <alignment horizontal="left" vertical="center" wrapText="1"/>
    </xf>
    <xf numFmtId="0" fontId="11" fillId="98" borderId="0" xfId="0" applyFont="1" applyFill="1" applyAlignment="1">
      <alignment horizontal="center" vertical="center" wrapText="1"/>
    </xf>
    <xf numFmtId="0" fontId="44" fillId="98" borderId="0" xfId="0" applyFont="1" applyFill="1" applyAlignment="1">
      <alignment horizontal="left" vertical="top" wrapText="1"/>
    </xf>
    <xf numFmtId="0" fontId="44" fillId="100" borderId="0" xfId="0" applyFont="1" applyFill="1" applyAlignment="1">
      <alignment horizontal="left" vertical="center" wrapText="1"/>
    </xf>
    <xf numFmtId="0" fontId="11" fillId="100" borderId="0" xfId="0" applyFont="1" applyFill="1" applyAlignment="1">
      <alignment horizontal="center" vertical="center" wrapText="1"/>
    </xf>
    <xf numFmtId="0" fontId="44" fillId="100" borderId="0" xfId="0" applyFont="1" applyFill="1" applyAlignment="1">
      <alignment horizontal="left" vertical="top" wrapText="1"/>
    </xf>
    <xf numFmtId="0" fontId="44" fillId="105" borderId="0" xfId="0" applyFont="1" applyFill="1" applyAlignment="1">
      <alignment horizontal="left" vertical="center" wrapText="1"/>
    </xf>
    <xf numFmtId="0" fontId="11" fillId="105" borderId="0" xfId="0" applyFont="1" applyFill="1" applyAlignment="1">
      <alignment horizontal="center" vertical="center" wrapText="1"/>
    </xf>
    <xf numFmtId="0" fontId="44" fillId="105" borderId="0" xfId="0" applyFont="1" applyFill="1" applyAlignment="1">
      <alignment horizontal="left" vertical="top" wrapText="1"/>
    </xf>
    <xf numFmtId="0" fontId="44" fillId="106" borderId="0" xfId="0" applyFont="1" applyFill="1" applyAlignment="1">
      <alignment horizontal="left" vertical="center" wrapText="1"/>
    </xf>
    <xf numFmtId="0" fontId="11" fillId="106" borderId="0" xfId="0" applyFont="1" applyFill="1" applyAlignment="1">
      <alignment horizontal="center" vertical="center" wrapText="1"/>
    </xf>
    <xf numFmtId="0" fontId="44" fillId="106" borderId="0" xfId="0" applyFont="1" applyFill="1" applyAlignment="1">
      <alignment horizontal="left" vertical="top" wrapText="1"/>
    </xf>
    <xf numFmtId="0" fontId="44" fillId="117" borderId="0" xfId="0" applyFont="1" applyFill="1" applyAlignment="1">
      <alignment horizontal="left" vertical="center" wrapText="1"/>
    </xf>
    <xf numFmtId="0" fontId="11" fillId="117" borderId="0" xfId="0" applyFont="1" applyFill="1" applyAlignment="1">
      <alignment horizontal="center" vertical="center" wrapText="1"/>
    </xf>
    <xf numFmtId="0" fontId="44" fillId="117" borderId="0" xfId="0" applyFont="1" applyFill="1" applyAlignment="1">
      <alignment horizontal="left" vertical="top" wrapText="1"/>
    </xf>
    <xf numFmtId="0" fontId="44" fillId="118" borderId="0" xfId="0" applyFont="1" applyFill="1" applyAlignment="1">
      <alignment horizontal="left" vertical="center" wrapText="1"/>
    </xf>
    <xf numFmtId="0" fontId="11" fillId="118" borderId="0" xfId="0" applyFont="1" applyFill="1" applyAlignment="1">
      <alignment horizontal="center" vertical="center" wrapText="1"/>
    </xf>
    <xf numFmtId="0" fontId="44" fillId="118" borderId="0" xfId="0" applyFont="1" applyFill="1" applyAlignment="1">
      <alignment horizontal="left" vertical="top" wrapText="1"/>
    </xf>
    <xf numFmtId="0" fontId="20" fillId="98" borderId="0" xfId="0" applyFont="1" applyFill="1" applyAlignment="1">
      <alignment horizontal="center" vertical="center" wrapText="1"/>
    </xf>
    <xf numFmtId="0" fontId="20" fillId="100" borderId="0" xfId="0" applyFont="1" applyFill="1" applyAlignment="1">
      <alignment horizontal="center" vertical="center" wrapText="1"/>
    </xf>
    <xf numFmtId="0" fontId="44" fillId="102" borderId="0" xfId="0" applyFont="1" applyFill="1" applyAlignment="1">
      <alignment horizontal="left" vertical="center" wrapText="1"/>
    </xf>
    <xf numFmtId="0" fontId="11" fillId="102" borderId="0" xfId="0" applyFont="1" applyFill="1" applyAlignment="1">
      <alignment horizontal="center" vertical="center" wrapText="1"/>
    </xf>
    <xf numFmtId="0" fontId="44" fillId="102" borderId="0" xfId="0" applyFont="1" applyFill="1" applyAlignment="1">
      <alignment horizontal="left" vertical="top" wrapText="1"/>
    </xf>
    <xf numFmtId="0" fontId="44" fillId="103" borderId="0" xfId="0" applyFont="1" applyFill="1" applyAlignment="1">
      <alignment horizontal="left" vertical="center" wrapText="1"/>
    </xf>
    <xf numFmtId="0" fontId="11" fillId="103" borderId="0" xfId="0" applyFont="1" applyFill="1" applyAlignment="1">
      <alignment horizontal="center" vertical="center" wrapText="1"/>
    </xf>
    <xf numFmtId="0" fontId="44" fillId="103" borderId="0" xfId="0" applyFont="1" applyFill="1" applyAlignment="1">
      <alignment horizontal="left" vertical="top" wrapText="1"/>
    </xf>
    <xf numFmtId="0" fontId="20" fillId="105" borderId="0" xfId="0" applyFont="1" applyFill="1" applyAlignment="1">
      <alignment horizontal="center" vertical="center" wrapText="1"/>
    </xf>
    <xf numFmtId="0" fontId="20" fillId="106" borderId="0" xfId="0" applyFont="1" applyFill="1" applyAlignment="1">
      <alignment horizontal="center" vertical="center" wrapText="1"/>
    </xf>
    <xf numFmtId="0" fontId="44" fillId="108" borderId="0" xfId="0" applyFont="1" applyFill="1" applyAlignment="1">
      <alignment horizontal="left" vertical="center" wrapText="1"/>
    </xf>
    <xf numFmtId="0" fontId="11" fillId="108" borderId="0" xfId="0" applyFont="1" applyFill="1" applyAlignment="1">
      <alignment horizontal="center" vertical="center" wrapText="1"/>
    </xf>
    <xf numFmtId="0" fontId="44" fillId="108" borderId="0" xfId="0" applyFont="1" applyFill="1" applyAlignment="1">
      <alignment horizontal="left" vertical="top" wrapText="1"/>
    </xf>
    <xf numFmtId="0" fontId="44" fillId="109" borderId="0" xfId="0" applyFont="1" applyFill="1" applyAlignment="1">
      <alignment horizontal="left" vertical="center" wrapText="1"/>
    </xf>
    <xf numFmtId="0" fontId="11" fillId="109" borderId="0" xfId="0" applyFont="1" applyFill="1" applyAlignment="1">
      <alignment horizontal="center" vertical="center" wrapText="1"/>
    </xf>
    <xf numFmtId="0" fontId="44" fillId="109" borderId="0" xfId="0" applyFont="1" applyFill="1" applyAlignment="1">
      <alignment horizontal="left" vertical="top" wrapText="1"/>
    </xf>
    <xf numFmtId="0" fontId="44" fillId="111" borderId="0" xfId="0" applyFont="1" applyFill="1" applyAlignment="1">
      <alignment horizontal="left" vertical="center" wrapText="1"/>
    </xf>
    <xf numFmtId="0" fontId="11" fillId="111" borderId="0" xfId="0" applyFont="1" applyFill="1" applyAlignment="1">
      <alignment horizontal="center" vertical="center" wrapText="1"/>
    </xf>
    <xf numFmtId="0" fontId="20" fillId="111" borderId="0" xfId="0" applyFont="1" applyFill="1" applyAlignment="1">
      <alignment horizontal="center" vertical="center" wrapText="1"/>
    </xf>
    <xf numFmtId="0" fontId="44" fillId="111" borderId="0" xfId="0" applyFont="1" applyFill="1" applyAlignment="1">
      <alignment horizontal="left" vertical="top" wrapText="1"/>
    </xf>
    <xf numFmtId="0" fontId="44" fillId="112" borderId="0" xfId="0" applyFont="1" applyFill="1" applyAlignment="1">
      <alignment horizontal="left" vertical="center" wrapText="1"/>
    </xf>
    <xf numFmtId="0" fontId="11" fillId="112" borderId="0" xfId="0" applyFont="1" applyFill="1" applyAlignment="1">
      <alignment horizontal="center" vertical="center" wrapText="1"/>
    </xf>
    <xf numFmtId="0" fontId="44" fillId="112" borderId="0" xfId="0" applyFont="1" applyFill="1" applyAlignment="1">
      <alignment horizontal="left" vertical="top" wrapText="1"/>
    </xf>
    <xf numFmtId="0" fontId="20" fillId="112" borderId="0" xfId="0" applyFont="1" applyFill="1" applyAlignment="1">
      <alignment horizontal="center" vertical="center" wrapText="1"/>
    </xf>
    <xf numFmtId="0" fontId="44" fillId="114" borderId="0" xfId="0" applyFont="1" applyFill="1" applyAlignment="1">
      <alignment horizontal="left" vertical="center" wrapText="1"/>
    </xf>
    <xf numFmtId="0" fontId="11" fillId="114" borderId="0" xfId="0" applyFont="1" applyFill="1" applyAlignment="1">
      <alignment horizontal="center" vertical="center" wrapText="1"/>
    </xf>
    <xf numFmtId="0" fontId="44" fillId="114" borderId="0" xfId="0" applyFont="1" applyFill="1" applyAlignment="1">
      <alignment horizontal="left" vertical="top" wrapText="1"/>
    </xf>
    <xf numFmtId="0" fontId="44" fillId="115" borderId="0" xfId="0" applyFont="1" applyFill="1" applyAlignment="1">
      <alignment horizontal="left" vertical="center" wrapText="1"/>
    </xf>
    <xf numFmtId="0" fontId="44" fillId="115" borderId="0" xfId="0" applyFont="1" applyFill="1" applyAlignment="1">
      <alignment horizontal="left" vertical="top" wrapText="1"/>
    </xf>
    <xf numFmtId="0" fontId="20" fillId="102" borderId="0" xfId="0" applyFont="1" applyFill="1" applyAlignment="1">
      <alignment horizontal="center" vertical="center" wrapText="1"/>
    </xf>
    <xf numFmtId="0" fontId="20" fillId="103" borderId="0" xfId="0" applyFont="1" applyFill="1" applyAlignment="1">
      <alignment horizontal="center" vertical="center" wrapText="1"/>
    </xf>
    <xf numFmtId="0" fontId="20" fillId="108" borderId="0" xfId="0" applyFont="1" applyFill="1" applyAlignment="1">
      <alignment horizontal="center" vertical="center" wrapText="1"/>
    </xf>
    <xf numFmtId="0" fontId="20" fillId="109" borderId="0" xfId="0" applyFont="1" applyFill="1" applyAlignment="1">
      <alignment horizontal="center" vertical="center" wrapText="1"/>
    </xf>
    <xf numFmtId="0" fontId="20" fillId="114" borderId="0" xfId="0" applyFont="1" applyFill="1" applyAlignment="1">
      <alignment horizontal="center" vertical="center" wrapText="1"/>
    </xf>
    <xf numFmtId="0" fontId="20" fillId="117" borderId="0" xfId="0" applyFont="1" applyFill="1" applyAlignment="1">
      <alignment horizontal="center" vertical="center" wrapText="1"/>
    </xf>
    <xf numFmtId="0" fontId="52" fillId="117" borderId="0" xfId="0" applyFont="1" applyFill="1"/>
    <xf numFmtId="0" fontId="20" fillId="117" borderId="0" xfId="0" applyFont="1" applyFill="1"/>
    <xf numFmtId="0" fontId="52" fillId="118" borderId="0" xfId="0" applyFont="1" applyFill="1"/>
    <xf numFmtId="0" fontId="51" fillId="114" borderId="0" xfId="0" applyFont="1" applyFill="1"/>
    <xf numFmtId="0" fontId="20" fillId="114" borderId="0" xfId="0" applyFont="1" applyFill="1"/>
    <xf numFmtId="0" fontId="51" fillId="115" borderId="0" xfId="0" applyFont="1" applyFill="1"/>
    <xf numFmtId="0" fontId="32" fillId="0" borderId="0" xfId="0" applyFont="1"/>
    <xf numFmtId="0" fontId="20" fillId="0" borderId="0" xfId="0" applyFont="1"/>
    <xf numFmtId="0" fontId="54" fillId="119" borderId="0" xfId="0" applyFont="1" applyFill="1" applyAlignment="1">
      <alignment horizontal="left" vertical="top" wrapText="1"/>
    </xf>
    <xf numFmtId="0" fontId="18" fillId="120" borderId="0" xfId="0" applyFont="1" applyFill="1" applyAlignment="1">
      <alignment horizontal="center" vertical="center" wrapText="1"/>
    </xf>
    <xf numFmtId="0" fontId="55" fillId="119" borderId="0" xfId="0" applyFont="1" applyFill="1" applyAlignment="1">
      <alignment horizontal="left" vertical="top" wrapText="1"/>
    </xf>
    <xf numFmtId="0" fontId="18" fillId="121" borderId="0" xfId="0" applyFont="1" applyFill="1" applyAlignment="1">
      <alignment horizontal="center" vertical="center" wrapText="1"/>
    </xf>
    <xf numFmtId="0" fontId="56" fillId="79" borderId="0" xfId="0" applyFont="1" applyFill="1" applyAlignment="1">
      <alignment horizontal="left" vertical="top" wrapText="1"/>
    </xf>
    <xf numFmtId="0" fontId="56" fillId="122" borderId="0" xfId="0" applyFont="1" applyFill="1" applyAlignment="1">
      <alignment horizontal="left" vertical="top" wrapText="1"/>
    </xf>
    <xf numFmtId="0" fontId="18" fillId="107" borderId="0" xfId="0" applyFont="1" applyFill="1" applyAlignment="1">
      <alignment horizontal="center" vertical="center" wrapText="1"/>
    </xf>
    <xf numFmtId="0" fontId="57" fillId="98" borderId="0" xfId="0" applyFont="1" applyFill="1" applyAlignment="1">
      <alignment horizontal="left" vertical="top" wrapText="1"/>
    </xf>
    <xf numFmtId="0" fontId="57" fillId="100" borderId="0" xfId="0" applyFont="1" applyFill="1" applyAlignment="1">
      <alignment horizontal="left" vertical="top" wrapText="1"/>
    </xf>
    <xf numFmtId="0" fontId="57" fillId="102" borderId="0" xfId="0" applyFont="1" applyFill="1" applyAlignment="1">
      <alignment horizontal="left" vertical="top" wrapText="1"/>
    </xf>
    <xf numFmtId="0" fontId="57" fillId="103" borderId="0" xfId="0" applyFont="1" applyFill="1" applyAlignment="1">
      <alignment horizontal="left" vertical="top" wrapText="1"/>
    </xf>
    <xf numFmtId="0" fontId="57" fillId="105" borderId="0" xfId="0" applyFont="1" applyFill="1" applyAlignment="1">
      <alignment horizontal="left" vertical="top" wrapText="1"/>
    </xf>
    <xf numFmtId="0" fontId="57" fillId="106" borderId="0" xfId="0" applyFont="1" applyFill="1" applyAlignment="1">
      <alignment horizontal="left" vertical="top" wrapText="1"/>
    </xf>
    <xf numFmtId="0" fontId="57" fillId="108" borderId="0" xfId="0" applyFont="1" applyFill="1" applyAlignment="1">
      <alignment horizontal="left" vertical="top" wrapText="1"/>
    </xf>
    <xf numFmtId="0" fontId="57" fillId="109" borderId="0" xfId="0" applyFont="1" applyFill="1" applyAlignment="1">
      <alignment horizontal="left" vertical="top" wrapText="1"/>
    </xf>
    <xf numFmtId="0" fontId="57" fillId="111" borderId="0" xfId="0" applyFont="1" applyFill="1" applyAlignment="1">
      <alignment horizontal="left" vertical="top" wrapText="1"/>
    </xf>
    <xf numFmtId="0" fontId="57" fillId="112" borderId="0" xfId="0" applyFont="1" applyFill="1" applyAlignment="1">
      <alignment horizontal="left" vertical="top" wrapText="1"/>
    </xf>
    <xf numFmtId="0" fontId="57" fillId="114" borderId="0" xfId="0" applyFont="1" applyFill="1" applyAlignment="1">
      <alignment horizontal="left" vertical="top" wrapText="1"/>
    </xf>
    <xf numFmtId="0" fontId="57" fillId="115" borderId="0" xfId="0" applyFont="1" applyFill="1" applyAlignment="1">
      <alignment horizontal="left" vertical="top" wrapText="1"/>
    </xf>
    <xf numFmtId="0" fontId="57" fillId="117" borderId="0" xfId="0" applyFont="1" applyFill="1" applyAlignment="1">
      <alignment horizontal="left" vertical="top" wrapText="1"/>
    </xf>
    <xf numFmtId="0" fontId="57" fillId="118" borderId="0" xfId="0" applyFont="1" applyFill="1" applyAlignment="1">
      <alignment horizontal="left" vertical="top" wrapText="1"/>
    </xf>
    <xf numFmtId="0" fontId="57" fillId="79" borderId="0" xfId="0" applyFont="1" applyFill="1" applyAlignment="1">
      <alignment horizontal="left" vertical="top" wrapText="1"/>
    </xf>
    <xf numFmtId="0" fontId="57" fillId="122" borderId="0" xfId="0" applyFont="1" applyFill="1" applyAlignment="1">
      <alignment horizontal="left" vertical="top" wrapText="1"/>
    </xf>
    <xf numFmtId="0" fontId="57" fillId="79" borderId="9" xfId="0" applyFont="1" applyFill="1" applyBorder="1" applyAlignment="1">
      <alignment horizontal="left" vertical="top" wrapText="1"/>
    </xf>
    <xf numFmtId="0" fontId="57" fillId="122" borderId="9" xfId="0" applyFont="1" applyFill="1" applyBorder="1" applyAlignment="1">
      <alignment horizontal="left" vertical="top" wrapText="1"/>
    </xf>
    <xf numFmtId="0" fontId="57" fillId="2" borderId="1" xfId="0" applyFont="1" applyFill="1" applyBorder="1" applyAlignment="1">
      <alignment horizontal="left" vertical="top" wrapText="1"/>
    </xf>
    <xf numFmtId="0" fontId="57" fillId="19" borderId="1" xfId="0" applyFont="1" applyFill="1" applyBorder="1" applyAlignment="1">
      <alignment horizontal="left" vertical="top" wrapText="1"/>
    </xf>
    <xf numFmtId="0" fontId="57" fillId="20" borderId="1" xfId="0" applyFont="1" applyFill="1" applyBorder="1" applyAlignment="1">
      <alignment horizontal="left" vertical="top" wrapText="1"/>
    </xf>
    <xf numFmtId="0" fontId="57" fillId="21" borderId="1" xfId="0" applyFont="1" applyFill="1" applyBorder="1" applyAlignment="1">
      <alignment horizontal="left" vertical="top" wrapText="1"/>
    </xf>
    <xf numFmtId="0" fontId="57" fillId="24" borderId="1" xfId="0" applyFont="1" applyFill="1" applyBorder="1" applyAlignment="1">
      <alignment horizontal="left" vertical="top" wrapText="1"/>
    </xf>
    <xf numFmtId="0" fontId="57" fillId="22" borderId="1" xfId="0" applyFont="1" applyFill="1" applyBorder="1" applyAlignment="1">
      <alignment horizontal="left" vertical="top" wrapText="1"/>
    </xf>
    <xf numFmtId="0" fontId="57" fillId="0" borderId="0" xfId="0" applyFont="1" applyAlignment="1">
      <alignment horizontal="left" vertical="top" wrapText="1"/>
    </xf>
    <xf numFmtId="0" fontId="29" fillId="110" borderId="0" xfId="0" applyFont="1" applyFill="1" applyAlignment="1">
      <alignment horizontal="center" vertical="center"/>
    </xf>
    <xf numFmtId="0" fontId="0" fillId="0" borderId="0" xfId="0" applyAlignment="1">
      <alignment wrapText="1"/>
    </xf>
    <xf numFmtId="0" fontId="28" fillId="99" borderId="0" xfId="0" applyFont="1" applyFill="1" applyAlignment="1">
      <alignment horizontal="left" vertical="center"/>
    </xf>
    <xf numFmtId="0" fontId="64" fillId="87" borderId="0" xfId="0" applyFont="1" applyFill="1" applyAlignment="1">
      <alignment horizontal="center" vertical="center" wrapText="1"/>
    </xf>
    <xf numFmtId="0" fontId="65" fillId="100" borderId="0" xfId="0" applyFont="1" applyFill="1" applyAlignment="1">
      <alignment horizontal="center" vertical="center" wrapText="1"/>
    </xf>
    <xf numFmtId="0" fontId="66" fillId="81" borderId="0" xfId="0" applyFont="1" applyFill="1" applyAlignment="1">
      <alignment horizontal="center" vertical="center" wrapText="1"/>
    </xf>
    <xf numFmtId="0" fontId="67" fillId="98" borderId="0" xfId="0" applyFont="1" applyFill="1" applyAlignment="1">
      <alignment horizontal="center" vertical="center" wrapText="1"/>
    </xf>
    <xf numFmtId="0" fontId="68" fillId="93" borderId="0" xfId="0" applyFont="1" applyFill="1" applyAlignment="1">
      <alignment horizontal="center" vertical="center" wrapText="1"/>
    </xf>
    <xf numFmtId="0" fontId="69" fillId="106" borderId="0" xfId="0" applyFont="1" applyFill="1" applyAlignment="1">
      <alignment horizontal="center" vertical="center" wrapText="1"/>
    </xf>
    <xf numFmtId="0" fontId="72" fillId="115" borderId="0" xfId="0" applyFont="1" applyFill="1" applyAlignment="1">
      <alignment horizontal="center" vertical="center" wrapText="1"/>
    </xf>
    <xf numFmtId="0" fontId="73" fillId="115" borderId="0" xfId="0" applyFont="1" applyFill="1" applyAlignment="1">
      <alignment horizontal="center" vertical="center" wrapText="1"/>
    </xf>
    <xf numFmtId="0" fontId="75" fillId="114" borderId="0" xfId="0" applyFont="1" applyFill="1" applyAlignment="1">
      <alignment horizontal="center" vertical="center" wrapText="1"/>
    </xf>
    <xf numFmtId="0" fontId="76" fillId="114" borderId="0" xfId="0" applyFont="1" applyFill="1" applyAlignment="1">
      <alignment horizontal="center" vertical="center" wrapText="1"/>
    </xf>
    <xf numFmtId="0" fontId="66" fillId="86" borderId="0" xfId="0" applyFont="1" applyFill="1" applyAlignment="1">
      <alignment horizontal="center" vertical="center" wrapText="1"/>
    </xf>
    <xf numFmtId="0" fontId="67" fillId="108" borderId="0" xfId="0" applyFont="1" applyFill="1" applyAlignment="1">
      <alignment horizontal="center" vertical="center" wrapText="1"/>
    </xf>
    <xf numFmtId="0" fontId="66" fillId="32" borderId="0" xfId="0" applyFont="1" applyFill="1" applyAlignment="1">
      <alignment horizontal="center" vertical="center" wrapText="1"/>
    </xf>
    <xf numFmtId="0" fontId="67" fillId="111" borderId="0" xfId="0" applyFont="1" applyFill="1" applyAlignment="1">
      <alignment horizontal="center" vertical="center" wrapText="1"/>
    </xf>
    <xf numFmtId="0" fontId="77" fillId="117" borderId="0" xfId="0" applyFont="1" applyFill="1" applyAlignment="1">
      <alignment horizontal="center" vertical="center" wrapText="1"/>
    </xf>
    <xf numFmtId="0" fontId="78" fillId="117" borderId="0" xfId="0" applyFont="1" applyFill="1" applyAlignment="1">
      <alignment horizontal="center" vertical="center" wrapText="1"/>
    </xf>
    <xf numFmtId="0" fontId="79" fillId="90" borderId="0" xfId="0" applyFont="1" applyFill="1" applyAlignment="1">
      <alignment horizontal="center" vertical="center" wrapText="1"/>
    </xf>
    <xf numFmtId="0" fontId="80" fillId="103" borderId="0" xfId="0" applyFont="1" applyFill="1" applyAlignment="1">
      <alignment horizontal="center" vertical="center" wrapText="1"/>
    </xf>
    <xf numFmtId="0" fontId="81" fillId="97" borderId="0" xfId="0" applyFont="1" applyFill="1" applyAlignment="1">
      <alignment horizontal="center" vertical="center" wrapText="1"/>
    </xf>
    <xf numFmtId="0" fontId="82" fillId="112" borderId="0" xfId="0" applyFont="1" applyFill="1" applyAlignment="1">
      <alignment horizontal="center" vertical="center" wrapText="1"/>
    </xf>
    <xf numFmtId="0" fontId="83" fillId="118" borderId="0" xfId="0" applyFont="1" applyFill="1" applyAlignment="1">
      <alignment horizontal="center" vertical="center" wrapText="1"/>
    </xf>
    <xf numFmtId="0" fontId="84" fillId="118" borderId="0" xfId="0" applyFont="1" applyFill="1" applyAlignment="1">
      <alignment horizontal="center" vertical="center" wrapText="1"/>
    </xf>
    <xf numFmtId="0" fontId="85" fillId="82" borderId="0" xfId="0" applyFont="1" applyFill="1" applyAlignment="1">
      <alignment horizontal="center" vertical="center" wrapText="1"/>
    </xf>
    <xf numFmtId="0" fontId="86" fillId="102" borderId="0" xfId="0" applyFont="1" applyFill="1" applyAlignment="1">
      <alignment horizontal="center" vertical="center" wrapText="1"/>
    </xf>
    <xf numFmtId="0" fontId="66" fillId="92" borderId="0" xfId="0" applyFont="1" applyFill="1" applyAlignment="1">
      <alignment horizontal="center" vertical="center" wrapText="1"/>
    </xf>
    <xf numFmtId="0" fontId="67" fillId="105" borderId="0" xfId="0" applyFont="1" applyFill="1" applyAlignment="1">
      <alignment horizontal="center" vertical="center" wrapText="1"/>
    </xf>
    <xf numFmtId="0" fontId="87" fillId="95" borderId="0" xfId="0" applyFont="1" applyFill="1" applyAlignment="1">
      <alignment horizontal="center" vertical="center" wrapText="1"/>
    </xf>
    <xf numFmtId="0" fontId="88" fillId="109" borderId="0" xfId="0" applyFont="1" applyFill="1" applyAlignment="1">
      <alignment horizontal="center" vertical="center" wrapText="1"/>
    </xf>
    <xf numFmtId="0" fontId="89" fillId="115" borderId="0" xfId="0" applyFont="1" applyFill="1"/>
    <xf numFmtId="0" fontId="89" fillId="115" borderId="0" xfId="0" applyFont="1" applyFill="1" applyAlignment="1">
      <alignment horizontal="center" vertical="center" wrapText="1"/>
    </xf>
    <xf numFmtId="0" fontId="90" fillId="118" borderId="0" xfId="0" applyFont="1" applyFill="1"/>
    <xf numFmtId="0" fontId="90" fillId="118" borderId="0" xfId="0" applyFont="1" applyFill="1" applyAlignment="1">
      <alignment horizontal="center" vertical="center" wrapText="1"/>
    </xf>
    <xf numFmtId="0" fontId="74" fillId="115" borderId="0" xfId="0" applyFont="1" applyFill="1" applyAlignment="1">
      <alignment horizontal="center" vertical="center" wrapText="1"/>
    </xf>
    <xf numFmtId="0" fontId="91" fillId="128" borderId="0" xfId="0" applyFont="1" applyFill="1" applyAlignment="1">
      <alignment horizontal="center"/>
    </xf>
    <xf numFmtId="0" fontId="0" fillId="128" borderId="0" xfId="0" applyFill="1"/>
    <xf numFmtId="0" fontId="92" fillId="0" borderId="0" xfId="0" applyFont="1" applyAlignment="1">
      <alignment horizontal="center"/>
    </xf>
    <xf numFmtId="0" fontId="93" fillId="129" borderId="0" xfId="0" applyFont="1" applyFill="1"/>
    <xf numFmtId="0" fontId="93" fillId="129" borderId="0" xfId="0" applyFont="1" applyFill="1" applyAlignment="1">
      <alignment horizontal="center"/>
    </xf>
    <xf numFmtId="0" fontId="63" fillId="130" borderId="0" xfId="0" applyFont="1" applyFill="1"/>
    <xf numFmtId="0" fontId="0" fillId="130" borderId="0" xfId="0" applyFill="1"/>
    <xf numFmtId="0" fontId="62" fillId="0" borderId="0" xfId="1"/>
    <xf numFmtId="0" fontId="63" fillId="131" borderId="0" xfId="0" applyFont="1" applyFill="1"/>
    <xf numFmtId="0" fontId="0" fillId="131" borderId="0" xfId="0" applyFill="1"/>
    <xf numFmtId="0" fontId="63" fillId="132" borderId="0" xfId="0" applyFont="1" applyFill="1"/>
    <xf numFmtId="0" fontId="0" fillId="132" borderId="0" xfId="0" applyFill="1"/>
    <xf numFmtId="0" fontId="63" fillId="133" borderId="0" xfId="0" applyFont="1" applyFill="1"/>
    <xf numFmtId="0" fontId="0" fillId="133" borderId="0" xfId="0" applyFill="1"/>
    <xf numFmtId="0" fontId="63" fillId="134" borderId="0" xfId="0" applyFont="1" applyFill="1"/>
    <xf numFmtId="0" fontId="0" fillId="134" borderId="0" xfId="0" applyFill="1"/>
    <xf numFmtId="0" fontId="63" fillId="135" borderId="0" xfId="0" applyFont="1" applyFill="1"/>
    <xf numFmtId="0" fontId="0" fillId="135" borderId="0" xfId="0" applyFill="1"/>
    <xf numFmtId="0" fontId="63" fillId="136" borderId="0" xfId="0" applyFont="1" applyFill="1"/>
    <xf numFmtId="0" fontId="0" fillId="136" borderId="0" xfId="0" applyFill="1"/>
    <xf numFmtId="0" fontId="92" fillId="128" borderId="0" xfId="0" applyFont="1" applyFill="1" applyAlignment="1">
      <alignment horizontal="center"/>
    </xf>
    <xf numFmtId="0" fontId="18" fillId="123" borderId="0" xfId="0" applyFont="1" applyFill="1" applyAlignment="1">
      <alignment horizontal="center"/>
    </xf>
    <xf numFmtId="0" fontId="61" fillId="142" borderId="0" xfId="0" applyFont="1" applyFill="1" applyAlignment="1">
      <alignment horizontal="center"/>
    </xf>
    <xf numFmtId="0" fontId="24" fillId="142" borderId="0" xfId="0" applyFont="1" applyFill="1" applyAlignment="1">
      <alignment horizontal="left"/>
    </xf>
    <xf numFmtId="0" fontId="40" fillId="142" borderId="0" xfId="0" applyFont="1" applyFill="1" applyAlignment="1">
      <alignment horizontal="left"/>
    </xf>
    <xf numFmtId="0" fontId="60" fillId="142" borderId="0" xfId="0" applyFont="1" applyFill="1" applyAlignment="1">
      <alignment horizontal="center"/>
    </xf>
    <xf numFmtId="0" fontId="60" fillId="142" borderId="0" xfId="0" applyFont="1" applyFill="1" applyAlignment="1">
      <alignment horizontal="left"/>
    </xf>
    <xf numFmtId="0" fontId="61" fillId="124" borderId="0" xfId="0" applyFont="1" applyFill="1" applyAlignment="1">
      <alignment horizontal="center"/>
    </xf>
    <xf numFmtId="0" fontId="24" fillId="124" borderId="0" xfId="0" applyFont="1" applyFill="1" applyAlignment="1">
      <alignment horizontal="left"/>
    </xf>
    <xf numFmtId="0" fontId="40" fillId="124" borderId="0" xfId="0" applyFont="1" applyFill="1" applyAlignment="1">
      <alignment horizontal="left"/>
    </xf>
    <xf numFmtId="0" fontId="60" fillId="124" borderId="0" xfId="0" applyFont="1" applyFill="1" applyAlignment="1">
      <alignment horizontal="center"/>
    </xf>
    <xf numFmtId="0" fontId="60" fillId="124" borderId="0" xfId="0" applyFont="1" applyFill="1" applyAlignment="1">
      <alignment horizontal="left"/>
    </xf>
    <xf numFmtId="0" fontId="61" fillId="143" borderId="0" xfId="0" applyFont="1" applyFill="1" applyAlignment="1">
      <alignment horizontal="center"/>
    </xf>
    <xf numFmtId="0" fontId="100" fillId="143" borderId="0" xfId="0" applyFont="1" applyFill="1"/>
    <xf numFmtId="0" fontId="40" fillId="143" borderId="0" xfId="0" applyFont="1" applyFill="1"/>
    <xf numFmtId="0" fontId="60" fillId="143" borderId="0" xfId="0" applyFont="1" applyFill="1" applyAlignment="1">
      <alignment horizontal="center"/>
    </xf>
    <xf numFmtId="0" fontId="60" fillId="143" borderId="0" xfId="0" applyFont="1" applyFill="1"/>
    <xf numFmtId="0" fontId="61" fillId="144" borderId="0" xfId="0" applyFont="1" applyFill="1" applyAlignment="1">
      <alignment horizontal="center"/>
    </xf>
    <xf numFmtId="0" fontId="100" fillId="144" borderId="0" xfId="0" applyFont="1" applyFill="1"/>
    <xf numFmtId="0" fontId="40" fillId="144" borderId="0" xfId="0" applyFont="1" applyFill="1"/>
    <xf numFmtId="0" fontId="60" fillId="144" borderId="0" xfId="0" applyFont="1" applyFill="1" applyAlignment="1">
      <alignment horizontal="center"/>
    </xf>
    <xf numFmtId="0" fontId="60" fillId="144" borderId="0" xfId="0" applyFont="1" applyFill="1"/>
    <xf numFmtId="0" fontId="61" fillId="145" borderId="0" xfId="0" applyFont="1" applyFill="1" applyAlignment="1">
      <alignment horizontal="center"/>
    </xf>
    <xf numFmtId="0" fontId="101" fillId="145" borderId="0" xfId="0" applyFont="1" applyFill="1"/>
    <xf numFmtId="0" fontId="40" fillId="145" borderId="0" xfId="0" applyFont="1" applyFill="1"/>
    <xf numFmtId="0" fontId="60" fillId="145" borderId="0" xfId="0" applyFont="1" applyFill="1" applyAlignment="1">
      <alignment horizontal="center"/>
    </xf>
    <xf numFmtId="0" fontId="60" fillId="145" borderId="0" xfId="0" applyFont="1" applyFill="1"/>
    <xf numFmtId="0" fontId="61" fillId="146" borderId="0" xfId="0" applyFont="1" applyFill="1" applyAlignment="1">
      <alignment horizontal="center"/>
    </xf>
    <xf numFmtId="0" fontId="101" fillId="146" borderId="0" xfId="0" applyFont="1" applyFill="1"/>
    <xf numFmtId="0" fontId="40" fillId="146" borderId="0" xfId="0" applyFont="1" applyFill="1"/>
    <xf numFmtId="0" fontId="60" fillId="146" borderId="0" xfId="0" applyFont="1" applyFill="1" applyAlignment="1">
      <alignment horizontal="center"/>
    </xf>
    <xf numFmtId="0" fontId="60" fillId="146" borderId="0" xfId="0" applyFont="1" applyFill="1"/>
    <xf numFmtId="0" fontId="61" fillId="147" borderId="0" xfId="0" applyFont="1" applyFill="1" applyAlignment="1">
      <alignment horizontal="center"/>
    </xf>
    <xf numFmtId="0" fontId="102" fillId="147" borderId="0" xfId="0" applyFont="1" applyFill="1"/>
    <xf numFmtId="0" fontId="40" fillId="147" borderId="0" xfId="0" applyFont="1" applyFill="1"/>
    <xf numFmtId="0" fontId="60" fillId="147" borderId="0" xfId="0" applyFont="1" applyFill="1" applyAlignment="1">
      <alignment horizontal="center"/>
    </xf>
    <xf numFmtId="0" fontId="60" fillId="147" borderId="0" xfId="0" applyFont="1" applyFill="1"/>
    <xf numFmtId="0" fontId="61" fillId="148" borderId="0" xfId="0" applyFont="1" applyFill="1" applyAlignment="1">
      <alignment horizontal="center"/>
    </xf>
    <xf numFmtId="0" fontId="102" fillId="148" borderId="0" xfId="0" applyFont="1" applyFill="1"/>
    <xf numFmtId="0" fontId="40" fillId="148" borderId="0" xfId="0" applyFont="1" applyFill="1"/>
    <xf numFmtId="0" fontId="60" fillId="148" borderId="0" xfId="0" applyFont="1" applyFill="1" applyAlignment="1">
      <alignment horizontal="center"/>
    </xf>
    <xf numFmtId="0" fontId="60" fillId="148" borderId="0" xfId="0" applyFont="1" applyFill="1"/>
    <xf numFmtId="0" fontId="61" fillId="149" borderId="0" xfId="0" applyFont="1" applyFill="1" applyAlignment="1">
      <alignment horizontal="center"/>
    </xf>
    <xf numFmtId="0" fontId="103" fillId="149" borderId="0" xfId="0" applyFont="1" applyFill="1"/>
    <xf numFmtId="0" fontId="40" fillId="149" borderId="0" xfId="0" applyFont="1" applyFill="1"/>
    <xf numFmtId="0" fontId="60" fillId="149" borderId="0" xfId="0" applyFont="1" applyFill="1" applyAlignment="1">
      <alignment horizontal="center"/>
    </xf>
    <xf numFmtId="0" fontId="60" fillId="149" borderId="0" xfId="0" applyFont="1" applyFill="1"/>
    <xf numFmtId="0" fontId="61" fillId="150" borderId="0" xfId="0" applyFont="1" applyFill="1" applyAlignment="1">
      <alignment horizontal="center"/>
    </xf>
    <xf numFmtId="0" fontId="103" fillId="150" borderId="0" xfId="0" applyFont="1" applyFill="1"/>
    <xf numFmtId="0" fontId="40" fillId="150" borderId="0" xfId="0" applyFont="1" applyFill="1"/>
    <xf numFmtId="0" fontId="60" fillId="150" borderId="0" xfId="0" applyFont="1" applyFill="1" applyAlignment="1">
      <alignment horizontal="center"/>
    </xf>
    <xf numFmtId="0" fontId="60" fillId="150" borderId="0" xfId="0" applyFont="1" applyFill="1"/>
    <xf numFmtId="0" fontId="61" fillId="151" borderId="0" xfId="0" applyFont="1" applyFill="1" applyAlignment="1">
      <alignment horizontal="center"/>
    </xf>
    <xf numFmtId="0" fontId="104" fillId="151" borderId="0" xfId="0" applyFont="1" applyFill="1"/>
    <xf numFmtId="0" fontId="40" fillId="151" borderId="0" xfId="0" applyFont="1" applyFill="1"/>
    <xf numFmtId="0" fontId="60" fillId="151" borderId="0" xfId="0" applyFont="1" applyFill="1" applyAlignment="1">
      <alignment horizontal="center"/>
    </xf>
    <xf numFmtId="0" fontId="60" fillId="151" borderId="0" xfId="0" applyFont="1" applyFill="1"/>
    <xf numFmtId="0" fontId="61" fillId="152" borderId="0" xfId="0" applyFont="1" applyFill="1" applyAlignment="1">
      <alignment horizontal="center"/>
    </xf>
    <xf numFmtId="0" fontId="104" fillId="152" borderId="0" xfId="0" applyFont="1" applyFill="1"/>
    <xf numFmtId="0" fontId="40" fillId="152" borderId="0" xfId="0" applyFont="1" applyFill="1"/>
    <xf numFmtId="0" fontId="60" fillId="152" borderId="0" xfId="0" applyFont="1" applyFill="1" applyAlignment="1">
      <alignment horizontal="center"/>
    </xf>
    <xf numFmtId="0" fontId="60" fillId="152" borderId="0" xfId="0" applyFont="1" applyFill="1"/>
    <xf numFmtId="0" fontId="61" fillId="153" borderId="0" xfId="0" applyFont="1" applyFill="1" applyAlignment="1">
      <alignment horizontal="center"/>
    </xf>
    <xf numFmtId="0" fontId="105" fillId="153" borderId="0" xfId="0" applyFont="1" applyFill="1"/>
    <xf numFmtId="0" fontId="40" fillId="153" borderId="0" xfId="0" applyFont="1" applyFill="1"/>
    <xf numFmtId="0" fontId="60" fillId="153" borderId="0" xfId="0" applyFont="1" applyFill="1" applyAlignment="1">
      <alignment horizontal="center"/>
    </xf>
    <xf numFmtId="0" fontId="60" fillId="153" borderId="0" xfId="0" applyFont="1" applyFill="1"/>
    <xf numFmtId="0" fontId="61" fillId="154" borderId="0" xfId="0" applyFont="1" applyFill="1" applyAlignment="1">
      <alignment horizontal="center"/>
    </xf>
    <xf numFmtId="0" fontId="105" fillId="154" borderId="0" xfId="0" applyFont="1" applyFill="1"/>
    <xf numFmtId="0" fontId="40" fillId="154" borderId="0" xfId="0" applyFont="1" applyFill="1"/>
    <xf numFmtId="0" fontId="60" fillId="154" borderId="0" xfId="0" applyFont="1" applyFill="1" applyAlignment="1">
      <alignment horizontal="center"/>
    </xf>
    <xf numFmtId="0" fontId="60" fillId="154" borderId="0" xfId="0" applyFont="1" applyFill="1"/>
    <xf numFmtId="0" fontId="106" fillId="143" borderId="0" xfId="1" applyFont="1" applyFill="1"/>
    <xf numFmtId="0" fontId="106" fillId="144" borderId="0" xfId="1" applyFont="1" applyFill="1"/>
    <xf numFmtId="0" fontId="99" fillId="142" borderId="0" xfId="1" applyFont="1" applyFill="1" applyAlignment="1">
      <alignment horizontal="left"/>
    </xf>
    <xf numFmtId="0" fontId="99" fillId="124" borderId="0" xfId="1" applyFont="1" applyFill="1" applyAlignment="1">
      <alignment horizontal="left"/>
    </xf>
    <xf numFmtId="0" fontId="106" fillId="145" borderId="0" xfId="1" applyFont="1" applyFill="1"/>
    <xf numFmtId="0" fontId="106" fillId="146" borderId="0" xfId="1" applyFont="1" applyFill="1"/>
    <xf numFmtId="0" fontId="106" fillId="147" borderId="0" xfId="1" applyFont="1" applyFill="1"/>
    <xf numFmtId="0" fontId="106" fillId="148" borderId="0" xfId="1" applyFont="1" applyFill="1"/>
    <xf numFmtId="0" fontId="106" fillId="149" borderId="0" xfId="1" applyFont="1" applyFill="1"/>
    <xf numFmtId="0" fontId="106" fillId="150" borderId="0" xfId="1" applyFont="1" applyFill="1"/>
    <xf numFmtId="0" fontId="106" fillId="151" borderId="0" xfId="1" applyFont="1" applyFill="1"/>
    <xf numFmtId="0" fontId="106" fillId="152" borderId="0" xfId="1" applyFont="1" applyFill="1"/>
    <xf numFmtId="0" fontId="106" fillId="153" borderId="0" xfId="1" applyFont="1" applyFill="1"/>
    <xf numFmtId="0" fontId="106" fillId="154" borderId="0" xfId="1" applyFont="1" applyFill="1"/>
    <xf numFmtId="0" fontId="110" fillId="157" borderId="0" xfId="0" applyFont="1" applyFill="1" applyAlignment="1">
      <alignment horizontal="center"/>
    </xf>
    <xf numFmtId="0" fontId="111" fillId="142" borderId="0" xfId="0" applyFont="1" applyFill="1" applyAlignment="1">
      <alignment vertical="top" wrapText="1"/>
    </xf>
    <xf numFmtId="0" fontId="111" fillId="124" borderId="0" xfId="0" applyFont="1" applyFill="1" applyAlignment="1">
      <alignment vertical="top" wrapText="1"/>
    </xf>
    <xf numFmtId="0" fontId="111" fillId="143" borderId="0" xfId="0" applyFont="1" applyFill="1" applyAlignment="1">
      <alignment vertical="top" wrapText="1"/>
    </xf>
    <xf numFmtId="0" fontId="111" fillId="144" borderId="0" xfId="0" applyFont="1" applyFill="1" applyAlignment="1">
      <alignment vertical="top" wrapText="1"/>
    </xf>
    <xf numFmtId="0" fontId="111" fillId="160" borderId="0" xfId="0" applyFont="1" applyFill="1" applyAlignment="1">
      <alignment vertical="top" wrapText="1"/>
    </xf>
    <xf numFmtId="0" fontId="111" fillId="162" borderId="0" xfId="0" applyFont="1" applyFill="1" applyAlignment="1">
      <alignment vertical="top" wrapText="1"/>
    </xf>
    <xf numFmtId="0" fontId="111" fillId="164" borderId="0" xfId="0" applyFont="1" applyFill="1" applyAlignment="1">
      <alignment vertical="top" wrapText="1"/>
    </xf>
    <xf numFmtId="0" fontId="111" fillId="165" borderId="0" xfId="0" applyFont="1" applyFill="1" applyAlignment="1">
      <alignment vertical="top" wrapText="1"/>
    </xf>
    <xf numFmtId="0" fontId="111" fillId="168" borderId="0" xfId="0" applyFont="1" applyFill="1" applyAlignment="1">
      <alignment vertical="top" wrapText="1"/>
    </xf>
    <xf numFmtId="0" fontId="111" fillId="169" borderId="0" xfId="0" applyFont="1" applyFill="1" applyAlignment="1">
      <alignment vertical="top" wrapText="1"/>
    </xf>
    <xf numFmtId="0" fontId="111" fillId="142" borderId="0" xfId="0" applyFont="1" applyFill="1" applyAlignment="1">
      <alignment horizontal="center" vertical="top" wrapText="1"/>
    </xf>
    <xf numFmtId="0" fontId="111" fillId="124" borderId="0" xfId="0" applyFont="1" applyFill="1" applyAlignment="1">
      <alignment horizontal="center" vertical="top" wrapText="1"/>
    </xf>
    <xf numFmtId="0" fontId="111" fillId="143" borderId="0" xfId="0" applyFont="1" applyFill="1" applyAlignment="1">
      <alignment horizontal="center" vertical="top" wrapText="1"/>
    </xf>
    <xf numFmtId="0" fontId="111" fillId="144" borderId="0" xfId="0" applyFont="1" applyFill="1" applyAlignment="1">
      <alignment horizontal="center" vertical="top" wrapText="1"/>
    </xf>
    <xf numFmtId="0" fontId="111" fillId="160" borderId="0" xfId="0" applyFont="1" applyFill="1" applyAlignment="1">
      <alignment horizontal="center" vertical="top" wrapText="1"/>
    </xf>
    <xf numFmtId="0" fontId="111" fillId="162" borderId="0" xfId="0" applyFont="1" applyFill="1" applyAlignment="1">
      <alignment horizontal="center" vertical="top" wrapText="1"/>
    </xf>
    <xf numFmtId="0" fontId="111" fillId="164" borderId="0" xfId="0" applyFont="1" applyFill="1" applyAlignment="1">
      <alignment horizontal="center" vertical="top" wrapText="1"/>
    </xf>
    <xf numFmtId="0" fontId="111" fillId="165" borderId="0" xfId="0" applyFont="1" applyFill="1" applyAlignment="1">
      <alignment horizontal="center" vertical="top" wrapText="1"/>
    </xf>
    <xf numFmtId="0" fontId="111" fillId="168" borderId="0" xfId="0" applyFont="1" applyFill="1" applyAlignment="1">
      <alignment horizontal="center" vertical="top" wrapText="1"/>
    </xf>
    <xf numFmtId="0" fontId="111" fillId="169" borderId="0" xfId="0" applyFont="1" applyFill="1" applyAlignment="1">
      <alignment horizontal="center" vertical="top" wrapText="1"/>
    </xf>
    <xf numFmtId="0" fontId="109" fillId="142" borderId="0" xfId="0" applyFont="1" applyFill="1" applyAlignment="1">
      <alignment horizontal="center" vertical="top" wrapText="1"/>
    </xf>
    <xf numFmtId="0" fontId="109" fillId="124" borderId="0" xfId="0" applyFont="1" applyFill="1" applyAlignment="1">
      <alignment horizontal="center" vertical="top" wrapText="1"/>
    </xf>
    <xf numFmtId="0" fontId="109" fillId="143" borderId="0" xfId="0" applyFont="1" applyFill="1" applyAlignment="1">
      <alignment horizontal="center" vertical="top" wrapText="1"/>
    </xf>
    <xf numFmtId="0" fontId="109" fillId="144" borderId="0" xfId="0" applyFont="1" applyFill="1" applyAlignment="1">
      <alignment horizontal="center" vertical="top" wrapText="1"/>
    </xf>
    <xf numFmtId="0" fontId="109" fillId="160" borderId="0" xfId="0" applyFont="1" applyFill="1" applyAlignment="1">
      <alignment horizontal="center" vertical="top" wrapText="1"/>
    </xf>
    <xf numFmtId="0" fontId="109" fillId="162" borderId="0" xfId="0" applyFont="1" applyFill="1" applyAlignment="1">
      <alignment horizontal="center" vertical="top" wrapText="1"/>
    </xf>
    <xf numFmtId="0" fontId="109" fillId="164" borderId="0" xfId="0" applyFont="1" applyFill="1" applyAlignment="1">
      <alignment horizontal="center" vertical="top" wrapText="1"/>
    </xf>
    <xf numFmtId="0" fontId="109" fillId="165" borderId="0" xfId="0" applyFont="1" applyFill="1" applyAlignment="1">
      <alignment horizontal="center" vertical="top" wrapText="1"/>
    </xf>
    <xf numFmtId="0" fontId="109" fillId="168" borderId="0" xfId="0" applyFont="1" applyFill="1" applyAlignment="1">
      <alignment horizontal="center" vertical="top" wrapText="1"/>
    </xf>
    <xf numFmtId="0" fontId="109" fillId="169" borderId="0" xfId="0" applyFont="1" applyFill="1" applyAlignment="1">
      <alignment horizontal="center" vertical="top" wrapText="1"/>
    </xf>
    <xf numFmtId="0" fontId="109" fillId="142" borderId="0" xfId="0" applyFont="1" applyFill="1" applyAlignment="1">
      <alignment vertical="top" wrapText="1"/>
    </xf>
    <xf numFmtId="0" fontId="109" fillId="124" borderId="0" xfId="0" applyFont="1" applyFill="1" applyAlignment="1">
      <alignment vertical="top" wrapText="1"/>
    </xf>
    <xf numFmtId="0" fontId="109" fillId="143" borderId="0" xfId="0" applyFont="1" applyFill="1" applyAlignment="1">
      <alignment vertical="top" wrapText="1"/>
    </xf>
    <xf numFmtId="0" fontId="109" fillId="144" borderId="0" xfId="0" applyFont="1" applyFill="1" applyAlignment="1">
      <alignment vertical="top" wrapText="1"/>
    </xf>
    <xf numFmtId="0" fontId="109" fillId="160" borderId="0" xfId="0" applyFont="1" applyFill="1" applyAlignment="1">
      <alignment vertical="top" wrapText="1"/>
    </xf>
    <xf numFmtId="0" fontId="109" fillId="162" borderId="0" xfId="0" applyFont="1" applyFill="1" applyAlignment="1">
      <alignment vertical="top" wrapText="1"/>
    </xf>
    <xf numFmtId="0" fontId="109" fillId="164" borderId="0" xfId="0" applyFont="1" applyFill="1" applyAlignment="1">
      <alignment vertical="top" wrapText="1"/>
    </xf>
    <xf numFmtId="0" fontId="109" fillId="165" borderId="0" xfId="0" applyFont="1" applyFill="1" applyAlignment="1">
      <alignment vertical="top" wrapText="1"/>
    </xf>
    <xf numFmtId="0" fontId="109" fillId="168" borderId="0" xfId="0" applyFont="1" applyFill="1" applyAlignment="1">
      <alignment vertical="top" wrapText="1"/>
    </xf>
    <xf numFmtId="0" fontId="109" fillId="169" borderId="0" xfId="0" applyFont="1" applyFill="1" applyAlignment="1">
      <alignment vertical="top" wrapText="1"/>
    </xf>
    <xf numFmtId="0" fontId="114" fillId="142" borderId="0" xfId="0" applyFont="1" applyFill="1" applyAlignment="1">
      <alignment horizontal="center" vertical="top" wrapText="1"/>
    </xf>
    <xf numFmtId="0" fontId="115" fillId="124" borderId="0" xfId="0" applyFont="1" applyFill="1" applyAlignment="1">
      <alignment horizontal="center" vertical="top" wrapText="1"/>
    </xf>
    <xf numFmtId="0" fontId="116" fillId="142" borderId="0" xfId="0" applyFont="1" applyFill="1" applyAlignment="1">
      <alignment horizontal="center" vertical="top" wrapText="1"/>
    </xf>
    <xf numFmtId="0" fontId="114" fillId="124" borderId="0" xfId="0" applyFont="1" applyFill="1" applyAlignment="1">
      <alignment horizontal="center" vertical="top" wrapText="1"/>
    </xf>
    <xf numFmtId="0" fontId="116" fillId="124" borderId="0" xfId="0" applyFont="1" applyFill="1" applyAlignment="1">
      <alignment horizontal="center" vertical="top" wrapText="1"/>
    </xf>
    <xf numFmtId="0" fontId="115" fillId="142" borderId="0" xfId="0" applyFont="1" applyFill="1" applyAlignment="1">
      <alignment horizontal="center" vertical="top" wrapText="1"/>
    </xf>
    <xf numFmtId="0" fontId="115" fillId="143" borderId="0" xfId="0" applyFont="1" applyFill="1" applyAlignment="1">
      <alignment horizontal="center" vertical="top" wrapText="1"/>
    </xf>
    <xf numFmtId="0" fontId="115" fillId="144" borderId="0" xfId="0" applyFont="1" applyFill="1" applyAlignment="1">
      <alignment horizontal="center" vertical="top" wrapText="1"/>
    </xf>
    <xf numFmtId="0" fontId="116" fillId="144" borderId="0" xfId="0" applyFont="1" applyFill="1" applyAlignment="1">
      <alignment horizontal="center" vertical="top" wrapText="1"/>
    </xf>
    <xf numFmtId="0" fontId="116" fillId="143" borderId="0" xfId="0" applyFont="1" applyFill="1" applyAlignment="1">
      <alignment horizontal="center" vertical="top" wrapText="1"/>
    </xf>
    <xf numFmtId="0" fontId="114" fillId="143" borderId="0" xfId="0" applyFont="1" applyFill="1" applyAlignment="1">
      <alignment horizontal="center" vertical="top" wrapText="1"/>
    </xf>
    <xf numFmtId="0" fontId="116" fillId="160" borderId="0" xfId="0" applyFont="1" applyFill="1" applyAlignment="1">
      <alignment horizontal="center" vertical="top" wrapText="1"/>
    </xf>
    <xf numFmtId="0" fontId="115" fillId="162" borderId="0" xfId="0" applyFont="1" applyFill="1" applyAlignment="1">
      <alignment horizontal="center" vertical="top" wrapText="1"/>
    </xf>
    <xf numFmtId="0" fontId="115" fillId="164" borderId="0" xfId="0" applyFont="1" applyFill="1" applyAlignment="1">
      <alignment horizontal="center" vertical="top" wrapText="1"/>
    </xf>
    <xf numFmtId="0" fontId="115" fillId="165" borderId="0" xfId="0" applyFont="1" applyFill="1" applyAlignment="1">
      <alignment horizontal="center" vertical="top" wrapText="1"/>
    </xf>
    <xf numFmtId="0" fontId="116" fillId="164" borderId="0" xfId="0" applyFont="1" applyFill="1" applyAlignment="1">
      <alignment horizontal="center" vertical="top" wrapText="1"/>
    </xf>
    <xf numFmtId="0" fontId="114" fillId="165" borderId="0" xfId="0" applyFont="1" applyFill="1" applyAlignment="1">
      <alignment horizontal="center" vertical="top" wrapText="1"/>
    </xf>
    <xf numFmtId="0" fontId="115" fillId="168" borderId="0" xfId="0" applyFont="1" applyFill="1" applyAlignment="1">
      <alignment horizontal="center" vertical="top" wrapText="1"/>
    </xf>
    <xf numFmtId="0" fontId="116" fillId="169" borderId="0" xfId="0" applyFont="1" applyFill="1" applyAlignment="1">
      <alignment horizontal="center" vertical="top" wrapText="1"/>
    </xf>
    <xf numFmtId="0" fontId="116" fillId="168" borderId="0" xfId="0" applyFont="1" applyFill="1" applyAlignment="1">
      <alignment horizontal="center" vertical="top" wrapText="1"/>
    </xf>
    <xf numFmtId="0" fontId="115" fillId="169" borderId="0" xfId="0" applyFont="1" applyFill="1" applyAlignment="1">
      <alignment horizontal="center" vertical="top" wrapText="1"/>
    </xf>
    <xf numFmtId="0" fontId="114" fillId="168" borderId="0" xfId="0" applyFont="1" applyFill="1" applyAlignment="1">
      <alignment horizontal="center" vertical="top" wrapText="1"/>
    </xf>
    <xf numFmtId="0" fontId="113" fillId="0" borderId="0" xfId="0" applyFont="1"/>
    <xf numFmtId="0" fontId="113" fillId="170" borderId="0" xfId="0" applyFont="1" applyFill="1"/>
    <xf numFmtId="0" fontId="111" fillId="0" borderId="0" xfId="0" applyFont="1" applyAlignment="1">
      <alignment wrapText="1"/>
    </xf>
    <xf numFmtId="0" fontId="113" fillId="0" borderId="0" xfId="0" applyFont="1" applyAlignment="1">
      <alignment horizontal="center" wrapText="1"/>
    </xf>
    <xf numFmtId="0" fontId="62" fillId="142" borderId="0" xfId="1" applyFill="1" applyAlignment="1">
      <alignment vertical="top" wrapText="1"/>
    </xf>
    <xf numFmtId="0" fontId="62" fillId="124" borderId="0" xfId="1" applyFill="1" applyAlignment="1">
      <alignment vertical="top" wrapText="1"/>
    </xf>
    <xf numFmtId="0" fontId="62" fillId="143" borderId="0" xfId="1" applyFill="1" applyAlignment="1">
      <alignment vertical="top" wrapText="1"/>
    </xf>
    <xf numFmtId="0" fontId="62" fillId="144" borderId="0" xfId="1" applyFill="1" applyAlignment="1">
      <alignment vertical="top" wrapText="1"/>
    </xf>
    <xf numFmtId="0" fontId="62" fillId="160" borderId="0" xfId="1" applyFill="1" applyAlignment="1">
      <alignment vertical="top" wrapText="1"/>
    </xf>
    <xf numFmtId="0" fontId="62" fillId="162" borderId="0" xfId="1" applyFill="1" applyAlignment="1">
      <alignment vertical="top" wrapText="1"/>
    </xf>
    <xf numFmtId="0" fontId="62" fillId="164" borderId="0" xfId="1" applyFill="1" applyAlignment="1">
      <alignment vertical="top" wrapText="1"/>
    </xf>
    <xf numFmtId="0" fontId="62" fillId="165" borderId="0" xfId="1" applyFill="1" applyAlignment="1">
      <alignment vertical="top" wrapText="1"/>
    </xf>
    <xf numFmtId="0" fontId="62" fillId="168" borderId="0" xfId="1" applyFill="1" applyAlignment="1">
      <alignment vertical="top" wrapText="1"/>
    </xf>
    <xf numFmtId="0" fontId="62" fillId="169" borderId="0" xfId="1" applyFill="1" applyAlignment="1">
      <alignment vertical="top" wrapText="1"/>
    </xf>
    <xf numFmtId="0" fontId="62" fillId="0" borderId="0" xfId="1" applyAlignment="1">
      <alignment wrapText="1"/>
    </xf>
    <xf numFmtId="0" fontId="62" fillId="98" borderId="0" xfId="1" applyFill="1" applyAlignment="1">
      <alignment horizontal="left" vertical="center" wrapText="1"/>
    </xf>
    <xf numFmtId="0" fontId="62" fillId="100" borderId="0" xfId="1" applyFill="1" applyAlignment="1">
      <alignment horizontal="left" vertical="center" wrapText="1"/>
    </xf>
    <xf numFmtId="0" fontId="62" fillId="102" borderId="0" xfId="1" applyFill="1" applyAlignment="1">
      <alignment horizontal="left" vertical="center" wrapText="1"/>
    </xf>
    <xf numFmtId="0" fontId="62" fillId="103" borderId="0" xfId="1" applyFill="1" applyAlignment="1">
      <alignment horizontal="left" vertical="center" wrapText="1"/>
    </xf>
    <xf numFmtId="0" fontId="62" fillId="105" borderId="0" xfId="1" applyFill="1" applyAlignment="1">
      <alignment horizontal="left" vertical="center" wrapText="1"/>
    </xf>
    <xf numFmtId="0" fontId="62" fillId="106" borderId="0" xfId="1" applyFill="1" applyAlignment="1">
      <alignment horizontal="left" vertical="center" wrapText="1"/>
    </xf>
    <xf numFmtId="0" fontId="62" fillId="108" borderId="0" xfId="1" applyFill="1" applyAlignment="1">
      <alignment horizontal="left" vertical="center" wrapText="1"/>
    </xf>
    <xf numFmtId="0" fontId="62" fillId="109" borderId="0" xfId="1" applyFill="1" applyAlignment="1">
      <alignment horizontal="left" vertical="center" wrapText="1"/>
    </xf>
    <xf numFmtId="0" fontId="62" fillId="111" borderId="0" xfId="1" applyFill="1" applyAlignment="1">
      <alignment horizontal="left" vertical="center" wrapText="1"/>
    </xf>
    <xf numFmtId="0" fontId="62" fillId="112" borderId="0" xfId="1" applyFill="1" applyAlignment="1">
      <alignment horizontal="left" vertical="center" wrapText="1"/>
    </xf>
    <xf numFmtId="0" fontId="62" fillId="114" borderId="0" xfId="1" applyFill="1" applyAlignment="1">
      <alignment horizontal="left" vertical="center" wrapText="1"/>
    </xf>
    <xf numFmtId="0" fontId="62" fillId="115" borderId="0" xfId="1" applyFill="1" applyAlignment="1">
      <alignment horizontal="left" vertical="center" wrapText="1"/>
    </xf>
    <xf numFmtId="0" fontId="111" fillId="125" borderId="0" xfId="0" applyFont="1" applyFill="1"/>
    <xf numFmtId="0" fontId="111" fillId="125" borderId="0" xfId="0" applyFont="1" applyFill="1" applyAlignment="1">
      <alignment horizontal="center"/>
    </xf>
    <xf numFmtId="0" fontId="113" fillId="125" borderId="0" xfId="0" applyFont="1" applyFill="1" applyAlignment="1">
      <alignment horizontal="center"/>
    </xf>
    <xf numFmtId="0" fontId="113" fillId="173" borderId="0" xfId="0" applyFont="1" applyFill="1" applyAlignment="1">
      <alignment horizontal="center" wrapText="1"/>
    </xf>
    <xf numFmtId="0" fontId="113" fillId="173" borderId="0" xfId="0" applyFont="1" applyFill="1" applyAlignment="1">
      <alignment wrapText="1"/>
    </xf>
    <xf numFmtId="0" fontId="111" fillId="173" borderId="0" xfId="0" applyFont="1" applyFill="1" applyAlignment="1">
      <alignment wrapText="1"/>
    </xf>
    <xf numFmtId="0" fontId="119" fillId="173" borderId="0" xfId="1" applyFont="1" applyFill="1" applyAlignment="1">
      <alignment wrapText="1"/>
    </xf>
    <xf numFmtId="0" fontId="113" fillId="125" borderId="0" xfId="0" applyFont="1" applyFill="1" applyAlignment="1">
      <alignment horizontal="center" wrapText="1"/>
    </xf>
    <xf numFmtId="0" fontId="113" fillId="125" borderId="0" xfId="0" applyFont="1" applyFill="1" applyAlignment="1">
      <alignment wrapText="1"/>
    </xf>
    <xf numFmtId="0" fontId="111" fillId="125" borderId="0" xfId="0" applyFont="1" applyFill="1" applyAlignment="1">
      <alignment wrapText="1"/>
    </xf>
    <xf numFmtId="0" fontId="119" fillId="125" borderId="0" xfId="1" applyFont="1" applyFill="1" applyAlignment="1">
      <alignment wrapText="1"/>
    </xf>
    <xf numFmtId="0" fontId="111" fillId="175" borderId="0" xfId="0" applyFont="1" applyFill="1"/>
    <xf numFmtId="0" fontId="111" fillId="175" borderId="0" xfId="0" applyFont="1" applyFill="1" applyAlignment="1">
      <alignment horizontal="center"/>
    </xf>
    <xf numFmtId="0" fontId="112" fillId="177" borderId="0" xfId="0" applyFont="1" applyFill="1"/>
    <xf numFmtId="0" fontId="111" fillId="178" borderId="0" xfId="0" applyFont="1" applyFill="1"/>
    <xf numFmtId="0" fontId="0" fillId="174" borderId="0" xfId="0" applyFill="1"/>
    <xf numFmtId="0" fontId="93" fillId="123" borderId="10" xfId="0" applyFont="1" applyFill="1" applyBorder="1"/>
    <xf numFmtId="0" fontId="113" fillId="178" borderId="0" xfId="0" applyFont="1" applyFill="1"/>
    <xf numFmtId="0" fontId="113" fillId="175" borderId="0" xfId="0" applyFont="1" applyFill="1" applyAlignment="1">
      <alignment horizontal="center"/>
    </xf>
    <xf numFmtId="0" fontId="111" fillId="175" borderId="0" xfId="0" applyFont="1" applyFill="1" applyAlignment="1">
      <alignment wrapText="1"/>
    </xf>
    <xf numFmtId="0" fontId="112" fillId="177" borderId="0" xfId="0" applyFont="1" applyFill="1" applyAlignment="1">
      <alignment wrapText="1"/>
    </xf>
    <xf numFmtId="0" fontId="111" fillId="178" borderId="0" xfId="0" applyFont="1" applyFill="1" applyAlignment="1">
      <alignment wrapText="1"/>
    </xf>
    <xf numFmtId="0" fontId="113" fillId="178" borderId="0" xfId="0" applyFont="1" applyFill="1" applyAlignment="1">
      <alignment wrapText="1"/>
    </xf>
    <xf numFmtId="0" fontId="112" fillId="123" borderId="0" xfId="0" applyFont="1" applyFill="1"/>
    <xf numFmtId="0" fontId="124" fillId="123" borderId="0" xfId="0" applyFont="1" applyFill="1" applyAlignment="1">
      <alignment horizontal="center" vertical="center" wrapText="1"/>
    </xf>
    <xf numFmtId="0" fontId="124" fillId="123" borderId="1" xfId="0" applyFont="1" applyFill="1" applyBorder="1" applyAlignment="1">
      <alignment horizontal="center" vertical="center" wrapText="1"/>
    </xf>
    <xf numFmtId="0" fontId="125" fillId="123" borderId="0" xfId="0" applyFont="1" applyFill="1" applyAlignment="1">
      <alignment horizontal="center" vertical="center" wrapText="1"/>
    </xf>
    <xf numFmtId="0" fontId="18" fillId="123" borderId="0" xfId="0" applyFont="1" applyFill="1" applyAlignment="1">
      <alignment horizontal="center" vertical="center" wrapText="1"/>
    </xf>
    <xf numFmtId="0" fontId="62" fillId="79" borderId="0" xfId="1" applyFill="1" applyAlignment="1">
      <alignment horizontal="left" vertical="top"/>
    </xf>
    <xf numFmtId="0" fontId="62" fillId="122" borderId="0" xfId="1" applyFill="1" applyAlignment="1">
      <alignment horizontal="left" vertical="top"/>
    </xf>
    <xf numFmtId="0" fontId="126" fillId="0" borderId="0" xfId="0" applyFont="1"/>
    <xf numFmtId="0" fontId="44" fillId="98" borderId="0" xfId="0" applyFont="1" applyFill="1" applyAlignment="1">
      <alignment horizontal="center" vertical="center" wrapText="1"/>
    </xf>
    <xf numFmtId="0" fontId="44" fillId="100" borderId="0" xfId="0" applyFont="1" applyFill="1" applyAlignment="1">
      <alignment horizontal="center" vertical="center" wrapText="1"/>
    </xf>
    <xf numFmtId="0" fontId="0" fillId="0" borderId="0" xfId="0" applyAlignment="1">
      <alignment horizontal="center"/>
    </xf>
    <xf numFmtId="0" fontId="18" fillId="99" borderId="0" xfId="0" applyFont="1" applyFill="1" applyAlignment="1">
      <alignment vertical="center" wrapText="1"/>
    </xf>
    <xf numFmtId="0" fontId="44" fillId="98" borderId="0" xfId="0" applyFont="1" applyFill="1" applyAlignment="1">
      <alignment vertical="center" wrapText="1"/>
    </xf>
    <xf numFmtId="0" fontId="44" fillId="100" borderId="0" xfId="0" applyFont="1" applyFill="1" applyAlignment="1">
      <alignment vertical="center" wrapText="1"/>
    </xf>
    <xf numFmtId="0" fontId="29" fillId="123" borderId="0" xfId="0" applyFont="1" applyFill="1" applyAlignment="1">
      <alignment horizontal="center" vertical="center" wrapText="1"/>
    </xf>
    <xf numFmtId="0" fontId="62" fillId="100" borderId="0" xfId="1" applyFill="1" applyAlignment="1">
      <alignment horizontal="left" vertical="center"/>
    </xf>
    <xf numFmtId="0" fontId="62" fillId="98" borderId="0" xfId="1" applyFill="1" applyAlignment="1">
      <alignment horizontal="left" vertical="center"/>
    </xf>
    <xf numFmtId="0" fontId="62" fillId="98" borderId="0" xfId="1" applyFill="1" applyAlignment="1">
      <alignment horizontal="center" vertical="center" wrapText="1"/>
    </xf>
    <xf numFmtId="0" fontId="62" fillId="100" borderId="0" xfId="1" applyFill="1" applyAlignment="1">
      <alignment horizontal="center" vertical="center" wrapText="1"/>
    </xf>
    <xf numFmtId="0" fontId="62" fillId="102" borderId="0" xfId="1" applyFill="1" applyAlignment="1">
      <alignment horizontal="center" vertical="center" wrapText="1"/>
    </xf>
    <xf numFmtId="0" fontId="62" fillId="103" borderId="0" xfId="1" applyFill="1" applyAlignment="1">
      <alignment horizontal="center" vertical="center" wrapText="1"/>
    </xf>
    <xf numFmtId="0" fontId="62" fillId="105" borderId="0" xfId="1" applyFill="1" applyAlignment="1">
      <alignment horizontal="center" vertical="center" wrapText="1"/>
    </xf>
    <xf numFmtId="0" fontId="62" fillId="106" borderId="0" xfId="1" applyFill="1" applyAlignment="1">
      <alignment horizontal="center" vertical="center" wrapText="1"/>
    </xf>
    <xf numFmtId="0" fontId="62" fillId="108" borderId="0" xfId="1" applyFill="1" applyAlignment="1">
      <alignment horizontal="center" vertical="center" wrapText="1"/>
    </xf>
    <xf numFmtId="0" fontId="62" fillId="109" borderId="0" xfId="1" applyFill="1" applyAlignment="1">
      <alignment horizontal="center" vertical="center" wrapText="1"/>
    </xf>
    <xf numFmtId="0" fontId="62" fillId="111" borderId="0" xfId="1" applyFill="1" applyAlignment="1">
      <alignment horizontal="center" vertical="center" wrapText="1"/>
    </xf>
    <xf numFmtId="0" fontId="62" fillId="112" borderId="0" xfId="1" applyFill="1" applyAlignment="1">
      <alignment horizontal="center" vertical="center" wrapText="1"/>
    </xf>
    <xf numFmtId="0" fontId="62" fillId="114" borderId="0" xfId="1" applyFill="1" applyAlignment="1">
      <alignment horizontal="center" vertical="center" wrapText="1"/>
    </xf>
    <xf numFmtId="0" fontId="62" fillId="115" borderId="0" xfId="1" applyFill="1" applyAlignment="1">
      <alignment horizontal="center" vertical="center" wrapText="1"/>
    </xf>
    <xf numFmtId="0" fontId="62" fillId="117" borderId="0" xfId="1" applyFill="1" applyAlignment="1">
      <alignment horizontal="center" vertical="center" wrapText="1"/>
    </xf>
    <xf numFmtId="0" fontId="62" fillId="118" borderId="0" xfId="1" applyFill="1" applyAlignment="1">
      <alignment horizontal="center" vertical="center" wrapText="1"/>
    </xf>
    <xf numFmtId="0" fontId="62" fillId="128" borderId="0" xfId="1" applyFill="1"/>
    <xf numFmtId="0" fontId="62" fillId="0" borderId="0" xfId="1" applyAlignment="1"/>
    <xf numFmtId="0" fontId="0" fillId="155" borderId="0" xfId="0" applyFill="1"/>
    <xf numFmtId="0" fontId="110" fillId="123" borderId="0" xfId="0" applyFont="1" applyFill="1" applyAlignment="1">
      <alignment horizontal="center"/>
    </xf>
    <xf numFmtId="0" fontId="110" fillId="181" borderId="0" xfId="0" applyFont="1" applyFill="1" applyAlignment="1">
      <alignment horizontal="center"/>
    </xf>
    <xf numFmtId="0" fontId="109" fillId="182" borderId="0" xfId="0" applyFont="1" applyFill="1"/>
    <xf numFmtId="0" fontId="111" fillId="182" borderId="0" xfId="0" applyFont="1" applyFill="1"/>
    <xf numFmtId="0" fontId="110" fillId="183" borderId="0" xfId="0" applyFont="1" applyFill="1" applyAlignment="1">
      <alignment horizontal="center"/>
    </xf>
    <xf numFmtId="0" fontId="109" fillId="125" borderId="0" xfId="0" applyFont="1" applyFill="1"/>
    <xf numFmtId="0" fontId="110" fillId="177" borderId="0" xfId="0" applyFont="1" applyFill="1" applyAlignment="1">
      <alignment horizontal="center"/>
    </xf>
    <xf numFmtId="0" fontId="110" fillId="184" borderId="0" xfId="0" applyFont="1" applyFill="1" applyAlignment="1">
      <alignment horizontal="center"/>
    </xf>
    <xf numFmtId="0" fontId="110" fillId="185" borderId="0" xfId="0" applyFont="1" applyFill="1" applyAlignment="1">
      <alignment horizontal="center"/>
    </xf>
    <xf numFmtId="0" fontId="110" fillId="186" borderId="0" xfId="0" applyFont="1" applyFill="1" applyAlignment="1">
      <alignment horizontal="center"/>
    </xf>
    <xf numFmtId="0" fontId="93" fillId="155" borderId="0" xfId="0" applyFont="1" applyFill="1" applyAlignment="1">
      <alignment horizontal="center"/>
    </xf>
    <xf numFmtId="0" fontId="112" fillId="155" borderId="0" xfId="0" applyFont="1" applyFill="1" applyAlignment="1">
      <alignment horizontal="center"/>
    </xf>
    <xf numFmtId="0" fontId="0" fillId="181" borderId="0" xfId="0" applyFill="1"/>
    <xf numFmtId="0" fontId="112" fillId="188" borderId="0" xfId="0" applyFont="1" applyFill="1" applyAlignment="1">
      <alignment horizontal="center"/>
    </xf>
    <xf numFmtId="0" fontId="111" fillId="189" borderId="0" xfId="0" applyFont="1" applyFill="1"/>
    <xf numFmtId="0" fontId="111" fillId="189" borderId="0" xfId="0" applyFont="1" applyFill="1" applyAlignment="1">
      <alignment horizontal="center"/>
    </xf>
    <xf numFmtId="0" fontId="108" fillId="189" borderId="0" xfId="0" applyFont="1" applyFill="1" applyAlignment="1">
      <alignment horizontal="center"/>
    </xf>
    <xf numFmtId="0" fontId="113" fillId="189" borderId="0" xfId="0" applyFont="1" applyFill="1" applyAlignment="1">
      <alignment horizontal="center"/>
    </xf>
    <xf numFmtId="0" fontId="108" fillId="125" borderId="0" xfId="0" applyFont="1" applyFill="1" applyAlignment="1">
      <alignment horizontal="center"/>
    </xf>
    <xf numFmtId="0" fontId="112" fillId="181" borderId="0" xfId="0" applyFont="1" applyFill="1"/>
    <xf numFmtId="0" fontId="0" fillId="183" borderId="0" xfId="0" applyFill="1"/>
    <xf numFmtId="0" fontId="111" fillId="191" borderId="0" xfId="0" applyFont="1" applyFill="1"/>
    <xf numFmtId="0" fontId="111" fillId="191" borderId="0" xfId="0" applyFont="1" applyFill="1" applyAlignment="1">
      <alignment horizontal="center"/>
    </xf>
    <xf numFmtId="0" fontId="108" fillId="191" borderId="0" xfId="0" applyFont="1" applyFill="1" applyAlignment="1">
      <alignment horizontal="center"/>
    </xf>
    <xf numFmtId="0" fontId="113" fillId="191" borderId="0" xfId="0" applyFont="1" applyFill="1" applyAlignment="1">
      <alignment horizontal="center"/>
    </xf>
    <xf numFmtId="0" fontId="112" fillId="183" borderId="0" xfId="0" applyFont="1" applyFill="1"/>
    <xf numFmtId="0" fontId="112" fillId="183" borderId="0" xfId="0" applyFont="1" applyFill="1" applyAlignment="1">
      <alignment horizontal="center"/>
    </xf>
    <xf numFmtId="0" fontId="0" fillId="177" borderId="0" xfId="0" applyFill="1"/>
    <xf numFmtId="0" fontId="111" fillId="134" borderId="0" xfId="0" applyFont="1" applyFill="1"/>
    <xf numFmtId="0" fontId="111" fillId="134" borderId="0" xfId="0" applyFont="1" applyFill="1" applyAlignment="1">
      <alignment horizontal="center"/>
    </xf>
    <xf numFmtId="0" fontId="108" fillId="134" borderId="0" xfId="0" applyFont="1" applyFill="1" applyAlignment="1">
      <alignment horizontal="center"/>
    </xf>
    <xf numFmtId="0" fontId="113" fillId="134" borderId="0" xfId="0" applyFont="1" applyFill="1" applyAlignment="1">
      <alignment horizontal="center"/>
    </xf>
    <xf numFmtId="0" fontId="0" fillId="184" borderId="0" xfId="0" applyFill="1"/>
    <xf numFmtId="0" fontId="111" fillId="135" borderId="0" xfId="0" applyFont="1" applyFill="1"/>
    <xf numFmtId="0" fontId="111" fillId="135" borderId="0" xfId="0" applyFont="1" applyFill="1" applyAlignment="1">
      <alignment horizontal="center"/>
    </xf>
    <xf numFmtId="0" fontId="108" fillId="135" borderId="0" xfId="0" applyFont="1" applyFill="1" applyAlignment="1">
      <alignment horizontal="center"/>
    </xf>
    <xf numFmtId="0" fontId="113" fillId="135" borderId="0" xfId="0" applyFont="1" applyFill="1" applyAlignment="1">
      <alignment horizontal="center"/>
    </xf>
    <xf numFmtId="0" fontId="112" fillId="184" borderId="0" xfId="0" applyFont="1" applyFill="1"/>
    <xf numFmtId="0" fontId="112" fillId="184" borderId="0" xfId="0" applyFont="1" applyFill="1" applyAlignment="1">
      <alignment horizontal="center"/>
    </xf>
    <xf numFmtId="0" fontId="0" fillId="185" borderId="0" xfId="0" applyFill="1"/>
    <xf numFmtId="0" fontId="111" fillId="130" borderId="0" xfId="0" applyFont="1" applyFill="1"/>
    <xf numFmtId="0" fontId="111" fillId="130" borderId="0" xfId="0" applyFont="1" applyFill="1" applyAlignment="1">
      <alignment horizontal="center"/>
    </xf>
    <xf numFmtId="0" fontId="108" fillId="130" borderId="0" xfId="0" applyFont="1" applyFill="1" applyAlignment="1">
      <alignment horizontal="center"/>
    </xf>
    <xf numFmtId="0" fontId="113" fillId="130" borderId="0" xfId="0" applyFont="1" applyFill="1" applyAlignment="1">
      <alignment horizontal="center"/>
    </xf>
    <xf numFmtId="0" fontId="112" fillId="185" borderId="0" xfId="0" applyFont="1" applyFill="1"/>
    <xf numFmtId="0" fontId="0" fillId="186" borderId="0" xfId="0" applyFill="1"/>
    <xf numFmtId="0" fontId="111" fillId="132" borderId="0" xfId="0" applyFont="1" applyFill="1"/>
    <xf numFmtId="0" fontId="111" fillId="132" borderId="0" xfId="0" applyFont="1" applyFill="1" applyAlignment="1">
      <alignment horizontal="center"/>
    </xf>
    <xf numFmtId="0" fontId="108" fillId="132" borderId="0" xfId="0" applyFont="1" applyFill="1" applyAlignment="1">
      <alignment horizontal="center"/>
    </xf>
    <xf numFmtId="0" fontId="112" fillId="186" borderId="0" xfId="0" applyFont="1" applyFill="1"/>
    <xf numFmtId="0" fontId="60" fillId="124" borderId="0" xfId="0" applyFont="1" applyFill="1" applyAlignment="1">
      <alignment wrapText="1"/>
    </xf>
    <xf numFmtId="0" fontId="135" fillId="124" borderId="0" xfId="0" applyFont="1" applyFill="1" applyAlignment="1">
      <alignment horizontal="center" wrapText="1"/>
    </xf>
    <xf numFmtId="0" fontId="11" fillId="124" borderId="0" xfId="0" applyFont="1" applyFill="1" applyAlignment="1">
      <alignment horizontal="center" wrapText="1"/>
    </xf>
    <xf numFmtId="0" fontId="61" fillId="124" borderId="0" xfId="0" applyFont="1" applyFill="1" applyAlignment="1">
      <alignment horizontal="center" wrapText="1"/>
    </xf>
    <xf numFmtId="0" fontId="136" fillId="124" borderId="0" xfId="0" applyFont="1" applyFill="1" applyAlignment="1">
      <alignment horizontal="center" wrapText="1"/>
    </xf>
    <xf numFmtId="0" fontId="98" fillId="125" borderId="0" xfId="0" applyFont="1" applyFill="1"/>
    <xf numFmtId="0" fontId="60" fillId="125" borderId="0" xfId="0" applyFont="1" applyFill="1" applyAlignment="1">
      <alignment wrapText="1"/>
    </xf>
    <xf numFmtId="0" fontId="135" fillId="125" borderId="0" xfId="0" applyFont="1" applyFill="1" applyAlignment="1">
      <alignment horizontal="center" wrapText="1"/>
    </xf>
    <xf numFmtId="0" fontId="11" fillId="125" borderId="0" xfId="0" applyFont="1" applyFill="1" applyAlignment="1">
      <alignment horizontal="center" wrapText="1"/>
    </xf>
    <xf numFmtId="0" fontId="61" fillId="125" borderId="0" xfId="0" applyFont="1" applyFill="1" applyAlignment="1">
      <alignment horizontal="center" wrapText="1"/>
    </xf>
    <xf numFmtId="0" fontId="136" fillId="125" borderId="0" xfId="0" applyFont="1" applyFill="1" applyAlignment="1">
      <alignment horizontal="center" wrapText="1"/>
    </xf>
    <xf numFmtId="0" fontId="139" fillId="124" borderId="0" xfId="1" applyFont="1" applyFill="1" applyAlignment="1">
      <alignment horizontal="center" wrapText="1"/>
    </xf>
    <xf numFmtId="0" fontId="139" fillId="125" borderId="0" xfId="1" applyFont="1" applyFill="1" applyAlignment="1">
      <alignment horizontal="center" wrapText="1"/>
    </xf>
    <xf numFmtId="0" fontId="145" fillId="124" borderId="0" xfId="1" applyFont="1" applyFill="1" applyAlignment="1">
      <alignment horizontal="left" vertical="center" wrapText="1"/>
    </xf>
    <xf numFmtId="0" fontId="145" fillId="124" borderId="0" xfId="1" applyFont="1" applyFill="1" applyAlignment="1">
      <alignment horizontal="center" vertical="center" wrapText="1"/>
    </xf>
    <xf numFmtId="0" fontId="146" fillId="124" borderId="0" xfId="0" applyFont="1" applyFill="1" applyAlignment="1">
      <alignment horizontal="center" vertical="center" wrapText="1"/>
    </xf>
    <xf numFmtId="0" fontId="147" fillId="124" borderId="0" xfId="0" applyFont="1" applyFill="1" applyAlignment="1">
      <alignment horizontal="left" vertical="center" wrapText="1"/>
    </xf>
    <xf numFmtId="0" fontId="148" fillId="124" borderId="0" xfId="0" applyFont="1" applyFill="1" applyAlignment="1">
      <alignment horizontal="center" vertical="center" wrapText="1"/>
    </xf>
    <xf numFmtId="0" fontId="149" fillId="124" borderId="0" xfId="0" applyFont="1" applyFill="1" applyAlignment="1">
      <alignment horizontal="left" vertical="top" wrapText="1"/>
    </xf>
    <xf numFmtId="0" fontId="147" fillId="124" borderId="0" xfId="0" quotePrefix="1" applyFont="1" applyFill="1" applyAlignment="1">
      <alignment horizontal="left" vertical="center" wrapText="1"/>
    </xf>
    <xf numFmtId="0" fontId="145" fillId="203" borderId="0" xfId="1" applyFont="1" applyFill="1" applyAlignment="1">
      <alignment horizontal="left" vertical="center" wrapText="1"/>
    </xf>
    <xf numFmtId="0" fontId="145" fillId="203" borderId="0" xfId="1" applyFont="1" applyFill="1" applyAlignment="1">
      <alignment horizontal="center" vertical="center" wrapText="1"/>
    </xf>
    <xf numFmtId="0" fontId="146" fillId="203" borderId="0" xfId="0" applyFont="1" applyFill="1" applyAlignment="1">
      <alignment horizontal="center" vertical="center" wrapText="1"/>
    </xf>
    <xf numFmtId="0" fontId="147" fillId="203" borderId="0" xfId="0" applyFont="1" applyFill="1" applyAlignment="1">
      <alignment horizontal="left" vertical="center" wrapText="1"/>
    </xf>
    <xf numFmtId="0" fontId="148" fillId="203" borderId="0" xfId="0" applyFont="1" applyFill="1" applyAlignment="1">
      <alignment horizontal="center" vertical="center" wrapText="1"/>
    </xf>
    <xf numFmtId="0" fontId="149" fillId="203" borderId="0" xfId="0" applyFont="1" applyFill="1" applyAlignment="1">
      <alignment horizontal="left" vertical="top" wrapText="1"/>
    </xf>
    <xf numFmtId="0" fontId="147" fillId="203" borderId="0" xfId="0" quotePrefix="1" applyFont="1" applyFill="1" applyAlignment="1">
      <alignment horizontal="left" vertical="center" wrapText="1"/>
    </xf>
    <xf numFmtId="0" fontId="145" fillId="171" borderId="0" xfId="1" applyFont="1" applyFill="1" applyAlignment="1">
      <alignment horizontal="left" vertical="center" wrapText="1"/>
    </xf>
    <xf numFmtId="0" fontId="145" fillId="171" borderId="0" xfId="1" applyFont="1" applyFill="1" applyAlignment="1">
      <alignment horizontal="center" vertical="center" wrapText="1"/>
    </xf>
    <xf numFmtId="0" fontId="150" fillId="171" borderId="0" xfId="0" applyFont="1" applyFill="1" applyAlignment="1">
      <alignment horizontal="center" vertical="center" wrapText="1"/>
    </xf>
    <xf numFmtId="0" fontId="147" fillId="171" borderId="0" xfId="0" applyFont="1" applyFill="1" applyAlignment="1">
      <alignment horizontal="left" vertical="center" wrapText="1"/>
    </xf>
    <xf numFmtId="0" fontId="148" fillId="171" borderId="0" xfId="0" applyFont="1" applyFill="1" applyAlignment="1">
      <alignment horizontal="center" vertical="center" wrapText="1"/>
    </xf>
    <xf numFmtId="0" fontId="149" fillId="171" borderId="0" xfId="0" applyFont="1" applyFill="1" applyAlignment="1">
      <alignment horizontal="left" vertical="top" wrapText="1"/>
    </xf>
    <xf numFmtId="0" fontId="147" fillId="171" borderId="0" xfId="0" quotePrefix="1" applyFont="1" applyFill="1" applyAlignment="1">
      <alignment horizontal="left" vertical="center" wrapText="1"/>
    </xf>
    <xf numFmtId="0" fontId="145" fillId="204" borderId="0" xfId="1" applyFont="1" applyFill="1" applyAlignment="1">
      <alignment horizontal="left" vertical="center" wrapText="1"/>
    </xf>
    <xf numFmtId="0" fontId="145" fillId="204" borderId="0" xfId="1" applyFont="1" applyFill="1" applyAlignment="1">
      <alignment horizontal="center" vertical="center" wrapText="1"/>
    </xf>
    <xf numFmtId="0" fontId="150" fillId="204" borderId="0" xfId="0" applyFont="1" applyFill="1" applyAlignment="1">
      <alignment horizontal="center" vertical="center" wrapText="1"/>
    </xf>
    <xf numFmtId="0" fontId="147" fillId="204" borderId="0" xfId="0" applyFont="1" applyFill="1" applyAlignment="1">
      <alignment horizontal="left" vertical="center" wrapText="1"/>
    </xf>
    <xf numFmtId="0" fontId="148" fillId="204" borderId="0" xfId="0" applyFont="1" applyFill="1" applyAlignment="1">
      <alignment horizontal="center" vertical="center" wrapText="1"/>
    </xf>
    <xf numFmtId="0" fontId="149" fillId="204" borderId="0" xfId="0" applyFont="1" applyFill="1" applyAlignment="1">
      <alignment horizontal="left" vertical="top" wrapText="1"/>
    </xf>
    <xf numFmtId="0" fontId="147" fillId="204" borderId="0" xfId="0" quotePrefix="1" applyFont="1" applyFill="1" applyAlignment="1">
      <alignment horizontal="left" vertical="center" wrapText="1"/>
    </xf>
    <xf numFmtId="0" fontId="151" fillId="204" borderId="0" xfId="0" applyFont="1" applyFill="1" applyAlignment="1">
      <alignment horizontal="center" vertical="center" wrapText="1"/>
    </xf>
    <xf numFmtId="0" fontId="28" fillId="123" borderId="0" xfId="0" applyFont="1" applyFill="1" applyAlignment="1">
      <alignment horizontal="center" vertical="center" wrapText="1"/>
    </xf>
    <xf numFmtId="0" fontId="28" fillId="195" borderId="0" xfId="0" applyFont="1" applyFill="1" applyAlignment="1">
      <alignment horizontal="center" vertical="center" wrapText="1"/>
    </xf>
    <xf numFmtId="0" fontId="62" fillId="179" borderId="0" xfId="1" applyFill="1" applyAlignment="1">
      <alignment horizontal="left" vertical="center" wrapText="1"/>
    </xf>
    <xf numFmtId="0" fontId="152" fillId="125" borderId="0" xfId="0" applyFont="1" applyFill="1"/>
    <xf numFmtId="0" fontId="145" fillId="205" borderId="0" xfId="1" applyFont="1" applyFill="1" applyAlignment="1">
      <alignment horizontal="center" vertical="center" wrapText="1"/>
    </xf>
    <xf numFmtId="0" fontId="145" fillId="206" borderId="0" xfId="1" applyFont="1" applyFill="1" applyAlignment="1">
      <alignment horizontal="center" vertical="center" wrapText="1"/>
    </xf>
    <xf numFmtId="0" fontId="145" fillId="206" borderId="0" xfId="1" applyFont="1" applyFill="1" applyAlignment="1">
      <alignment horizontal="left" vertical="center" wrapText="1"/>
    </xf>
    <xf numFmtId="0" fontId="145" fillId="205" borderId="0" xfId="1" applyFont="1" applyFill="1" applyAlignment="1">
      <alignment horizontal="left" vertical="center" wrapText="1"/>
    </xf>
    <xf numFmtId="0" fontId="145" fillId="165" borderId="0" xfId="1" applyFont="1" applyFill="1" applyAlignment="1">
      <alignment horizontal="center" vertical="center" wrapText="1"/>
    </xf>
    <xf numFmtId="0" fontId="145" fillId="207" borderId="0" xfId="1" applyFont="1" applyFill="1" applyAlignment="1">
      <alignment horizontal="center" vertical="center" wrapText="1"/>
    </xf>
    <xf numFmtId="0" fontId="145" fillId="127" borderId="0" xfId="1" applyFont="1" applyFill="1" applyAlignment="1">
      <alignment horizontal="center" vertical="center" wrapText="1"/>
    </xf>
    <xf numFmtId="0" fontId="145" fillId="149" borderId="0" xfId="1" applyFont="1" applyFill="1" applyAlignment="1">
      <alignment horizontal="left" vertical="center" wrapText="1"/>
    </xf>
    <xf numFmtId="0" fontId="145" fillId="208" borderId="0" xfId="1" applyFont="1" applyFill="1" applyAlignment="1">
      <alignment horizontal="center" vertical="center" wrapText="1"/>
    </xf>
    <xf numFmtId="0" fontId="145" fillId="209" borderId="0" xfId="1" applyFont="1" applyFill="1" applyAlignment="1">
      <alignment horizontal="center" vertical="center" wrapText="1"/>
    </xf>
    <xf numFmtId="0" fontId="145" fillId="208" borderId="0" xfId="1" applyFont="1" applyFill="1" applyAlignment="1">
      <alignment horizontal="left" vertical="center" wrapText="1"/>
    </xf>
    <xf numFmtId="0" fontId="145" fillId="209" borderId="0" xfId="1" applyFont="1" applyFill="1" applyAlignment="1">
      <alignment horizontal="left" vertical="center" wrapText="1"/>
    </xf>
    <xf numFmtId="0" fontId="145" fillId="210" borderId="0" xfId="1" applyFont="1" applyFill="1" applyAlignment="1">
      <alignment horizontal="center" vertical="center" wrapText="1"/>
    </xf>
    <xf numFmtId="0" fontId="145" fillId="211" borderId="0" xfId="1" applyFont="1" applyFill="1" applyAlignment="1">
      <alignment horizontal="left" vertical="center" wrapText="1"/>
    </xf>
    <xf numFmtId="0" fontId="145" fillId="210" borderId="0" xfId="1" applyFont="1" applyFill="1" applyAlignment="1">
      <alignment horizontal="left" vertical="center" wrapText="1"/>
    </xf>
    <xf numFmtId="0" fontId="155" fillId="203" borderId="0" xfId="0" applyFont="1" applyFill="1" applyAlignment="1">
      <alignment horizontal="left" vertical="top" wrapText="1"/>
    </xf>
    <xf numFmtId="0" fontId="153" fillId="203" borderId="0" xfId="0" applyFont="1" applyFill="1" applyAlignment="1">
      <alignment horizontal="center" vertical="top" wrapText="1"/>
    </xf>
    <xf numFmtId="0" fontId="154" fillId="203" borderId="0" xfId="0" applyFont="1" applyFill="1" applyAlignment="1">
      <alignment horizontal="left" vertical="top" wrapText="1"/>
    </xf>
    <xf numFmtId="0" fontId="155" fillId="124" borderId="0" xfId="0" applyFont="1" applyFill="1" applyAlignment="1">
      <alignment horizontal="left" vertical="top" wrapText="1"/>
    </xf>
    <xf numFmtId="0" fontId="156" fillId="124" borderId="0" xfId="0" applyFont="1" applyFill="1" applyAlignment="1">
      <alignment horizontal="center" vertical="top" wrapText="1"/>
    </xf>
    <xf numFmtId="0" fontId="154" fillId="124" borderId="0" xfId="0" applyFont="1" applyFill="1" applyAlignment="1">
      <alignment horizontal="left" vertical="top" wrapText="1"/>
    </xf>
    <xf numFmtId="0" fontId="157" fillId="203" borderId="0" xfId="1" applyFont="1" applyFill="1" applyAlignment="1">
      <alignment horizontal="center" vertical="top" wrapText="1"/>
    </xf>
    <xf numFmtId="0" fontId="157" fillId="124" borderId="0" xfId="1" applyFont="1" applyFill="1" applyAlignment="1">
      <alignment horizontal="center" vertical="top" wrapText="1"/>
    </xf>
    <xf numFmtId="0" fontId="153" fillId="124" borderId="0" xfId="0" applyFont="1" applyFill="1" applyAlignment="1">
      <alignment horizontal="center" vertical="top" wrapText="1"/>
    </xf>
    <xf numFmtId="0" fontId="159" fillId="212" borderId="0" xfId="0" applyFont="1" applyFill="1" applyAlignment="1">
      <alignment horizontal="center"/>
    </xf>
    <xf numFmtId="0" fontId="93" fillId="213" borderId="0" xfId="0" applyFont="1" applyFill="1"/>
    <xf numFmtId="0" fontId="62" fillId="221" borderId="0" xfId="1" applyFill="1" applyAlignment="1">
      <alignment horizontal="center" vertical="center" wrapText="1"/>
    </xf>
    <xf numFmtId="0" fontId="62" fillId="222" borderId="0" xfId="1" applyFill="1" applyAlignment="1">
      <alignment horizontal="center" vertical="center" wrapText="1"/>
    </xf>
    <xf numFmtId="0" fontId="62" fillId="223" borderId="0" xfId="1" applyFill="1" applyAlignment="1">
      <alignment horizontal="center" vertical="center" wrapText="1"/>
    </xf>
    <xf numFmtId="0" fontId="62" fillId="224" borderId="0" xfId="1" applyFill="1" applyAlignment="1">
      <alignment horizontal="center" vertical="center" wrapText="1"/>
    </xf>
    <xf numFmtId="0" fontId="62" fillId="225" borderId="0" xfId="1" applyFill="1" applyAlignment="1">
      <alignment horizontal="center" vertical="center" wrapText="1"/>
    </xf>
    <xf numFmtId="0" fontId="62" fillId="226" borderId="0" xfId="1" applyFill="1" applyAlignment="1">
      <alignment horizontal="center" vertical="center" wrapText="1"/>
    </xf>
    <xf numFmtId="0" fontId="62" fillId="229" borderId="0" xfId="1" applyFill="1" applyAlignment="1">
      <alignment horizontal="center" vertical="center" wrapText="1"/>
    </xf>
    <xf numFmtId="0" fontId="62" fillId="231" borderId="0" xfId="1" applyFill="1" applyAlignment="1">
      <alignment horizontal="center" vertical="center" wrapText="1"/>
    </xf>
    <xf numFmtId="0" fontId="62" fillId="232" borderId="0" xfId="1" applyFill="1" applyAlignment="1">
      <alignment horizontal="center" vertical="center" wrapText="1"/>
    </xf>
    <xf numFmtId="0" fontId="161" fillId="221" borderId="0" xfId="1" applyFont="1" applyFill="1" applyAlignment="1">
      <alignment horizontal="center" vertical="center" wrapText="1"/>
    </xf>
    <xf numFmtId="0" fontId="161" fillId="222" borderId="0" xfId="1" applyFont="1" applyFill="1" applyAlignment="1">
      <alignment horizontal="center" vertical="center" wrapText="1"/>
    </xf>
    <xf numFmtId="0" fontId="161" fillId="223" borderId="0" xfId="1" applyFont="1" applyFill="1" applyAlignment="1">
      <alignment horizontal="center" vertical="center" wrapText="1"/>
    </xf>
    <xf numFmtId="0" fontId="161" fillId="224" borderId="0" xfId="1" applyFont="1" applyFill="1" applyAlignment="1">
      <alignment horizontal="center" vertical="center" wrapText="1"/>
    </xf>
    <xf numFmtId="0" fontId="161" fillId="225" borderId="0" xfId="1" applyFont="1" applyFill="1" applyAlignment="1">
      <alignment horizontal="center" vertical="center" wrapText="1"/>
    </xf>
    <xf numFmtId="0" fontId="161" fillId="226" borderId="0" xfId="1" applyFont="1" applyFill="1" applyAlignment="1">
      <alignment horizontal="center" vertical="center" wrapText="1"/>
    </xf>
    <xf numFmtId="0" fontId="161" fillId="227" borderId="0" xfId="1" applyFont="1" applyFill="1" applyAlignment="1">
      <alignment horizontal="center" vertical="center" wrapText="1"/>
    </xf>
    <xf numFmtId="0" fontId="161" fillId="228" borderId="0" xfId="1" applyFont="1" applyFill="1" applyAlignment="1">
      <alignment horizontal="center" vertical="center" wrapText="1"/>
    </xf>
    <xf numFmtId="0" fontId="161" fillId="229" borderId="0" xfId="1" applyFont="1" applyFill="1" applyAlignment="1">
      <alignment horizontal="center" vertical="center" wrapText="1"/>
    </xf>
    <xf numFmtId="0" fontId="161" fillId="230" borderId="0" xfId="1" applyFont="1" applyFill="1" applyAlignment="1">
      <alignment horizontal="center" vertical="center" wrapText="1"/>
    </xf>
    <xf numFmtId="0" fontId="161" fillId="231" borderId="0" xfId="1" applyFont="1" applyFill="1" applyAlignment="1">
      <alignment horizontal="center" vertical="center" wrapText="1"/>
    </xf>
    <xf numFmtId="0" fontId="161" fillId="232" borderId="0" xfId="1" applyFont="1" applyFill="1" applyAlignment="1">
      <alignment horizontal="center" vertical="center" wrapText="1"/>
    </xf>
    <xf numFmtId="0" fontId="162" fillId="237" borderId="0" xfId="0" applyFont="1" applyFill="1" applyAlignment="1">
      <alignment horizontal="center" vertical="center"/>
    </xf>
    <xf numFmtId="0" fontId="162" fillId="237" borderId="0" xfId="0" applyFont="1" applyFill="1"/>
    <xf numFmtId="0" fontId="98" fillId="237" borderId="0" xfId="0" applyFont="1" applyFill="1" applyAlignment="1">
      <alignment horizontal="center"/>
    </xf>
    <xf numFmtId="0" fontId="98" fillId="237" borderId="0" xfId="0" applyFont="1" applyFill="1" applyAlignment="1">
      <alignment wrapText="1"/>
    </xf>
    <xf numFmtId="0" fontId="161" fillId="237" borderId="0" xfId="0" applyFont="1" applyFill="1" applyAlignment="1">
      <alignment horizontal="center" vertical="center"/>
    </xf>
    <xf numFmtId="0" fontId="161" fillId="233" borderId="0" xfId="1" applyFont="1" applyFill="1" applyAlignment="1">
      <alignment horizontal="center" vertical="center" wrapText="1"/>
    </xf>
    <xf numFmtId="0" fontId="161" fillId="234" borderId="0" xfId="1" applyFont="1" applyFill="1" applyAlignment="1">
      <alignment horizontal="center" vertical="center" wrapText="1"/>
    </xf>
    <xf numFmtId="0" fontId="28" fillId="220" borderId="0" xfId="0" applyFont="1" applyFill="1" applyAlignment="1">
      <alignment horizontal="center" vertical="center" wrapText="1"/>
    </xf>
    <xf numFmtId="0" fontId="28" fillId="220" borderId="0" xfId="0" applyFont="1" applyFill="1" applyAlignment="1">
      <alignment vertical="top" wrapText="1"/>
    </xf>
    <xf numFmtId="0" fontId="28" fillId="220" borderId="0" xfId="0" applyFont="1" applyFill="1" applyAlignment="1">
      <alignment horizontal="center" vertical="top" wrapText="1"/>
    </xf>
    <xf numFmtId="0" fontId="161" fillId="220" borderId="0" xfId="1" applyFont="1" applyFill="1" applyAlignment="1">
      <alignment horizontal="center" vertical="center" wrapText="1"/>
    </xf>
    <xf numFmtId="0" fontId="161" fillId="235" borderId="0" xfId="1" applyFont="1" applyFill="1" applyAlignment="1">
      <alignment horizontal="center" vertical="center" wrapText="1"/>
    </xf>
    <xf numFmtId="0" fontId="161" fillId="236" borderId="0" xfId="1" applyFont="1" applyFill="1" applyAlignment="1">
      <alignment horizontal="center" vertical="center" wrapText="1"/>
    </xf>
    <xf numFmtId="0" fontId="163" fillId="221" borderId="0" xfId="0" applyFont="1" applyFill="1" applyAlignment="1">
      <alignment horizontal="center" vertical="center" wrapText="1"/>
    </xf>
    <xf numFmtId="0" fontId="164" fillId="221" borderId="0" xfId="0" applyFont="1" applyFill="1" applyAlignment="1">
      <alignment horizontal="left" vertical="center" wrapText="1"/>
    </xf>
    <xf numFmtId="0" fontId="148" fillId="221" borderId="0" xfId="0" applyFont="1" applyFill="1" applyAlignment="1">
      <alignment horizontal="center" vertical="center" wrapText="1"/>
    </xf>
    <xf numFmtId="0" fontId="147" fillId="221" borderId="0" xfId="0" applyFont="1" applyFill="1" applyAlignment="1">
      <alignment horizontal="center" vertical="center" wrapText="1"/>
    </xf>
    <xf numFmtId="0" fontId="149" fillId="221" borderId="0" xfId="0" applyFont="1" applyFill="1" applyAlignment="1">
      <alignment horizontal="left" vertical="top" wrapText="1"/>
    </xf>
    <xf numFmtId="0" fontId="147" fillId="221" borderId="0" xfId="0" applyFont="1" applyFill="1" applyAlignment="1">
      <alignment horizontal="left" vertical="center" wrapText="1"/>
    </xf>
    <xf numFmtId="0" fontId="146" fillId="222" borderId="0" xfId="0" applyFont="1" applyFill="1" applyAlignment="1">
      <alignment horizontal="center" vertical="center" wrapText="1"/>
    </xf>
    <xf numFmtId="0" fontId="164" fillId="222" borderId="0" xfId="0" applyFont="1" applyFill="1" applyAlignment="1">
      <alignment horizontal="left" vertical="center" wrapText="1"/>
    </xf>
    <xf numFmtId="0" fontId="148" fillId="222" borderId="0" xfId="0" applyFont="1" applyFill="1" applyAlignment="1">
      <alignment horizontal="center" vertical="center" wrapText="1"/>
    </xf>
    <xf numFmtId="0" fontId="147" fillId="222" borderId="0" xfId="0" applyFont="1" applyFill="1" applyAlignment="1">
      <alignment horizontal="center" vertical="center" wrapText="1"/>
    </xf>
    <xf numFmtId="0" fontId="149" fillId="222" borderId="0" xfId="0" applyFont="1" applyFill="1" applyAlignment="1">
      <alignment horizontal="left" vertical="top" wrapText="1"/>
    </xf>
    <xf numFmtId="0" fontId="147" fillId="222" borderId="0" xfId="0" applyFont="1" applyFill="1" applyAlignment="1">
      <alignment horizontal="left" vertical="center" wrapText="1"/>
    </xf>
    <xf numFmtId="0" fontId="165" fillId="223" borderId="0" xfId="0" applyFont="1" applyFill="1" applyAlignment="1">
      <alignment horizontal="center" vertical="center" wrapText="1"/>
    </xf>
    <xf numFmtId="0" fontId="164" fillId="223" borderId="0" xfId="0" applyFont="1" applyFill="1" applyAlignment="1">
      <alignment horizontal="left" vertical="center" wrapText="1"/>
    </xf>
    <xf numFmtId="0" fontId="148" fillId="223" borderId="0" xfId="0" applyFont="1" applyFill="1" applyAlignment="1">
      <alignment horizontal="center" vertical="center" wrapText="1"/>
    </xf>
    <xf numFmtId="0" fontId="147" fillId="223" borderId="0" xfId="0" applyFont="1" applyFill="1" applyAlignment="1">
      <alignment horizontal="center" vertical="center" wrapText="1"/>
    </xf>
    <xf numFmtId="0" fontId="149" fillId="223" borderId="0" xfId="0" applyFont="1" applyFill="1" applyAlignment="1">
      <alignment horizontal="left" vertical="top" wrapText="1"/>
    </xf>
    <xf numFmtId="0" fontId="147" fillId="223" borderId="0" xfId="0" applyFont="1" applyFill="1" applyAlignment="1">
      <alignment horizontal="left" vertical="center" wrapText="1"/>
    </xf>
    <xf numFmtId="0" fontId="150" fillId="224" borderId="0" xfId="0" applyFont="1" applyFill="1" applyAlignment="1">
      <alignment horizontal="center" vertical="center" wrapText="1"/>
    </xf>
    <xf numFmtId="0" fontId="164" fillId="224" borderId="0" xfId="0" applyFont="1" applyFill="1" applyAlignment="1">
      <alignment horizontal="left" vertical="center" wrapText="1"/>
    </xf>
    <xf numFmtId="0" fontId="148" fillId="224" borderId="0" xfId="0" applyFont="1" applyFill="1" applyAlignment="1">
      <alignment horizontal="center" vertical="center" wrapText="1"/>
    </xf>
    <xf numFmtId="0" fontId="147" fillId="224" borderId="0" xfId="0" applyFont="1" applyFill="1" applyAlignment="1">
      <alignment horizontal="center" vertical="center" wrapText="1"/>
    </xf>
    <xf numFmtId="0" fontId="149" fillId="224" borderId="0" xfId="0" applyFont="1" applyFill="1" applyAlignment="1">
      <alignment horizontal="left" vertical="top" wrapText="1"/>
    </xf>
    <xf numFmtId="0" fontId="147" fillId="224" borderId="0" xfId="0" applyFont="1" applyFill="1" applyAlignment="1">
      <alignment horizontal="left" vertical="center" wrapText="1"/>
    </xf>
    <xf numFmtId="0" fontId="163" fillId="225" borderId="0" xfId="0" applyFont="1" applyFill="1" applyAlignment="1">
      <alignment horizontal="center" vertical="center" wrapText="1"/>
    </xf>
    <xf numFmtId="0" fontId="164" fillId="225" borderId="0" xfId="0" applyFont="1" applyFill="1" applyAlignment="1">
      <alignment horizontal="left" vertical="center" wrapText="1"/>
    </xf>
    <xf numFmtId="0" fontId="148" fillId="225" borderId="0" xfId="0" applyFont="1" applyFill="1" applyAlignment="1">
      <alignment horizontal="center" vertical="center" wrapText="1"/>
    </xf>
    <xf numFmtId="0" fontId="147" fillId="225" borderId="0" xfId="0" applyFont="1" applyFill="1" applyAlignment="1">
      <alignment horizontal="center" vertical="center" wrapText="1"/>
    </xf>
    <xf numFmtId="0" fontId="149" fillId="225" borderId="0" xfId="0" applyFont="1" applyFill="1" applyAlignment="1">
      <alignment horizontal="left" vertical="top" wrapText="1"/>
    </xf>
    <xf numFmtId="0" fontId="147" fillId="225" borderId="0" xfId="0" applyFont="1" applyFill="1" applyAlignment="1">
      <alignment horizontal="left" vertical="center" wrapText="1"/>
    </xf>
    <xf numFmtId="0" fontId="166" fillId="226" borderId="0" xfId="0" applyFont="1" applyFill="1" applyAlignment="1">
      <alignment horizontal="center" vertical="center" wrapText="1"/>
    </xf>
    <xf numFmtId="0" fontId="164" fillId="226" borderId="0" xfId="0" applyFont="1" applyFill="1" applyAlignment="1">
      <alignment horizontal="left" vertical="center" wrapText="1"/>
    </xf>
    <xf numFmtId="0" fontId="148" fillId="226" borderId="0" xfId="0" applyFont="1" applyFill="1" applyAlignment="1">
      <alignment horizontal="center" vertical="center" wrapText="1"/>
    </xf>
    <xf numFmtId="0" fontId="147" fillId="226" borderId="0" xfId="0" applyFont="1" applyFill="1" applyAlignment="1">
      <alignment horizontal="center" vertical="center" wrapText="1"/>
    </xf>
    <xf numFmtId="0" fontId="149" fillId="226" borderId="0" xfId="0" applyFont="1" applyFill="1" applyAlignment="1">
      <alignment horizontal="left" vertical="top" wrapText="1"/>
    </xf>
    <xf numFmtId="0" fontId="147" fillId="226" borderId="0" xfId="0" applyFont="1" applyFill="1" applyAlignment="1">
      <alignment horizontal="left" vertical="center" wrapText="1"/>
    </xf>
    <xf numFmtId="0" fontId="163" fillId="227" borderId="0" xfId="0" applyFont="1" applyFill="1" applyAlignment="1">
      <alignment horizontal="center" vertical="center" wrapText="1"/>
    </xf>
    <xf numFmtId="0" fontId="164" fillId="227" borderId="0" xfId="0" applyFont="1" applyFill="1" applyAlignment="1">
      <alignment horizontal="left" vertical="center" wrapText="1"/>
    </xf>
    <xf numFmtId="0" fontId="148" fillId="227" borderId="0" xfId="0" applyFont="1" applyFill="1" applyAlignment="1">
      <alignment horizontal="center" vertical="center" wrapText="1"/>
    </xf>
    <xf numFmtId="0" fontId="147" fillId="227" borderId="0" xfId="0" applyFont="1" applyFill="1" applyAlignment="1">
      <alignment horizontal="center" vertical="center" wrapText="1"/>
    </xf>
    <xf numFmtId="0" fontId="149" fillId="227" borderId="0" xfId="0" applyFont="1" applyFill="1" applyAlignment="1">
      <alignment horizontal="left" vertical="top" wrapText="1"/>
    </xf>
    <xf numFmtId="0" fontId="147" fillId="227" borderId="0" xfId="0" applyFont="1" applyFill="1" applyAlignment="1">
      <alignment horizontal="left" vertical="center" wrapText="1"/>
    </xf>
    <xf numFmtId="0" fontId="151" fillId="228" borderId="0" xfId="0" applyFont="1" applyFill="1" applyAlignment="1">
      <alignment horizontal="center" vertical="center" wrapText="1"/>
    </xf>
    <xf numFmtId="0" fontId="164" fillId="228" borderId="0" xfId="0" applyFont="1" applyFill="1" applyAlignment="1">
      <alignment horizontal="left" vertical="center" wrapText="1"/>
    </xf>
    <xf numFmtId="0" fontId="148" fillId="228" borderId="0" xfId="0" applyFont="1" applyFill="1" applyAlignment="1">
      <alignment horizontal="center" vertical="center" wrapText="1"/>
    </xf>
    <xf numFmtId="0" fontId="147" fillId="228" borderId="0" xfId="0" applyFont="1" applyFill="1" applyAlignment="1">
      <alignment horizontal="center" vertical="center" wrapText="1"/>
    </xf>
    <xf numFmtId="0" fontId="149" fillId="228" borderId="0" xfId="0" applyFont="1" applyFill="1" applyAlignment="1">
      <alignment horizontal="left" vertical="top" wrapText="1"/>
    </xf>
    <xf numFmtId="0" fontId="147" fillId="228" borderId="0" xfId="0" applyFont="1" applyFill="1" applyAlignment="1">
      <alignment horizontal="left" vertical="center" wrapText="1"/>
    </xf>
    <xf numFmtId="0" fontId="163" fillId="229" borderId="0" xfId="0" applyFont="1" applyFill="1" applyAlignment="1">
      <alignment horizontal="center" vertical="center" wrapText="1"/>
    </xf>
    <xf numFmtId="0" fontId="164" fillId="229" borderId="0" xfId="0" applyFont="1" applyFill="1" applyAlignment="1">
      <alignment horizontal="left" vertical="center" wrapText="1"/>
    </xf>
    <xf numFmtId="0" fontId="148" fillId="229" borderId="0" xfId="0" applyFont="1" applyFill="1" applyAlignment="1">
      <alignment horizontal="center" vertical="center" wrapText="1"/>
    </xf>
    <xf numFmtId="0" fontId="147" fillId="229" borderId="0" xfId="0" applyFont="1" applyFill="1" applyAlignment="1">
      <alignment horizontal="center" vertical="center" wrapText="1"/>
    </xf>
    <xf numFmtId="0" fontId="149" fillId="229" borderId="0" xfId="0" applyFont="1" applyFill="1" applyAlignment="1">
      <alignment horizontal="left" vertical="top" wrapText="1"/>
    </xf>
    <xf numFmtId="0" fontId="147" fillId="229" borderId="0" xfId="0" applyFont="1" applyFill="1" applyAlignment="1">
      <alignment horizontal="left" vertical="center" wrapText="1"/>
    </xf>
    <xf numFmtId="0" fontId="167" fillId="230" borderId="0" xfId="0" applyFont="1" applyFill="1" applyAlignment="1">
      <alignment horizontal="center" vertical="center" wrapText="1"/>
    </xf>
    <xf numFmtId="0" fontId="164" fillId="230" borderId="0" xfId="0" applyFont="1" applyFill="1" applyAlignment="1">
      <alignment horizontal="left" vertical="center" wrapText="1"/>
    </xf>
    <xf numFmtId="0" fontId="148" fillId="230" borderId="0" xfId="0" applyFont="1" applyFill="1" applyAlignment="1">
      <alignment horizontal="center" vertical="center" wrapText="1"/>
    </xf>
    <xf numFmtId="0" fontId="147" fillId="230" borderId="0" xfId="0" applyFont="1" applyFill="1" applyAlignment="1">
      <alignment horizontal="center" vertical="center" wrapText="1"/>
    </xf>
    <xf numFmtId="0" fontId="149" fillId="230" borderId="0" xfId="0" applyFont="1" applyFill="1" applyAlignment="1">
      <alignment horizontal="left" vertical="top" wrapText="1"/>
    </xf>
    <xf numFmtId="0" fontId="147" fillId="230" borderId="0" xfId="0" applyFont="1" applyFill="1" applyAlignment="1">
      <alignment horizontal="left" vertical="center" wrapText="1"/>
    </xf>
    <xf numFmtId="0" fontId="168" fillId="231" borderId="0" xfId="0" applyFont="1" applyFill="1" applyAlignment="1">
      <alignment horizontal="center" vertical="center" wrapText="1"/>
    </xf>
    <xf numFmtId="0" fontId="164" fillId="231" borderId="0" xfId="0" applyFont="1" applyFill="1" applyAlignment="1">
      <alignment horizontal="left" vertical="center" wrapText="1"/>
    </xf>
    <xf numFmtId="0" fontId="148" fillId="231" borderId="0" xfId="0" applyFont="1" applyFill="1" applyAlignment="1">
      <alignment horizontal="center" vertical="center" wrapText="1"/>
    </xf>
    <xf numFmtId="0" fontId="147" fillId="231" borderId="0" xfId="0" applyFont="1" applyFill="1" applyAlignment="1">
      <alignment horizontal="center" vertical="center" wrapText="1"/>
    </xf>
    <xf numFmtId="0" fontId="149" fillId="231" borderId="0" xfId="0" applyFont="1" applyFill="1" applyAlignment="1">
      <alignment horizontal="left" vertical="top" wrapText="1"/>
    </xf>
    <xf numFmtId="0" fontId="147" fillId="231" borderId="0" xfId="0" applyFont="1" applyFill="1" applyAlignment="1">
      <alignment horizontal="left" vertical="center" wrapText="1"/>
    </xf>
    <xf numFmtId="0" fontId="169" fillId="232" borderId="0" xfId="0" applyFont="1" applyFill="1" applyAlignment="1">
      <alignment horizontal="center" vertical="center" wrapText="1"/>
    </xf>
    <xf numFmtId="0" fontId="164" fillId="232" borderId="0" xfId="0" applyFont="1" applyFill="1" applyAlignment="1">
      <alignment horizontal="left" vertical="center" wrapText="1"/>
    </xf>
    <xf numFmtId="0" fontId="170" fillId="232" borderId="0" xfId="0" applyFont="1" applyFill="1" applyAlignment="1">
      <alignment horizontal="center" vertical="center" wrapText="1"/>
    </xf>
    <xf numFmtId="0" fontId="147" fillId="232" borderId="0" xfId="0" applyFont="1" applyFill="1" applyAlignment="1">
      <alignment horizontal="center" vertical="center" wrapText="1"/>
    </xf>
    <xf numFmtId="0" fontId="149" fillId="232" borderId="0" xfId="0" applyFont="1" applyFill="1" applyAlignment="1">
      <alignment horizontal="left" vertical="top" wrapText="1"/>
    </xf>
    <xf numFmtId="0" fontId="147" fillId="232" borderId="0" xfId="0" applyFont="1" applyFill="1" applyAlignment="1">
      <alignment horizontal="left" vertical="center" wrapText="1"/>
    </xf>
    <xf numFmtId="0" fontId="162" fillId="233" borderId="0" xfId="0" applyFont="1" applyFill="1" applyAlignment="1">
      <alignment horizontal="center" vertical="center" wrapText="1"/>
    </xf>
    <xf numFmtId="0" fontId="162" fillId="233" borderId="0" xfId="0" applyFont="1" applyFill="1" applyAlignment="1">
      <alignment vertical="top" wrapText="1"/>
    </xf>
    <xf numFmtId="0" fontId="98" fillId="233" borderId="0" xfId="0" applyFont="1" applyFill="1" applyAlignment="1">
      <alignment horizontal="center" vertical="top" wrapText="1"/>
    </xf>
    <xf numFmtId="0" fontId="98" fillId="233" borderId="0" xfId="0" applyFont="1" applyFill="1" applyAlignment="1">
      <alignment vertical="top" wrapText="1"/>
    </xf>
    <xf numFmtId="0" fontId="162" fillId="234" borderId="0" xfId="0" applyFont="1" applyFill="1" applyAlignment="1">
      <alignment horizontal="center" vertical="center" wrapText="1"/>
    </xf>
    <xf numFmtId="0" fontId="162" fillId="234" borderId="0" xfId="0" applyFont="1" applyFill="1" applyAlignment="1">
      <alignment vertical="top" wrapText="1"/>
    </xf>
    <xf numFmtId="0" fontId="98" fillId="234" borderId="0" xfId="0" applyFont="1" applyFill="1" applyAlignment="1">
      <alignment horizontal="center" vertical="top" wrapText="1"/>
    </xf>
    <xf numFmtId="0" fontId="98" fillId="234" borderId="0" xfId="0" applyFont="1" applyFill="1" applyAlignment="1">
      <alignment vertical="top" wrapText="1"/>
    </xf>
    <xf numFmtId="0" fontId="162" fillId="235" borderId="0" xfId="0" applyFont="1" applyFill="1" applyAlignment="1">
      <alignment horizontal="center" vertical="center" wrapText="1"/>
    </xf>
    <xf numFmtId="0" fontId="162" fillId="235" borderId="0" xfId="0" applyFont="1" applyFill="1" applyAlignment="1">
      <alignment vertical="top" wrapText="1"/>
    </xf>
    <xf numFmtId="0" fontId="148" fillId="235" borderId="0" xfId="0" applyFont="1" applyFill="1" applyAlignment="1">
      <alignment horizontal="center" vertical="top" wrapText="1"/>
    </xf>
    <xf numFmtId="0" fontId="98" fillId="235" borderId="0" xfId="0" applyFont="1" applyFill="1" applyAlignment="1">
      <alignment horizontal="center" vertical="top" wrapText="1"/>
    </xf>
    <xf numFmtId="0" fontId="98" fillId="235" borderId="0" xfId="0" applyFont="1" applyFill="1" applyAlignment="1">
      <alignment vertical="top" wrapText="1"/>
    </xf>
    <xf numFmtId="0" fontId="162" fillId="236" borderId="0" xfId="0" applyFont="1" applyFill="1" applyAlignment="1">
      <alignment horizontal="center" vertical="center" wrapText="1"/>
    </xf>
    <xf numFmtId="0" fontId="162" fillId="236" borderId="0" xfId="0" applyFont="1" applyFill="1" applyAlignment="1">
      <alignment vertical="top" wrapText="1"/>
    </xf>
    <xf numFmtId="0" fontId="148" fillId="236" borderId="0" xfId="0" applyFont="1" applyFill="1" applyAlignment="1">
      <alignment horizontal="center" vertical="top" wrapText="1"/>
    </xf>
    <xf numFmtId="0" fontId="98" fillId="236" borderId="0" xfId="0" applyFont="1" applyFill="1" applyAlignment="1">
      <alignment horizontal="center" vertical="top" wrapText="1"/>
    </xf>
    <xf numFmtId="0" fontId="98" fillId="236" borderId="0" xfId="0" applyFont="1" applyFill="1" applyAlignment="1">
      <alignment vertical="top" wrapText="1"/>
    </xf>
    <xf numFmtId="0" fontId="107" fillId="123" borderId="0" xfId="0" applyFont="1" applyFill="1" applyAlignment="1">
      <alignment horizontal="center"/>
    </xf>
    <xf numFmtId="0" fontId="62" fillId="240" borderId="0" xfId="1" applyFill="1" applyAlignment="1">
      <alignment horizontal="center" vertical="center" wrapText="1"/>
    </xf>
    <xf numFmtId="0" fontId="147" fillId="221" borderId="0" xfId="0" applyFont="1" applyFill="1" applyAlignment="1">
      <alignment horizontal="left" vertical="top" wrapText="1"/>
    </xf>
    <xf numFmtId="0" fontId="165" fillId="240" borderId="0" xfId="0" applyFont="1" applyFill="1" applyAlignment="1">
      <alignment horizontal="center" vertical="center" wrapText="1"/>
    </xf>
    <xf numFmtId="0" fontId="147" fillId="240" borderId="0" xfId="0" applyFont="1" applyFill="1" applyAlignment="1">
      <alignment horizontal="left" vertical="center" wrapText="1"/>
    </xf>
    <xf numFmtId="0" fontId="148" fillId="240" borderId="0" xfId="0" applyFont="1" applyFill="1" applyAlignment="1">
      <alignment horizontal="center" vertical="center" wrapText="1"/>
    </xf>
    <xf numFmtId="0" fontId="149" fillId="240" borderId="0" xfId="0" applyFont="1" applyFill="1" applyAlignment="1">
      <alignment horizontal="left" vertical="top" wrapText="1"/>
    </xf>
    <xf numFmtId="0" fontId="150" fillId="241" borderId="0" xfId="0" applyFont="1" applyFill="1" applyAlignment="1">
      <alignment horizontal="center" vertical="center" wrapText="1"/>
    </xf>
    <xf numFmtId="0" fontId="147" fillId="241" borderId="0" xfId="0" applyFont="1" applyFill="1" applyAlignment="1">
      <alignment horizontal="left" vertical="center" wrapText="1"/>
    </xf>
    <xf numFmtId="0" fontId="148" fillId="241" borderId="0" xfId="0" applyFont="1" applyFill="1" applyAlignment="1">
      <alignment horizontal="center" vertical="center" wrapText="1"/>
    </xf>
    <xf numFmtId="0" fontId="149" fillId="241" borderId="0" xfId="0" applyFont="1" applyFill="1" applyAlignment="1">
      <alignment horizontal="left" vertical="top" wrapText="1"/>
    </xf>
    <xf numFmtId="0" fontId="147" fillId="240" borderId="0" xfId="0" applyFont="1" applyFill="1" applyAlignment="1">
      <alignment horizontal="left" vertical="top" wrapText="1"/>
    </xf>
    <xf numFmtId="0" fontId="147" fillId="226" borderId="0" xfId="0" applyFont="1" applyFill="1" applyAlignment="1">
      <alignment horizontal="left" vertical="top" wrapText="1"/>
    </xf>
    <xf numFmtId="0" fontId="163" fillId="223" borderId="0" xfId="0" applyFont="1" applyFill="1" applyAlignment="1">
      <alignment horizontal="center" vertical="center" wrapText="1"/>
    </xf>
    <xf numFmtId="0" fontId="151" fillId="224" borderId="0" xfId="0" applyFont="1" applyFill="1" applyAlignment="1">
      <alignment horizontal="center" vertical="center" wrapText="1"/>
    </xf>
    <xf numFmtId="0" fontId="147" fillId="231" borderId="0" xfId="0" applyFont="1" applyFill="1" applyAlignment="1">
      <alignment horizontal="left" vertical="top" wrapText="1"/>
    </xf>
    <xf numFmtId="0" fontId="171" fillId="235" borderId="0" xfId="0" applyFont="1" applyFill="1" applyAlignment="1">
      <alignment horizontal="center" vertical="center" wrapText="1"/>
    </xf>
    <xf numFmtId="0" fontId="147" fillId="235" borderId="0" xfId="0" applyFont="1" applyFill="1" applyAlignment="1">
      <alignment horizontal="left" vertical="center" wrapText="1"/>
    </xf>
    <xf numFmtId="0" fontId="148" fillId="235" borderId="0" xfId="0" applyFont="1" applyFill="1" applyAlignment="1">
      <alignment horizontal="center" vertical="center" wrapText="1"/>
    </xf>
    <xf numFmtId="0" fontId="149" fillId="235" borderId="0" xfId="0" applyFont="1" applyFill="1" applyAlignment="1">
      <alignment horizontal="left" vertical="top" wrapText="1"/>
    </xf>
    <xf numFmtId="0" fontId="172" fillId="242" borderId="0" xfId="0" applyFont="1" applyFill="1" applyAlignment="1">
      <alignment horizontal="center" vertical="center" wrapText="1"/>
    </xf>
    <xf numFmtId="0" fontId="147" fillId="242" borderId="0" xfId="0" applyFont="1" applyFill="1" applyAlignment="1">
      <alignment horizontal="left" vertical="center" wrapText="1"/>
    </xf>
    <xf numFmtId="0" fontId="148" fillId="242" borderId="0" xfId="0" applyFont="1" applyFill="1" applyAlignment="1">
      <alignment horizontal="center" vertical="center" wrapText="1"/>
    </xf>
    <xf numFmtId="0" fontId="149" fillId="242" borderId="0" xfId="0" applyFont="1" applyFill="1" applyAlignment="1">
      <alignment horizontal="left" vertical="top" wrapText="1"/>
    </xf>
    <xf numFmtId="0" fontId="98" fillId="0" borderId="0" xfId="0" applyFont="1" applyAlignment="1">
      <alignment horizontal="center"/>
    </xf>
    <xf numFmtId="0" fontId="162" fillId="0" borderId="0" xfId="0" applyFont="1" applyAlignment="1">
      <alignment horizontal="center" vertical="center"/>
    </xf>
    <xf numFmtId="0" fontId="164" fillId="240" borderId="0" xfId="0" applyFont="1" applyFill="1" applyAlignment="1">
      <alignment horizontal="left" vertical="center" wrapText="1"/>
    </xf>
    <xf numFmtId="0" fontId="164" fillId="241" borderId="0" xfId="0" applyFont="1" applyFill="1" applyAlignment="1">
      <alignment horizontal="left" vertical="center" wrapText="1"/>
    </xf>
    <xf numFmtId="0" fontId="164" fillId="235" borderId="0" xfId="0" applyFont="1" applyFill="1" applyAlignment="1">
      <alignment horizontal="left" vertical="center" wrapText="1"/>
    </xf>
    <xf numFmtId="0" fontId="164" fillId="242" borderId="0" xfId="0" applyFont="1" applyFill="1" applyAlignment="1">
      <alignment horizontal="left" vertical="center" wrapText="1"/>
    </xf>
    <xf numFmtId="0" fontId="162" fillId="0" borderId="0" xfId="0" applyFont="1"/>
    <xf numFmtId="0" fontId="147" fillId="240" borderId="0" xfId="0" applyFont="1" applyFill="1" applyAlignment="1">
      <alignment horizontal="center" vertical="center" wrapText="1"/>
    </xf>
    <xf numFmtId="0" fontId="147" fillId="241" borderId="0" xfId="0" applyFont="1" applyFill="1" applyAlignment="1">
      <alignment horizontal="center" vertical="center" wrapText="1"/>
    </xf>
    <xf numFmtId="0" fontId="147" fillId="235" borderId="0" xfId="0" applyFont="1" applyFill="1" applyAlignment="1">
      <alignment horizontal="center" vertical="center" wrapText="1"/>
    </xf>
    <xf numFmtId="0" fontId="147" fillId="242" borderId="0" xfId="0" applyFont="1" applyFill="1" applyAlignment="1">
      <alignment horizontal="center" vertical="center" wrapText="1"/>
    </xf>
    <xf numFmtId="0" fontId="98" fillId="0" borderId="0" xfId="0" applyFont="1" applyAlignment="1">
      <alignment wrapText="1"/>
    </xf>
    <xf numFmtId="0" fontId="161" fillId="240" borderId="0" xfId="1" applyFont="1" applyFill="1" applyAlignment="1">
      <alignment horizontal="center" vertical="center" wrapText="1"/>
    </xf>
    <xf numFmtId="0" fontId="161" fillId="241" borderId="0" xfId="1" applyFont="1" applyFill="1" applyAlignment="1">
      <alignment horizontal="center" vertical="center" wrapText="1"/>
    </xf>
    <xf numFmtId="0" fontId="161" fillId="242" borderId="0" xfId="1" applyFont="1" applyFill="1" applyAlignment="1">
      <alignment horizontal="center" vertical="center" wrapText="1"/>
    </xf>
    <xf numFmtId="0" fontId="173" fillId="216" borderId="0" xfId="0" applyFont="1" applyFill="1" applyAlignment="1">
      <alignment horizontal="center" vertical="center"/>
    </xf>
    <xf numFmtId="0" fontId="173" fillId="215" borderId="0" xfId="0" applyFont="1" applyFill="1" applyAlignment="1">
      <alignment horizontal="center" vertical="center"/>
    </xf>
    <xf numFmtId="0" fontId="173" fillId="238" borderId="0" xfId="0" applyFont="1" applyFill="1" applyAlignment="1">
      <alignment horizontal="center" vertical="center"/>
    </xf>
    <xf numFmtId="0" fontId="173" fillId="217" borderId="0" xfId="0" applyFont="1" applyFill="1" applyAlignment="1">
      <alignment horizontal="center" vertical="center"/>
    </xf>
    <xf numFmtId="0" fontId="173" fillId="218" borderId="0" xfId="0" applyFont="1" applyFill="1" applyAlignment="1">
      <alignment horizontal="center" vertical="center"/>
    </xf>
    <xf numFmtId="0" fontId="173" fillId="239" borderId="0" xfId="0" applyFont="1" applyFill="1" applyAlignment="1">
      <alignment horizontal="center" vertical="center"/>
    </xf>
    <xf numFmtId="0" fontId="161" fillId="0" borderId="0" xfId="0" applyFont="1" applyAlignment="1">
      <alignment horizontal="center" vertical="center"/>
    </xf>
    <xf numFmtId="0" fontId="132" fillId="123" borderId="0" xfId="0" applyFont="1" applyFill="1" applyAlignment="1">
      <alignment horizontal="center" vertical="center" wrapText="1"/>
    </xf>
    <xf numFmtId="0" fontId="28" fillId="123" borderId="0" xfId="0" applyFont="1" applyFill="1" applyAlignment="1">
      <alignment horizontal="center"/>
    </xf>
    <xf numFmtId="0" fontId="28" fillId="239" borderId="0" xfId="0" applyFont="1" applyFill="1" applyAlignment="1">
      <alignment horizontal="left" vertical="center" wrapText="1"/>
    </xf>
    <xf numFmtId="0" fontId="132" fillId="239" borderId="0" xfId="0" applyFont="1" applyFill="1" applyAlignment="1">
      <alignment horizontal="center" vertical="center" wrapText="1"/>
    </xf>
    <xf numFmtId="0" fontId="28" fillId="239" borderId="0" xfId="0" applyFont="1" applyFill="1" applyAlignment="1">
      <alignment horizontal="left" vertical="top" wrapText="1"/>
    </xf>
    <xf numFmtId="0" fontId="28" fillId="239" borderId="0" xfId="0" applyFont="1" applyFill="1" applyAlignment="1">
      <alignment horizontal="center" vertical="center" wrapText="1"/>
    </xf>
    <xf numFmtId="0" fontId="175" fillId="221" borderId="0" xfId="0" applyFont="1" applyFill="1" applyAlignment="1">
      <alignment horizontal="left" vertical="top" wrapText="1"/>
    </xf>
    <xf numFmtId="0" fontId="175" fillId="222" borderId="0" xfId="0" applyFont="1" applyFill="1" applyAlignment="1">
      <alignment horizontal="left" vertical="top" wrapText="1"/>
    </xf>
    <xf numFmtId="0" fontId="175" fillId="240" borderId="0" xfId="0" applyFont="1" applyFill="1" applyAlignment="1">
      <alignment horizontal="left" vertical="top" wrapText="1"/>
    </xf>
    <xf numFmtId="0" fontId="175" fillId="241" borderId="0" xfId="0" applyFont="1" applyFill="1" applyAlignment="1">
      <alignment horizontal="left" vertical="top" wrapText="1"/>
    </xf>
    <xf numFmtId="0" fontId="175" fillId="225" borderId="0" xfId="0" applyFont="1" applyFill="1" applyAlignment="1">
      <alignment horizontal="left" vertical="top" wrapText="1"/>
    </xf>
    <xf numFmtId="0" fontId="175" fillId="226" borderId="0" xfId="0" applyFont="1" applyFill="1" applyAlignment="1">
      <alignment horizontal="left" vertical="top" wrapText="1"/>
    </xf>
    <xf numFmtId="0" fontId="175" fillId="228" borderId="0" xfId="0" applyFont="1" applyFill="1" applyAlignment="1">
      <alignment horizontal="left" vertical="top" wrapText="1"/>
    </xf>
    <xf numFmtId="0" fontId="175" fillId="227" borderId="0" xfId="0" applyFont="1" applyFill="1" applyAlignment="1">
      <alignment horizontal="left" vertical="top" wrapText="1"/>
    </xf>
    <xf numFmtId="0" fontId="175" fillId="230" borderId="0" xfId="0" applyFont="1" applyFill="1" applyAlignment="1">
      <alignment horizontal="left" vertical="top" wrapText="1"/>
    </xf>
    <xf numFmtId="0" fontId="175" fillId="229" borderId="0" xfId="0" applyFont="1" applyFill="1" applyAlignment="1">
      <alignment horizontal="left" vertical="top" wrapText="1"/>
    </xf>
    <xf numFmtId="0" fontId="175" fillId="231" borderId="0" xfId="0" applyFont="1" applyFill="1" applyAlignment="1">
      <alignment horizontal="left" vertical="top" wrapText="1"/>
    </xf>
    <xf numFmtId="0" fontId="168" fillId="243" borderId="0" xfId="0" applyFont="1" applyFill="1" applyAlignment="1">
      <alignment horizontal="center" vertical="center" wrapText="1"/>
    </xf>
    <xf numFmtId="0" fontId="147" fillId="243" borderId="0" xfId="0" applyFont="1" applyFill="1" applyAlignment="1">
      <alignment horizontal="left" vertical="center" wrapText="1"/>
    </xf>
    <xf numFmtId="0" fontId="148" fillId="243" borderId="0" xfId="0" applyFont="1" applyFill="1" applyAlignment="1">
      <alignment horizontal="center" vertical="center" wrapText="1"/>
    </xf>
    <xf numFmtId="0" fontId="175" fillId="243" borderId="0" xfId="0" applyFont="1" applyFill="1" applyAlignment="1">
      <alignment horizontal="left" vertical="top" wrapText="1"/>
    </xf>
    <xf numFmtId="0" fontId="168" fillId="244" borderId="0" xfId="0" applyFont="1" applyFill="1" applyAlignment="1">
      <alignment horizontal="center" vertical="center" wrapText="1"/>
    </xf>
    <xf numFmtId="0" fontId="147" fillId="244" borderId="0" xfId="0" applyFont="1" applyFill="1" applyAlignment="1">
      <alignment horizontal="left" vertical="center" wrapText="1"/>
    </xf>
    <xf numFmtId="0" fontId="148" fillId="244" borderId="0" xfId="0" applyFont="1" applyFill="1" applyAlignment="1">
      <alignment horizontal="center" vertical="center" wrapText="1"/>
    </xf>
    <xf numFmtId="0" fontId="175" fillId="244" borderId="0" xfId="0" applyFont="1" applyFill="1" applyAlignment="1">
      <alignment horizontal="left" vertical="top" wrapText="1"/>
    </xf>
    <xf numFmtId="0" fontId="164" fillId="243" borderId="0" xfId="0" applyFont="1" applyFill="1" applyAlignment="1">
      <alignment horizontal="left" vertical="center" wrapText="1"/>
    </xf>
    <xf numFmtId="0" fontId="164" fillId="244" borderId="0" xfId="0" applyFont="1" applyFill="1" applyAlignment="1">
      <alignment horizontal="left" vertical="center" wrapText="1"/>
    </xf>
    <xf numFmtId="0" fontId="147" fillId="243" borderId="0" xfId="0" applyFont="1" applyFill="1" applyAlignment="1">
      <alignment horizontal="center" vertical="center" wrapText="1"/>
    </xf>
    <xf numFmtId="0" fontId="147" fillId="244" borderId="0" xfId="0" applyFont="1" applyFill="1" applyAlignment="1">
      <alignment horizontal="center" vertical="center" wrapText="1"/>
    </xf>
    <xf numFmtId="0" fontId="173" fillId="239" borderId="0" xfId="0" applyFont="1" applyFill="1" applyAlignment="1">
      <alignment horizontal="center" vertical="center" wrapText="1"/>
    </xf>
    <xf numFmtId="0" fontId="161" fillId="243" borderId="0" xfId="1" applyFont="1" applyFill="1" applyAlignment="1">
      <alignment horizontal="center" vertical="center" wrapText="1"/>
    </xf>
    <xf numFmtId="0" fontId="161" fillId="244" borderId="0" xfId="1" applyFont="1" applyFill="1" applyAlignment="1">
      <alignment horizontal="center" vertical="center" wrapText="1"/>
    </xf>
    <xf numFmtId="0" fontId="174" fillId="123" borderId="0" xfId="0" applyFont="1" applyFill="1" applyAlignment="1">
      <alignment horizontal="center" vertical="center" wrapText="1"/>
    </xf>
    <xf numFmtId="0" fontId="28" fillId="123" borderId="0" xfId="0" applyFont="1" applyFill="1" applyAlignment="1">
      <alignment horizontal="center" vertical="top" wrapText="1"/>
    </xf>
    <xf numFmtId="0" fontId="160" fillId="98" borderId="0" xfId="1" applyFont="1" applyFill="1" applyAlignment="1">
      <alignment horizontal="center" vertical="center"/>
    </xf>
    <xf numFmtId="0" fontId="160" fillId="100" borderId="0" xfId="1" applyFont="1" applyFill="1" applyAlignment="1">
      <alignment horizontal="center" vertical="center"/>
    </xf>
    <xf numFmtId="0" fontId="43" fillId="221" borderId="0" xfId="0" applyFont="1" applyFill="1" applyAlignment="1">
      <alignment horizontal="left" vertical="center" wrapText="1"/>
    </xf>
    <xf numFmtId="0" fontId="59" fillId="221" borderId="0" xfId="0" applyFont="1" applyFill="1" applyAlignment="1">
      <alignment horizontal="left" vertical="center" wrapText="1"/>
    </xf>
    <xf numFmtId="0" fontId="43" fillId="221" borderId="0" xfId="0" applyFont="1" applyFill="1" applyAlignment="1">
      <alignment horizontal="center" vertical="center" wrapText="1"/>
    </xf>
    <xf numFmtId="0" fontId="154" fillId="221" borderId="0" xfId="0" applyFont="1" applyFill="1" applyAlignment="1">
      <alignment horizontal="center" vertical="center" wrapText="1"/>
    </xf>
    <xf numFmtId="0" fontId="177" fillId="221" borderId="0" xfId="0" applyFont="1" applyFill="1" applyAlignment="1">
      <alignment horizontal="center" vertical="center" wrapText="1"/>
    </xf>
    <xf numFmtId="0" fontId="178" fillId="221" borderId="0" xfId="0" applyFont="1" applyFill="1" applyAlignment="1">
      <alignment horizontal="center" vertical="center" wrapText="1"/>
    </xf>
    <xf numFmtId="0" fontId="179" fillId="221" borderId="0" xfId="0" applyFont="1" applyFill="1" applyAlignment="1">
      <alignment horizontal="center" vertical="center" wrapText="1"/>
    </xf>
    <xf numFmtId="0" fontId="154" fillId="221" borderId="0" xfId="0" applyFont="1" applyFill="1" applyAlignment="1">
      <alignment horizontal="left" vertical="top" wrapText="1"/>
    </xf>
    <xf numFmtId="0" fontId="156" fillId="221" borderId="0" xfId="0" applyFont="1" applyFill="1" applyAlignment="1">
      <alignment horizontal="center" vertical="center" wrapText="1"/>
    </xf>
    <xf numFmtId="0" fontId="180" fillId="221" borderId="0" xfId="0" applyFont="1" applyFill="1" applyAlignment="1">
      <alignment horizontal="left" vertical="center" wrapText="1"/>
    </xf>
    <xf numFmtId="0" fontId="43" fillId="222" borderId="0" xfId="0" applyFont="1" applyFill="1" applyAlignment="1">
      <alignment horizontal="left" vertical="center" wrapText="1"/>
    </xf>
    <xf numFmtId="0" fontId="59" fillId="222" borderId="0" xfId="0" applyFont="1" applyFill="1" applyAlignment="1">
      <alignment horizontal="left" vertical="center" wrapText="1"/>
    </xf>
    <xf numFmtId="0" fontId="43" fillId="222" borderId="0" xfId="0" applyFont="1" applyFill="1" applyAlignment="1">
      <alignment horizontal="center" vertical="center" wrapText="1"/>
    </xf>
    <xf numFmtId="0" fontId="154" fillId="222" borderId="0" xfId="0" applyFont="1" applyFill="1" applyAlignment="1">
      <alignment horizontal="center" vertical="center" wrapText="1"/>
    </xf>
    <xf numFmtId="0" fontId="177" fillId="222" borderId="0" xfId="0" applyFont="1" applyFill="1" applyAlignment="1">
      <alignment horizontal="center" vertical="center" wrapText="1"/>
    </xf>
    <xf numFmtId="0" fontId="178" fillId="222" borderId="0" xfId="0" applyFont="1" applyFill="1" applyAlignment="1">
      <alignment horizontal="center" vertical="center" wrapText="1"/>
    </xf>
    <xf numFmtId="0" fontId="179" fillId="222" borderId="0" xfId="0" applyFont="1" applyFill="1" applyAlignment="1">
      <alignment horizontal="center" vertical="center" wrapText="1"/>
    </xf>
    <xf numFmtId="0" fontId="154" fillId="222" borderId="0" xfId="0" applyFont="1" applyFill="1" applyAlignment="1">
      <alignment horizontal="left" vertical="top" wrapText="1"/>
    </xf>
    <xf numFmtId="0" fontId="153" fillId="222" borderId="0" xfId="0" applyFont="1" applyFill="1" applyAlignment="1">
      <alignment horizontal="center" vertical="center" wrapText="1"/>
    </xf>
    <xf numFmtId="0" fontId="181" fillId="222" borderId="0" xfId="0" applyFont="1" applyFill="1" applyAlignment="1">
      <alignment horizontal="left" vertical="center" wrapText="1"/>
    </xf>
    <xf numFmtId="0" fontId="182" fillId="221" borderId="0" xfId="0" applyFont="1" applyFill="1" applyAlignment="1">
      <alignment horizontal="center" vertical="center" wrapText="1"/>
    </xf>
    <xf numFmtId="0" fontId="183" fillId="222" borderId="0" xfId="0" applyFont="1" applyFill="1" applyAlignment="1">
      <alignment horizontal="center" vertical="center" wrapText="1"/>
    </xf>
    <xf numFmtId="0" fontId="184" fillId="221" borderId="0" xfId="0" applyFont="1" applyFill="1" applyAlignment="1">
      <alignment horizontal="center" vertical="center" wrapText="1"/>
    </xf>
    <xf numFmtId="0" fontId="183" fillId="221" borderId="0" xfId="0" applyFont="1" applyFill="1" applyAlignment="1">
      <alignment horizontal="center" vertical="center" wrapText="1"/>
    </xf>
    <xf numFmtId="0" fontId="182" fillId="222" borderId="0" xfId="0" applyFont="1" applyFill="1" applyAlignment="1">
      <alignment horizontal="center" vertical="center" wrapText="1"/>
    </xf>
    <xf numFmtId="0" fontId="184" fillId="222" borderId="0" xfId="0" applyFont="1" applyFill="1" applyAlignment="1">
      <alignment horizontal="center" vertical="center" wrapText="1"/>
    </xf>
    <xf numFmtId="0" fontId="43" fillId="223" borderId="0" xfId="0" applyFont="1" applyFill="1" applyAlignment="1">
      <alignment horizontal="left" vertical="center" wrapText="1"/>
    </xf>
    <xf numFmtId="0" fontId="59" fillId="223" borderId="0" xfId="0" applyFont="1" applyFill="1" applyAlignment="1">
      <alignment horizontal="left" vertical="center" wrapText="1"/>
    </xf>
    <xf numFmtId="0" fontId="185" fillId="223" borderId="0" xfId="0" applyFont="1" applyFill="1" applyAlignment="1">
      <alignment horizontal="center" vertical="center" wrapText="1"/>
    </xf>
    <xf numFmtId="0" fontId="154" fillId="223" borderId="0" xfId="0" applyFont="1" applyFill="1" applyAlignment="1">
      <alignment horizontal="center" vertical="center" wrapText="1"/>
    </xf>
    <xf numFmtId="0" fontId="177" fillId="223" borderId="0" xfId="0" applyFont="1" applyFill="1" applyAlignment="1">
      <alignment horizontal="center" vertical="center" wrapText="1"/>
    </xf>
    <xf numFmtId="0" fontId="178" fillId="223" borderId="0" xfId="0" applyFont="1" applyFill="1" applyAlignment="1">
      <alignment horizontal="center" vertical="center" wrapText="1"/>
    </xf>
    <xf numFmtId="0" fontId="179" fillId="223" borderId="0" xfId="0" applyFont="1" applyFill="1" applyAlignment="1">
      <alignment horizontal="center" vertical="center" wrapText="1"/>
    </xf>
    <xf numFmtId="0" fontId="154" fillId="223" borderId="0" xfId="0" applyFont="1" applyFill="1" applyAlignment="1">
      <alignment horizontal="left" vertical="top" wrapText="1"/>
    </xf>
    <xf numFmtId="0" fontId="186" fillId="223" borderId="0" xfId="0" applyFont="1" applyFill="1" applyAlignment="1">
      <alignment horizontal="center" vertical="center" wrapText="1"/>
    </xf>
    <xf numFmtId="0" fontId="187" fillId="223" borderId="0" xfId="0" applyFont="1" applyFill="1" applyAlignment="1">
      <alignment horizontal="left" vertical="center" wrapText="1"/>
    </xf>
    <xf numFmtId="0" fontId="43" fillId="224" borderId="0" xfId="0" applyFont="1" applyFill="1" applyAlignment="1">
      <alignment horizontal="left" vertical="center" wrapText="1"/>
    </xf>
    <xf numFmtId="0" fontId="59" fillId="224" borderId="0" xfId="0" applyFont="1" applyFill="1" applyAlignment="1">
      <alignment horizontal="left" vertical="center" wrapText="1"/>
    </xf>
    <xf numFmtId="0" fontId="185" fillId="224" borderId="0" xfId="0" applyFont="1" applyFill="1" applyAlignment="1">
      <alignment horizontal="center" vertical="center" wrapText="1"/>
    </xf>
    <xf numFmtId="0" fontId="154" fillId="224" borderId="0" xfId="0" applyFont="1" applyFill="1" applyAlignment="1">
      <alignment horizontal="center" vertical="center" wrapText="1"/>
    </xf>
    <xf numFmtId="0" fontId="182" fillId="224" borderId="0" xfId="0" applyFont="1" applyFill="1" applyAlignment="1">
      <alignment horizontal="center" vertical="center" wrapText="1"/>
    </xf>
    <xf numFmtId="0" fontId="178" fillId="224" borderId="0" xfId="0" applyFont="1" applyFill="1" applyAlignment="1">
      <alignment horizontal="center" vertical="center" wrapText="1"/>
    </xf>
    <xf numFmtId="0" fontId="179" fillId="224" borderId="0" xfId="0" applyFont="1" applyFill="1" applyAlignment="1">
      <alignment horizontal="center" vertical="center" wrapText="1"/>
    </xf>
    <xf numFmtId="0" fontId="154" fillId="224" borderId="0" xfId="0" applyFont="1" applyFill="1" applyAlignment="1">
      <alignment horizontal="left" vertical="top" wrapText="1"/>
    </xf>
    <xf numFmtId="0" fontId="188" fillId="224" borderId="0" xfId="0" applyFont="1" applyFill="1" applyAlignment="1">
      <alignment horizontal="center" vertical="center" wrapText="1"/>
    </xf>
    <xf numFmtId="0" fontId="189" fillId="224" borderId="0" xfId="0" applyFont="1" applyFill="1" applyAlignment="1">
      <alignment horizontal="left" vertical="center" wrapText="1"/>
    </xf>
    <xf numFmtId="0" fontId="184" fillId="223" borderId="0" xfId="0" applyFont="1" applyFill="1" applyAlignment="1">
      <alignment horizontal="center" vertical="center" wrapText="1"/>
    </xf>
    <xf numFmtId="0" fontId="177" fillId="224" borderId="0" xfId="0" applyFont="1" applyFill="1" applyAlignment="1">
      <alignment horizontal="center" vertical="center" wrapText="1"/>
    </xf>
    <xf numFmtId="0" fontId="182" fillId="223" borderId="0" xfId="0" applyFont="1" applyFill="1" applyAlignment="1">
      <alignment horizontal="center" vertical="center" wrapText="1"/>
    </xf>
    <xf numFmtId="0" fontId="184" fillId="224" borderId="0" xfId="0" applyFont="1" applyFill="1" applyAlignment="1">
      <alignment horizontal="center" vertical="center" wrapText="1"/>
    </xf>
    <xf numFmtId="0" fontId="183" fillId="224" borderId="0" xfId="0" applyFont="1" applyFill="1" applyAlignment="1">
      <alignment horizontal="center" vertical="center" wrapText="1"/>
    </xf>
    <xf numFmtId="0" fontId="183" fillId="223" borderId="0" xfId="0" applyFont="1" applyFill="1" applyAlignment="1">
      <alignment horizontal="center" vertical="center" wrapText="1"/>
    </xf>
    <xf numFmtId="0" fontId="43" fillId="225" borderId="0" xfId="0" applyFont="1" applyFill="1" applyAlignment="1">
      <alignment horizontal="left" vertical="center" wrapText="1"/>
    </xf>
    <xf numFmtId="0" fontId="59" fillId="225" borderId="0" xfId="0" applyFont="1" applyFill="1" applyAlignment="1">
      <alignment horizontal="left" vertical="center" wrapText="1"/>
    </xf>
    <xf numFmtId="0" fontId="190" fillId="225" borderId="0" xfId="0" applyFont="1" applyFill="1" applyAlignment="1">
      <alignment horizontal="center" vertical="center" wrapText="1"/>
    </xf>
    <xf numFmtId="0" fontId="154" fillId="225" borderId="0" xfId="0" applyFont="1" applyFill="1" applyAlignment="1">
      <alignment horizontal="center" vertical="center" wrapText="1"/>
    </xf>
    <xf numFmtId="0" fontId="184" fillId="225" borderId="0" xfId="0" applyFont="1" applyFill="1" applyAlignment="1">
      <alignment horizontal="center" vertical="center" wrapText="1"/>
    </xf>
    <xf numFmtId="0" fontId="178" fillId="225" borderId="0" xfId="0" applyFont="1" applyFill="1" applyAlignment="1">
      <alignment horizontal="center" vertical="center" wrapText="1"/>
    </xf>
    <xf numFmtId="0" fontId="179" fillId="225" borderId="0" xfId="0" applyFont="1" applyFill="1" applyAlignment="1">
      <alignment horizontal="center" vertical="center" wrapText="1"/>
    </xf>
    <xf numFmtId="0" fontId="154" fillId="225" borderId="0" xfId="0" applyFont="1" applyFill="1" applyAlignment="1">
      <alignment horizontal="left" vertical="top" wrapText="1"/>
    </xf>
    <xf numFmtId="0" fontId="156" fillId="225" borderId="0" xfId="0" applyFont="1" applyFill="1" applyAlignment="1">
      <alignment horizontal="center" vertical="center" wrapText="1"/>
    </xf>
    <xf numFmtId="0" fontId="180" fillId="225" borderId="0" xfId="0" applyFont="1" applyFill="1" applyAlignment="1">
      <alignment horizontal="left" vertical="center" wrapText="1"/>
    </xf>
    <xf numFmtId="0" fontId="43" fillId="226" borderId="0" xfId="0" applyFont="1" applyFill="1" applyAlignment="1">
      <alignment horizontal="left" vertical="center" wrapText="1"/>
    </xf>
    <xf numFmtId="0" fontId="59" fillId="226" borderId="0" xfId="0" applyFont="1" applyFill="1" applyAlignment="1">
      <alignment horizontal="left" vertical="center" wrapText="1"/>
    </xf>
    <xf numFmtId="0" fontId="190" fillId="226" borderId="0" xfId="0" applyFont="1" applyFill="1" applyAlignment="1">
      <alignment horizontal="center" vertical="center" wrapText="1"/>
    </xf>
    <xf numFmtId="0" fontId="154" fillId="226" borderId="0" xfId="0" applyFont="1" applyFill="1" applyAlignment="1">
      <alignment horizontal="center" vertical="center" wrapText="1"/>
    </xf>
    <xf numFmtId="0" fontId="184" fillId="226" borderId="0" xfId="0" applyFont="1" applyFill="1" applyAlignment="1">
      <alignment horizontal="center" vertical="center" wrapText="1"/>
    </xf>
    <xf numFmtId="0" fontId="178" fillId="226" borderId="0" xfId="0" applyFont="1" applyFill="1" applyAlignment="1">
      <alignment horizontal="center" vertical="center" wrapText="1"/>
    </xf>
    <xf numFmtId="0" fontId="179" fillId="226" borderId="0" xfId="0" applyFont="1" applyFill="1" applyAlignment="1">
      <alignment horizontal="center" vertical="center" wrapText="1"/>
    </xf>
    <xf numFmtId="0" fontId="154" fillId="226" borderId="0" xfId="0" applyFont="1" applyFill="1" applyAlignment="1">
      <alignment horizontal="left" vertical="top" wrapText="1"/>
    </xf>
    <xf numFmtId="0" fontId="191" fillId="226" borderId="0" xfId="0" applyFont="1" applyFill="1" applyAlignment="1">
      <alignment horizontal="center" vertical="center" wrapText="1"/>
    </xf>
    <xf numFmtId="0" fontId="192" fillId="226" borderId="0" xfId="0" applyFont="1" applyFill="1" applyAlignment="1">
      <alignment horizontal="left" vertical="center" wrapText="1"/>
    </xf>
    <xf numFmtId="0" fontId="182" fillId="225" borderId="0" xfId="0" applyFont="1" applyFill="1" applyAlignment="1">
      <alignment horizontal="center" vertical="center" wrapText="1"/>
    </xf>
    <xf numFmtId="0" fontId="182" fillId="226" borderId="0" xfId="0" applyFont="1" applyFill="1" applyAlignment="1">
      <alignment horizontal="center" vertical="center" wrapText="1"/>
    </xf>
    <xf numFmtId="0" fontId="193" fillId="225" borderId="0" xfId="0" applyFont="1" applyFill="1" applyAlignment="1">
      <alignment horizontal="center" vertical="center" wrapText="1"/>
    </xf>
    <xf numFmtId="0" fontId="193" fillId="226" borderId="0" xfId="0" applyFont="1" applyFill="1" applyAlignment="1">
      <alignment horizontal="center" vertical="center" wrapText="1"/>
    </xf>
    <xf numFmtId="0" fontId="177" fillId="225" borderId="0" xfId="0" applyFont="1" applyFill="1" applyAlignment="1">
      <alignment horizontal="center" vertical="center" wrapText="1"/>
    </xf>
    <xf numFmtId="0" fontId="43" fillId="240" borderId="0" xfId="0" applyFont="1" applyFill="1" applyAlignment="1">
      <alignment horizontal="left" vertical="center" wrapText="1"/>
    </xf>
    <xf numFmtId="0" fontId="59" fillId="240" borderId="0" xfId="0" applyFont="1" applyFill="1" applyAlignment="1">
      <alignment horizontal="left" vertical="center" wrapText="1"/>
    </xf>
    <xf numFmtId="0" fontId="194" fillId="240" borderId="0" xfId="0" applyFont="1" applyFill="1" applyAlignment="1">
      <alignment horizontal="center" vertical="center" wrapText="1"/>
    </xf>
    <xf numFmtId="0" fontId="154" fillId="240" borderId="0" xfId="0" applyFont="1" applyFill="1" applyAlignment="1">
      <alignment horizontal="center" vertical="center" wrapText="1"/>
    </xf>
    <xf numFmtId="0" fontId="182" fillId="240" borderId="0" xfId="0" applyFont="1" applyFill="1" applyAlignment="1">
      <alignment horizontal="center" vertical="center" wrapText="1"/>
    </xf>
    <xf numFmtId="0" fontId="178" fillId="240" borderId="0" xfId="0" applyFont="1" applyFill="1" applyAlignment="1">
      <alignment horizontal="center" vertical="center" wrapText="1"/>
    </xf>
    <xf numFmtId="0" fontId="179" fillId="240" borderId="0" xfId="0" applyFont="1" applyFill="1" applyAlignment="1">
      <alignment horizontal="center" vertical="center" wrapText="1"/>
    </xf>
    <xf numFmtId="0" fontId="154" fillId="240" borderId="0" xfId="0" applyFont="1" applyFill="1" applyAlignment="1">
      <alignment horizontal="left" vertical="top" wrapText="1"/>
    </xf>
    <xf numFmtId="0" fontId="156" fillId="240" borderId="0" xfId="0" applyFont="1" applyFill="1" applyAlignment="1">
      <alignment horizontal="center" vertical="center" wrapText="1"/>
    </xf>
    <xf numFmtId="0" fontId="180" fillId="240" borderId="0" xfId="0" applyFont="1" applyFill="1" applyAlignment="1">
      <alignment horizontal="left" vertical="center" wrapText="1"/>
    </xf>
    <xf numFmtId="0" fontId="43" fillId="245" borderId="0" xfId="0" applyFont="1" applyFill="1" applyAlignment="1">
      <alignment horizontal="left" vertical="center" wrapText="1"/>
    </xf>
    <xf numFmtId="0" fontId="62" fillId="245" borderId="0" xfId="1" applyFill="1" applyAlignment="1">
      <alignment horizontal="center" vertical="center" wrapText="1"/>
    </xf>
    <xf numFmtId="0" fontId="59" fillId="245" borderId="0" xfId="0" applyFont="1" applyFill="1" applyAlignment="1">
      <alignment horizontal="left" vertical="center" wrapText="1"/>
    </xf>
    <xf numFmtId="0" fontId="194" fillId="245" borderId="0" xfId="0" applyFont="1" applyFill="1" applyAlignment="1">
      <alignment horizontal="center" vertical="center" wrapText="1"/>
    </xf>
    <xf numFmtId="0" fontId="154" fillId="245" borderId="0" xfId="0" applyFont="1" applyFill="1" applyAlignment="1">
      <alignment horizontal="center" vertical="center" wrapText="1"/>
    </xf>
    <xf numFmtId="0" fontId="184" fillId="245" borderId="0" xfId="0" applyFont="1" applyFill="1" applyAlignment="1">
      <alignment horizontal="center" vertical="center" wrapText="1"/>
    </xf>
    <xf numFmtId="0" fontId="178" fillId="245" borderId="0" xfId="0" applyFont="1" applyFill="1" applyAlignment="1">
      <alignment horizontal="center" vertical="center" wrapText="1"/>
    </xf>
    <xf numFmtId="0" fontId="179" fillId="245" borderId="0" xfId="0" applyFont="1" applyFill="1" applyAlignment="1">
      <alignment horizontal="center" vertical="center" wrapText="1"/>
    </xf>
    <xf numFmtId="0" fontId="154" fillId="245" borderId="0" xfId="0" applyFont="1" applyFill="1" applyAlignment="1">
      <alignment horizontal="left" vertical="top" wrapText="1"/>
    </xf>
    <xf numFmtId="0" fontId="195" fillId="245" borderId="0" xfId="0" applyFont="1" applyFill="1" applyAlignment="1">
      <alignment horizontal="center" vertical="center" wrapText="1"/>
    </xf>
    <xf numFmtId="0" fontId="196" fillId="245" borderId="0" xfId="0" applyFont="1" applyFill="1" applyAlignment="1">
      <alignment horizontal="left" vertical="center" wrapText="1"/>
    </xf>
    <xf numFmtId="0" fontId="182" fillId="245" borderId="0" xfId="0" applyFont="1" applyFill="1" applyAlignment="1">
      <alignment horizontal="center" vertical="center" wrapText="1"/>
    </xf>
    <xf numFmtId="0" fontId="184" fillId="240" borderId="0" xfId="0" applyFont="1" applyFill="1" applyAlignment="1">
      <alignment horizontal="center" vertical="center" wrapText="1"/>
    </xf>
    <xf numFmtId="0" fontId="193" fillId="245" borderId="0" xfId="0" applyFont="1" applyFill="1" applyAlignment="1">
      <alignment horizontal="center" vertical="center" wrapText="1"/>
    </xf>
    <xf numFmtId="0" fontId="193" fillId="240" borderId="0" xfId="0" applyFont="1" applyFill="1" applyAlignment="1">
      <alignment horizontal="center" vertical="center" wrapText="1"/>
    </xf>
    <xf numFmtId="0" fontId="43" fillId="229" borderId="0" xfId="0" applyFont="1" applyFill="1" applyAlignment="1">
      <alignment horizontal="left" vertical="center" wrapText="1"/>
    </xf>
    <xf numFmtId="0" fontId="59" fillId="229" borderId="0" xfId="0" applyFont="1" applyFill="1" applyAlignment="1">
      <alignment horizontal="left" vertical="center" wrapText="1"/>
    </xf>
    <xf numFmtId="0" fontId="197" fillId="229" borderId="0" xfId="0" applyFont="1" applyFill="1" applyAlignment="1">
      <alignment horizontal="center" vertical="center" wrapText="1"/>
    </xf>
    <xf numFmtId="0" fontId="154" fillId="229" borderId="0" xfId="0" applyFont="1" applyFill="1" applyAlignment="1">
      <alignment horizontal="center" vertical="center" wrapText="1"/>
    </xf>
    <xf numFmtId="0" fontId="184" fillId="229" borderId="0" xfId="0" applyFont="1" applyFill="1" applyAlignment="1">
      <alignment horizontal="center" vertical="center" wrapText="1"/>
    </xf>
    <xf numFmtId="0" fontId="178" fillId="229" borderId="0" xfId="0" applyFont="1" applyFill="1" applyAlignment="1">
      <alignment horizontal="center" vertical="center" wrapText="1"/>
    </xf>
    <xf numFmtId="0" fontId="179" fillId="229" borderId="0" xfId="0" applyFont="1" applyFill="1" applyAlignment="1">
      <alignment horizontal="center" vertical="center" wrapText="1"/>
    </xf>
    <xf numFmtId="0" fontId="154" fillId="229" borderId="0" xfId="0" applyFont="1" applyFill="1" applyAlignment="1">
      <alignment horizontal="left" vertical="top" wrapText="1"/>
    </xf>
    <xf numFmtId="0" fontId="156" fillId="229" borderId="0" xfId="0" applyFont="1" applyFill="1" applyAlignment="1">
      <alignment horizontal="center" vertical="center" wrapText="1"/>
    </xf>
    <xf numFmtId="0" fontId="180" fillId="229" borderId="0" xfId="0" applyFont="1" applyFill="1" applyAlignment="1">
      <alignment horizontal="left" vertical="center" wrapText="1"/>
    </xf>
    <xf numFmtId="0" fontId="43" fillId="246" borderId="0" xfId="0" applyFont="1" applyFill="1" applyAlignment="1">
      <alignment horizontal="left" vertical="center" wrapText="1"/>
    </xf>
    <xf numFmtId="0" fontId="62" fillId="246" borderId="0" xfId="1" applyFill="1" applyAlignment="1">
      <alignment horizontal="center" vertical="center" wrapText="1"/>
    </xf>
    <xf numFmtId="0" fontId="59" fillId="246" borderId="0" xfId="0" applyFont="1" applyFill="1" applyAlignment="1">
      <alignment horizontal="left" vertical="center" wrapText="1"/>
    </xf>
    <xf numFmtId="0" fontId="197" fillId="246" borderId="0" xfId="0" applyFont="1" applyFill="1" applyAlignment="1">
      <alignment horizontal="center" vertical="center" wrapText="1"/>
    </xf>
    <xf numFmtId="0" fontId="154" fillId="246" borderId="0" xfId="0" applyFont="1" applyFill="1" applyAlignment="1">
      <alignment horizontal="center" vertical="center" wrapText="1"/>
    </xf>
    <xf numFmtId="0" fontId="193" fillId="246" borderId="0" xfId="0" applyFont="1" applyFill="1" applyAlignment="1">
      <alignment horizontal="center" vertical="center" wrapText="1"/>
    </xf>
    <xf numFmtId="0" fontId="178" fillId="246" borderId="0" xfId="0" applyFont="1" applyFill="1" applyAlignment="1">
      <alignment horizontal="center" vertical="center" wrapText="1"/>
    </xf>
    <xf numFmtId="0" fontId="179" fillId="246" borderId="0" xfId="0" applyFont="1" applyFill="1" applyAlignment="1">
      <alignment horizontal="center" vertical="center" wrapText="1"/>
    </xf>
    <xf numFmtId="0" fontId="154" fillId="246" borderId="0" xfId="0" applyFont="1" applyFill="1" applyAlignment="1">
      <alignment horizontal="left" vertical="top" wrapText="1"/>
    </xf>
    <xf numFmtId="0" fontId="198" fillId="246" borderId="0" xfId="0" applyFont="1" applyFill="1" applyAlignment="1">
      <alignment horizontal="center" vertical="center" wrapText="1"/>
    </xf>
    <xf numFmtId="0" fontId="199" fillId="246" borderId="0" xfId="0" applyFont="1" applyFill="1" applyAlignment="1">
      <alignment horizontal="left" vertical="center" wrapText="1"/>
    </xf>
    <xf numFmtId="0" fontId="193" fillId="229" borderId="0" xfId="0" applyFont="1" applyFill="1" applyAlignment="1">
      <alignment horizontal="center" vertical="center" wrapText="1"/>
    </xf>
    <xf numFmtId="0" fontId="184" fillId="246" borderId="0" xfId="0" applyFont="1" applyFill="1" applyAlignment="1">
      <alignment horizontal="center" vertical="center" wrapText="1"/>
    </xf>
    <xf numFmtId="0" fontId="177" fillId="229" borderId="0" xfId="0" applyFont="1" applyFill="1" applyAlignment="1">
      <alignment horizontal="center" vertical="center" wrapText="1"/>
    </xf>
    <xf numFmtId="0" fontId="43" fillId="231" borderId="0" xfId="0" applyFont="1" applyFill="1" applyAlignment="1">
      <alignment horizontal="left" vertical="center" wrapText="1"/>
    </xf>
    <xf numFmtId="0" fontId="59" fillId="231" borderId="0" xfId="0" applyFont="1" applyFill="1" applyAlignment="1">
      <alignment horizontal="left" vertical="center" wrapText="1"/>
    </xf>
    <xf numFmtId="0" fontId="200" fillId="231" borderId="0" xfId="0" applyFont="1" applyFill="1" applyAlignment="1">
      <alignment horizontal="center" vertical="center" wrapText="1"/>
    </xf>
    <xf numFmtId="0" fontId="154" fillId="231" borderId="0" xfId="0" applyFont="1" applyFill="1" applyAlignment="1">
      <alignment horizontal="center" vertical="center" wrapText="1"/>
    </xf>
    <xf numFmtId="0" fontId="193" fillId="231" borderId="0" xfId="0" applyFont="1" applyFill="1" applyAlignment="1">
      <alignment horizontal="center" vertical="center" wrapText="1"/>
    </xf>
    <xf numFmtId="0" fontId="178" fillId="231" borderId="0" xfId="0" applyFont="1" applyFill="1" applyAlignment="1">
      <alignment horizontal="center" vertical="center" wrapText="1"/>
    </xf>
    <xf numFmtId="0" fontId="179" fillId="231" borderId="0" xfId="0" applyFont="1" applyFill="1" applyAlignment="1">
      <alignment horizontal="center" vertical="center" wrapText="1"/>
    </xf>
    <xf numFmtId="0" fontId="154" fillId="231" borderId="0" xfId="0" applyFont="1" applyFill="1" applyAlignment="1">
      <alignment horizontal="left" vertical="top" wrapText="1"/>
    </xf>
    <xf numFmtId="0" fontId="201" fillId="231" borderId="0" xfId="0" applyFont="1" applyFill="1" applyAlignment="1">
      <alignment horizontal="center" vertical="center" wrapText="1"/>
    </xf>
    <xf numFmtId="0" fontId="202" fillId="231" borderId="0" xfId="0" applyFont="1" applyFill="1" applyAlignment="1">
      <alignment horizontal="left" vertical="center" wrapText="1"/>
    </xf>
    <xf numFmtId="0" fontId="43" fillId="232" borderId="0" xfId="0" applyFont="1" applyFill="1" applyAlignment="1">
      <alignment horizontal="left" vertical="center" wrapText="1"/>
    </xf>
    <xf numFmtId="0" fontId="59" fillId="232" borderId="0" xfId="0" applyFont="1" applyFill="1" applyAlignment="1">
      <alignment horizontal="left" vertical="center" wrapText="1"/>
    </xf>
    <xf numFmtId="0" fontId="200" fillId="232" borderId="0" xfId="0" applyFont="1" applyFill="1" applyAlignment="1">
      <alignment horizontal="center" vertical="center" wrapText="1"/>
    </xf>
    <xf numFmtId="0" fontId="154" fillId="232" borderId="0" xfId="0" applyFont="1" applyFill="1" applyAlignment="1">
      <alignment horizontal="center" vertical="center" wrapText="1"/>
    </xf>
    <xf numFmtId="0" fontId="178" fillId="232" borderId="0" xfId="0" applyFont="1" applyFill="1" applyAlignment="1">
      <alignment horizontal="center" vertical="center" wrapText="1"/>
    </xf>
    <xf numFmtId="0" fontId="179" fillId="232" borderId="0" xfId="0" applyFont="1" applyFill="1" applyAlignment="1">
      <alignment horizontal="center" vertical="center" wrapText="1"/>
    </xf>
    <xf numFmtId="0" fontId="154" fillId="232" borderId="0" xfId="0" applyFont="1" applyFill="1" applyAlignment="1">
      <alignment horizontal="left" vertical="top" wrapText="1"/>
    </xf>
    <xf numFmtId="0" fontId="203" fillId="232" borderId="0" xfId="0" applyFont="1" applyFill="1" applyAlignment="1">
      <alignment horizontal="center" vertical="center" wrapText="1"/>
    </xf>
    <xf numFmtId="0" fontId="204" fillId="232" borderId="0" xfId="0" applyFont="1" applyFill="1" applyAlignment="1">
      <alignment horizontal="left" vertical="center" wrapText="1"/>
    </xf>
    <xf numFmtId="0" fontId="184" fillId="232" borderId="0" xfId="0" applyFont="1" applyFill="1" applyAlignment="1">
      <alignment horizontal="center" vertical="center" wrapText="1"/>
    </xf>
    <xf numFmtId="0" fontId="184" fillId="231" borderId="0" xfId="0" applyFont="1" applyFill="1" applyAlignment="1">
      <alignment horizontal="center" vertical="center" wrapText="1"/>
    </xf>
    <xf numFmtId="0" fontId="43" fillId="247" borderId="0" xfId="0" applyFont="1" applyFill="1" applyAlignment="1">
      <alignment horizontal="left" vertical="center" wrapText="1"/>
    </xf>
    <xf numFmtId="0" fontId="59" fillId="247" borderId="0" xfId="0" applyFont="1" applyFill="1" applyAlignment="1">
      <alignment horizontal="left" vertical="center" wrapText="1"/>
    </xf>
    <xf numFmtId="0" fontId="205" fillId="247" borderId="0" xfId="0" applyFont="1" applyFill="1" applyAlignment="1">
      <alignment horizontal="center" vertical="center" wrapText="1"/>
    </xf>
    <xf numFmtId="0" fontId="154" fillId="247" borderId="0" xfId="0" applyFont="1" applyFill="1" applyAlignment="1">
      <alignment horizontal="center" vertical="center" wrapText="1"/>
    </xf>
    <xf numFmtId="0" fontId="193" fillId="247" borderId="0" xfId="0" applyFont="1" applyFill="1" applyAlignment="1">
      <alignment horizontal="center" vertical="center" wrapText="1"/>
    </xf>
    <xf numFmtId="0" fontId="178" fillId="247" borderId="0" xfId="0" applyFont="1" applyFill="1" applyAlignment="1">
      <alignment horizontal="center" vertical="center" wrapText="1"/>
    </xf>
    <xf numFmtId="0" fontId="179" fillId="247" borderId="0" xfId="0" applyFont="1" applyFill="1" applyAlignment="1">
      <alignment horizontal="center" vertical="center" wrapText="1"/>
    </xf>
    <xf numFmtId="0" fontId="154" fillId="247" borderId="0" xfId="0" applyFont="1" applyFill="1" applyAlignment="1">
      <alignment horizontal="left" vertical="top" wrapText="1"/>
    </xf>
    <xf numFmtId="0" fontId="206" fillId="247" borderId="0" xfId="0" applyFont="1" applyFill="1" applyAlignment="1">
      <alignment horizontal="center" vertical="center" wrapText="1"/>
    </xf>
    <xf numFmtId="0" fontId="207" fillId="247" borderId="0" xfId="0" applyFont="1" applyFill="1" applyAlignment="1">
      <alignment horizontal="left" vertical="center" wrapText="1"/>
    </xf>
    <xf numFmtId="0" fontId="43" fillId="133" borderId="0" xfId="0" applyFont="1" applyFill="1" applyAlignment="1">
      <alignment horizontal="left" vertical="center" wrapText="1"/>
    </xf>
    <xf numFmtId="0" fontId="59" fillId="133" borderId="0" xfId="0" applyFont="1" applyFill="1" applyAlignment="1">
      <alignment horizontal="left" vertical="center" wrapText="1"/>
    </xf>
    <xf numFmtId="0" fontId="205" fillId="133" borderId="0" xfId="0" applyFont="1" applyFill="1" applyAlignment="1">
      <alignment horizontal="center" vertical="center" wrapText="1"/>
    </xf>
    <xf numFmtId="0" fontId="154" fillId="133" borderId="0" xfId="0" applyFont="1" applyFill="1" applyAlignment="1">
      <alignment horizontal="center" vertical="center" wrapText="1"/>
    </xf>
    <xf numFmtId="0" fontId="184" fillId="133" borderId="0" xfId="0" applyFont="1" applyFill="1" applyAlignment="1">
      <alignment horizontal="center" vertical="center" wrapText="1"/>
    </xf>
    <xf numFmtId="0" fontId="178" fillId="133" borderId="0" xfId="0" applyFont="1" applyFill="1" applyAlignment="1">
      <alignment horizontal="center" vertical="center" wrapText="1"/>
    </xf>
    <xf numFmtId="0" fontId="179" fillId="133" borderId="0" xfId="0" applyFont="1" applyFill="1" applyAlignment="1">
      <alignment horizontal="center" vertical="center" wrapText="1"/>
    </xf>
    <xf numFmtId="0" fontId="154" fillId="133" borderId="0" xfId="0" applyFont="1" applyFill="1" applyAlignment="1">
      <alignment horizontal="left" vertical="top" wrapText="1"/>
    </xf>
    <xf numFmtId="0" fontId="208" fillId="133" borderId="0" xfId="0" applyFont="1" applyFill="1" applyAlignment="1">
      <alignment horizontal="center" vertical="center" wrapText="1"/>
    </xf>
    <xf numFmtId="0" fontId="209" fillId="133" borderId="0" xfId="0" applyFont="1" applyFill="1" applyAlignment="1">
      <alignment horizontal="left" vertical="center" wrapText="1"/>
    </xf>
    <xf numFmtId="0" fontId="177" fillId="247" borderId="0" xfId="0" applyFont="1" applyFill="1" applyAlignment="1">
      <alignment horizontal="center" vertical="center" wrapText="1"/>
    </xf>
    <xf numFmtId="0" fontId="193" fillId="133" borderId="0" xfId="0" applyFont="1" applyFill="1" applyAlignment="1">
      <alignment horizontal="center" vertical="center" wrapText="1"/>
    </xf>
    <xf numFmtId="0" fontId="184" fillId="247" borderId="0" xfId="0" applyFont="1" applyFill="1" applyAlignment="1">
      <alignment horizontal="center" vertical="center" wrapText="1"/>
    </xf>
    <xf numFmtId="0" fontId="177" fillId="133" borderId="0" xfId="0" applyFont="1" applyFill="1" applyAlignment="1">
      <alignment horizontal="center" vertical="center" wrapText="1"/>
    </xf>
    <xf numFmtId="0" fontId="58" fillId="133" borderId="0" xfId="0" applyFont="1" applyFill="1"/>
    <xf numFmtId="0" fontId="58" fillId="133" borderId="0" xfId="0" applyFont="1" applyFill="1" applyAlignment="1">
      <alignment horizontal="center"/>
    </xf>
    <xf numFmtId="0" fontId="210" fillId="133" borderId="0" xfId="0" applyFont="1" applyFill="1" applyAlignment="1">
      <alignment horizontal="center"/>
    </xf>
    <xf numFmtId="0" fontId="157" fillId="133" borderId="0" xfId="0" applyFont="1" applyFill="1"/>
    <xf numFmtId="0" fontId="211" fillId="133" borderId="0" xfId="0" applyFont="1" applyFill="1"/>
    <xf numFmtId="0" fontId="58" fillId="133" borderId="0" xfId="0" applyFont="1" applyFill="1" applyAlignment="1">
      <alignment wrapText="1"/>
    </xf>
    <xf numFmtId="0" fontId="210" fillId="133" borderId="0" xfId="0" applyFont="1" applyFill="1" applyAlignment="1">
      <alignment wrapText="1"/>
    </xf>
    <xf numFmtId="0" fontId="157" fillId="239" borderId="0" xfId="0" applyFont="1" applyFill="1"/>
    <xf numFmtId="0" fontId="206" fillId="247" borderId="0" xfId="0" applyFont="1" applyFill="1" applyAlignment="1">
      <alignment horizontal="center"/>
    </xf>
    <xf numFmtId="0" fontId="43" fillId="247" borderId="0" xfId="0" applyFont="1" applyFill="1" applyAlignment="1">
      <alignment horizontal="left" wrapText="1"/>
    </xf>
    <xf numFmtId="0" fontId="59" fillId="247" borderId="0" xfId="0" applyFont="1" applyFill="1" applyAlignment="1">
      <alignment horizontal="left"/>
    </xf>
    <xf numFmtId="0" fontId="205" fillId="247" borderId="0" xfId="0" applyFont="1" applyFill="1" applyAlignment="1">
      <alignment horizontal="center"/>
    </xf>
    <xf numFmtId="0" fontId="58" fillId="247" borderId="0" xfId="0" applyFont="1" applyFill="1" applyAlignment="1">
      <alignment horizontal="center"/>
    </xf>
    <xf numFmtId="0" fontId="193" fillId="247" borderId="0" xfId="0" applyFont="1" applyFill="1" applyAlignment="1">
      <alignment horizontal="center"/>
    </xf>
    <xf numFmtId="0" fontId="178" fillId="247" borderId="0" xfId="0" applyFont="1" applyFill="1" applyAlignment="1">
      <alignment horizontal="center"/>
    </xf>
    <xf numFmtId="0" fontId="211" fillId="247" borderId="0" xfId="0" applyFont="1" applyFill="1" applyAlignment="1">
      <alignment horizontal="center"/>
    </xf>
    <xf numFmtId="0" fontId="58" fillId="247" borderId="0" xfId="0" applyFont="1" applyFill="1" applyAlignment="1">
      <alignment horizontal="left" wrapText="1"/>
    </xf>
    <xf numFmtId="0" fontId="131" fillId="247" borderId="0" xfId="1" applyFont="1" applyFill="1" applyAlignment="1">
      <alignment horizontal="center"/>
    </xf>
    <xf numFmtId="0" fontId="207" fillId="247" borderId="0" xfId="0" applyFont="1" applyFill="1" applyAlignment="1">
      <alignment horizontal="left"/>
    </xf>
    <xf numFmtId="0" fontId="208" fillId="133" borderId="0" xfId="0" applyFont="1" applyFill="1" applyAlignment="1">
      <alignment horizontal="center"/>
    </xf>
    <xf numFmtId="0" fontId="43" fillId="133" borderId="0" xfId="0" applyFont="1" applyFill="1" applyAlignment="1">
      <alignment horizontal="left" wrapText="1"/>
    </xf>
    <xf numFmtId="0" fontId="59" fillId="133" borderId="0" xfId="0" applyFont="1" applyFill="1" applyAlignment="1">
      <alignment horizontal="left"/>
    </xf>
    <xf numFmtId="0" fontId="205" fillId="133" borderId="0" xfId="0" applyFont="1" applyFill="1" applyAlignment="1">
      <alignment horizontal="center"/>
    </xf>
    <xf numFmtId="0" fontId="193" fillId="133" borderId="0" xfId="0" applyFont="1" applyFill="1" applyAlignment="1">
      <alignment horizontal="center"/>
    </xf>
    <xf numFmtId="0" fontId="178" fillId="133" borderId="0" xfId="0" applyFont="1" applyFill="1" applyAlignment="1">
      <alignment horizontal="center"/>
    </xf>
    <xf numFmtId="0" fontId="211" fillId="133" borderId="0" xfId="0" applyFont="1" applyFill="1" applyAlignment="1">
      <alignment horizontal="center"/>
    </xf>
    <xf numFmtId="0" fontId="58" fillId="133" borderId="0" xfId="0" applyFont="1" applyFill="1" applyAlignment="1">
      <alignment horizontal="left" wrapText="1"/>
    </xf>
    <xf numFmtId="0" fontId="131" fillId="133" borderId="0" xfId="1" applyFont="1" applyFill="1" applyAlignment="1">
      <alignment horizontal="center"/>
    </xf>
    <xf numFmtId="0" fontId="209" fillId="133" borderId="0" xfId="0" applyFont="1" applyFill="1" applyAlignment="1">
      <alignment horizontal="left"/>
    </xf>
    <xf numFmtId="0" fontId="177" fillId="133" borderId="0" xfId="0" applyFont="1" applyFill="1" applyAlignment="1">
      <alignment horizontal="center"/>
    </xf>
    <xf numFmtId="0" fontId="184" fillId="133" borderId="0" xfId="0" applyFont="1" applyFill="1" applyAlignment="1">
      <alignment horizontal="center"/>
    </xf>
    <xf numFmtId="0" fontId="184" fillId="247" borderId="0" xfId="0" applyFont="1" applyFill="1" applyAlignment="1">
      <alignment horizontal="center"/>
    </xf>
    <xf numFmtId="0" fontId="210" fillId="239" borderId="0" xfId="0" applyFont="1" applyFill="1" applyAlignment="1">
      <alignment horizontal="center"/>
    </xf>
    <xf numFmtId="0" fontId="28" fillId="239" borderId="0" xfId="0" applyFont="1" applyFill="1" applyAlignment="1">
      <alignment horizontal="center" wrapText="1"/>
    </xf>
    <xf numFmtId="0" fontId="58" fillId="239" borderId="0" xfId="0" applyFont="1" applyFill="1"/>
    <xf numFmtId="0" fontId="58" fillId="239" borderId="0" xfId="0" applyFont="1" applyFill="1" applyAlignment="1">
      <alignment wrapText="1"/>
    </xf>
    <xf numFmtId="0" fontId="211" fillId="239" borderId="0" xfId="0" applyFont="1" applyFill="1"/>
    <xf numFmtId="0" fontId="131" fillId="247" borderId="0" xfId="1" applyFont="1" applyFill="1" applyAlignment="1">
      <alignment horizontal="center" vertical="center" wrapText="1"/>
    </xf>
    <xf numFmtId="0" fontId="131" fillId="133" borderId="0" xfId="1" applyFont="1" applyFill="1" applyAlignment="1">
      <alignment horizontal="center" vertical="center" wrapText="1"/>
    </xf>
    <xf numFmtId="0" fontId="218" fillId="246" borderId="0" xfId="1" applyFont="1" applyFill="1" applyAlignment="1">
      <alignment horizontal="center" vertical="center" wrapText="1"/>
    </xf>
    <xf numFmtId="0" fontId="130" fillId="245" borderId="0" xfId="1" applyFont="1" applyFill="1" applyAlignment="1">
      <alignment horizontal="center" vertical="center" wrapText="1"/>
    </xf>
    <xf numFmtId="0" fontId="130" fillId="226" borderId="0" xfId="1" applyFont="1" applyFill="1" applyAlignment="1">
      <alignment horizontal="center" vertical="center" wrapText="1"/>
    </xf>
    <xf numFmtId="0" fontId="130" fillId="224" borderId="0" xfId="1" applyFont="1" applyFill="1" applyAlignment="1">
      <alignment horizontal="center" vertical="center" wrapText="1"/>
    </xf>
    <xf numFmtId="0" fontId="130" fillId="222" borderId="0" xfId="1" applyFont="1" applyFill="1" applyAlignment="1">
      <alignment horizontal="center" vertical="center" wrapText="1"/>
    </xf>
    <xf numFmtId="0" fontId="130" fillId="221" borderId="0" xfId="1" applyFont="1" applyFill="1" applyAlignment="1">
      <alignment horizontal="center" vertical="center" wrapText="1"/>
    </xf>
    <xf numFmtId="0" fontId="63" fillId="0" borderId="0" xfId="0" applyFont="1"/>
    <xf numFmtId="0" fontId="93" fillId="249" borderId="0" xfId="0" applyFont="1" applyFill="1" applyAlignment="1">
      <alignment horizontal="center" vertical="center"/>
    </xf>
    <xf numFmtId="0" fontId="0" fillId="251" borderId="0" xfId="0" applyFill="1" applyAlignment="1">
      <alignment vertical="center"/>
    </xf>
    <xf numFmtId="0" fontId="0" fillId="251" borderId="0" xfId="0" applyFill="1" applyAlignment="1">
      <alignment vertical="center" wrapText="1"/>
    </xf>
    <xf numFmtId="0" fontId="0" fillId="125" borderId="0" xfId="0" applyFill="1"/>
    <xf numFmtId="0" fontId="0" fillId="125" borderId="0" xfId="0" applyFill="1" applyAlignment="1">
      <alignment vertical="center"/>
    </xf>
    <xf numFmtId="0" fontId="0" fillId="251" borderId="0" xfId="0" applyFill="1"/>
    <xf numFmtId="0" fontId="0" fillId="251" borderId="0" xfId="0" applyFill="1" applyAlignment="1">
      <alignment wrapText="1"/>
    </xf>
    <xf numFmtId="0" fontId="0" fillId="125" borderId="0" xfId="0" applyFill="1" applyAlignment="1">
      <alignment wrapText="1"/>
    </xf>
    <xf numFmtId="0" fontId="0" fillId="125" borderId="0" xfId="0" applyFill="1" applyAlignment="1">
      <alignment vertical="center" wrapText="1"/>
    </xf>
    <xf numFmtId="0" fontId="0" fillId="125" borderId="0" xfId="0" applyFill="1" applyAlignment="1">
      <alignment horizontal="center" vertical="center"/>
    </xf>
    <xf numFmtId="0" fontId="0" fillId="251" borderId="0" xfId="0" applyFill="1" applyAlignment="1">
      <alignment horizontal="center" vertical="center"/>
    </xf>
    <xf numFmtId="0" fontId="93" fillId="248" borderId="0" xfId="0" applyFont="1" applyFill="1" applyAlignment="1">
      <alignment horizontal="center" vertical="center"/>
    </xf>
    <xf numFmtId="0" fontId="223" fillId="125" borderId="0" xfId="0" applyFont="1" applyFill="1" applyAlignment="1">
      <alignment vertical="center"/>
    </xf>
    <xf numFmtId="0" fontId="223" fillId="251" borderId="0" xfId="0" applyFont="1" applyFill="1" applyAlignment="1">
      <alignment vertical="center"/>
    </xf>
    <xf numFmtId="0" fontId="106" fillId="125" borderId="0" xfId="1" applyFont="1" applyFill="1" applyAlignment="1">
      <alignment vertical="center"/>
    </xf>
    <xf numFmtId="0" fontId="0" fillId="125" borderId="0" xfId="0" applyFill="1" applyAlignment="1">
      <alignment horizontal="center"/>
    </xf>
    <xf numFmtId="0" fontId="0" fillId="251" borderId="0" xfId="0" applyFill="1" applyAlignment="1">
      <alignment horizontal="center"/>
    </xf>
    <xf numFmtId="0" fontId="106" fillId="125" borderId="0" xfId="0" applyFont="1" applyFill="1" applyAlignment="1">
      <alignment horizontal="center"/>
    </xf>
    <xf numFmtId="0" fontId="106" fillId="251" borderId="0" xfId="0" applyFont="1" applyFill="1" applyAlignment="1">
      <alignment horizontal="center"/>
    </xf>
    <xf numFmtId="0" fontId="106" fillId="0" borderId="0" xfId="0" applyFont="1" applyAlignment="1">
      <alignment horizontal="center"/>
    </xf>
    <xf numFmtId="0" fontId="226" fillId="125" borderId="0" xfId="0" applyFont="1" applyFill="1" applyAlignment="1">
      <alignment horizontal="center"/>
    </xf>
    <xf numFmtId="0" fontId="226" fillId="175" borderId="0" xfId="0" applyFont="1" applyFill="1" applyAlignment="1">
      <alignment horizontal="center"/>
    </xf>
    <xf numFmtId="0" fontId="227" fillId="125" borderId="0" xfId="0" applyFont="1" applyFill="1" applyAlignment="1">
      <alignment wrapText="1"/>
    </xf>
    <xf numFmtId="0" fontId="227" fillId="175" borderId="0" xfId="0" applyFont="1" applyFill="1" applyAlignment="1">
      <alignment wrapText="1"/>
    </xf>
    <xf numFmtId="0" fontId="227" fillId="175" borderId="0" xfId="0" applyFont="1" applyFill="1" applyAlignment="1">
      <alignment horizontal="center"/>
    </xf>
    <xf numFmtId="0" fontId="227" fillId="125" borderId="0" xfId="0" applyFont="1" applyFill="1" applyAlignment="1">
      <alignment horizontal="center"/>
    </xf>
    <xf numFmtId="0" fontId="227" fillId="175" borderId="0" xfId="0" applyFont="1" applyFill="1"/>
    <xf numFmtId="0" fontId="227" fillId="125" borderId="0" xfId="0" applyFont="1" applyFill="1"/>
    <xf numFmtId="0" fontId="226" fillId="125" borderId="0" xfId="0" applyFont="1" applyFill="1"/>
    <xf numFmtId="0" fontId="231" fillId="182" borderId="0" xfId="0" applyFont="1" applyFill="1" applyAlignment="1">
      <alignment horizontal="center"/>
    </xf>
    <xf numFmtId="0" fontId="231" fillId="125" borderId="0" xfId="0" applyFont="1" applyFill="1" applyAlignment="1">
      <alignment horizontal="center"/>
    </xf>
    <xf numFmtId="0" fontId="232" fillId="155" borderId="0" xfId="0" applyFont="1" applyFill="1" applyAlignment="1">
      <alignment horizontal="center"/>
    </xf>
    <xf numFmtId="0" fontId="226" fillId="189" borderId="0" xfId="0" applyFont="1" applyFill="1" applyAlignment="1">
      <alignment horizontal="center"/>
    </xf>
    <xf numFmtId="0" fontId="233" fillId="181" borderId="0" xfId="0" applyFont="1" applyFill="1" applyAlignment="1">
      <alignment horizontal="center"/>
    </xf>
    <xf numFmtId="0" fontId="226" fillId="134" borderId="0" xfId="0" applyFont="1" applyFill="1" applyAlignment="1">
      <alignment horizontal="center"/>
    </xf>
    <xf numFmtId="0" fontId="233" fillId="177" borderId="0" xfId="0" applyFont="1" applyFill="1" applyAlignment="1">
      <alignment horizontal="center"/>
    </xf>
    <xf numFmtId="0" fontId="227" fillId="134" borderId="0" xfId="0" applyFont="1" applyFill="1" applyAlignment="1">
      <alignment horizontal="center"/>
    </xf>
    <xf numFmtId="0" fontId="234" fillId="134" borderId="0" xfId="0" applyFont="1" applyFill="1" applyAlignment="1">
      <alignment horizontal="center"/>
    </xf>
    <xf numFmtId="0" fontId="227" fillId="134" borderId="0" xfId="0" applyFont="1" applyFill="1"/>
    <xf numFmtId="0" fontId="234" fillId="125" borderId="0" xfId="0" applyFont="1" applyFill="1" applyAlignment="1">
      <alignment horizontal="center"/>
    </xf>
    <xf numFmtId="0" fontId="227" fillId="130" borderId="0" xfId="0" applyFont="1" applyFill="1" applyAlignment="1">
      <alignment horizontal="center"/>
    </xf>
    <xf numFmtId="0" fontId="234" fillId="130" borderId="0" xfId="0" applyFont="1" applyFill="1" applyAlignment="1">
      <alignment horizontal="center"/>
    </xf>
    <xf numFmtId="0" fontId="227" fillId="130" borderId="0" xfId="0" applyFont="1" applyFill="1"/>
    <xf numFmtId="0" fontId="226" fillId="130" borderId="0" xfId="0" applyFont="1" applyFill="1" applyAlignment="1">
      <alignment horizontal="center"/>
    </xf>
    <xf numFmtId="0" fontId="233" fillId="185" borderId="0" xfId="0" applyFont="1" applyFill="1" applyAlignment="1">
      <alignment horizontal="center"/>
    </xf>
    <xf numFmtId="0" fontId="226" fillId="132" borderId="0" xfId="0" applyFont="1" applyFill="1" applyAlignment="1">
      <alignment horizontal="center"/>
    </xf>
    <xf numFmtId="0" fontId="233" fillId="186" borderId="0" xfId="0" applyFont="1" applyFill="1" applyAlignment="1">
      <alignment horizontal="center"/>
    </xf>
    <xf numFmtId="0" fontId="108" fillId="269" borderId="14" xfId="0" applyFont="1" applyFill="1" applyBorder="1" applyAlignment="1">
      <alignment wrapText="1"/>
    </xf>
    <xf numFmtId="0" fontId="108" fillId="269" borderId="15" xfId="0" applyFont="1" applyFill="1" applyBorder="1" applyAlignment="1">
      <alignment wrapText="1"/>
    </xf>
    <xf numFmtId="0" fontId="108" fillId="269" borderId="16" xfId="0" applyFont="1" applyFill="1" applyBorder="1" applyAlignment="1">
      <alignment wrapText="1"/>
    </xf>
    <xf numFmtId="0" fontId="108" fillId="270" borderId="17" xfId="0" applyFont="1" applyFill="1" applyBorder="1" applyAlignment="1">
      <alignment wrapText="1"/>
    </xf>
    <xf numFmtId="0" fontId="108" fillId="270" borderId="18" xfId="0" applyFont="1" applyFill="1" applyBorder="1" applyAlignment="1">
      <alignment wrapText="1"/>
    </xf>
    <xf numFmtId="0" fontId="108" fillId="270" borderId="19" xfId="0" applyFont="1" applyFill="1" applyBorder="1" applyAlignment="1">
      <alignment wrapText="1"/>
    </xf>
    <xf numFmtId="0" fontId="93" fillId="264" borderId="18" xfId="0" applyFont="1" applyFill="1" applyBorder="1" applyAlignment="1">
      <alignment horizontal="center"/>
    </xf>
    <xf numFmtId="0" fontId="93" fillId="264" borderId="17" xfId="0" applyFont="1" applyFill="1" applyBorder="1" applyAlignment="1">
      <alignment horizontal="center"/>
    </xf>
    <xf numFmtId="0" fontId="108" fillId="265" borderId="18" xfId="0" applyFont="1" applyFill="1" applyBorder="1" applyAlignment="1">
      <alignment wrapText="1"/>
    </xf>
    <xf numFmtId="0" fontId="108" fillId="265" borderId="17" xfId="0" applyFont="1" applyFill="1" applyBorder="1" applyAlignment="1">
      <alignment wrapText="1"/>
    </xf>
    <xf numFmtId="0" fontId="108" fillId="266" borderId="18" xfId="0" applyFont="1" applyFill="1" applyBorder="1" applyAlignment="1">
      <alignment wrapText="1"/>
    </xf>
    <xf numFmtId="0" fontId="108" fillId="266" borderId="17" xfId="0" applyFont="1" applyFill="1" applyBorder="1" applyAlignment="1">
      <alignment wrapText="1"/>
    </xf>
    <xf numFmtId="0" fontId="108" fillId="267" borderId="18" xfId="0" applyFont="1" applyFill="1" applyBorder="1" applyAlignment="1">
      <alignment wrapText="1"/>
    </xf>
    <xf numFmtId="0" fontId="108" fillId="268" borderId="18" xfId="0" applyFont="1" applyFill="1" applyBorder="1" applyAlignment="1">
      <alignment wrapText="1"/>
    </xf>
    <xf numFmtId="0" fontId="108" fillId="270" borderId="12" xfId="0" applyFont="1" applyFill="1" applyBorder="1" applyAlignment="1">
      <alignment wrapText="1"/>
    </xf>
    <xf numFmtId="0" fontId="108" fillId="269" borderId="18" xfId="0" applyFont="1" applyFill="1" applyBorder="1" applyAlignment="1">
      <alignment wrapText="1"/>
    </xf>
    <xf numFmtId="0" fontId="108" fillId="267" borderId="17" xfId="0" applyFont="1" applyFill="1" applyBorder="1" applyAlignment="1">
      <alignment wrapText="1"/>
    </xf>
    <xf numFmtId="0" fontId="108" fillId="268" borderId="17" xfId="0" applyFont="1" applyFill="1" applyBorder="1" applyAlignment="1">
      <alignment wrapText="1"/>
    </xf>
    <xf numFmtId="0" fontId="108" fillId="269" borderId="17" xfId="0" applyFont="1" applyFill="1" applyBorder="1" applyAlignment="1">
      <alignment wrapText="1"/>
    </xf>
    <xf numFmtId="0" fontId="93" fillId="264" borderId="19" xfId="0" applyFont="1" applyFill="1" applyBorder="1" applyAlignment="1">
      <alignment horizontal="center"/>
    </xf>
    <xf numFmtId="0" fontId="108" fillId="265" borderId="19" xfId="0" applyFont="1" applyFill="1" applyBorder="1" applyAlignment="1">
      <alignment wrapText="1"/>
    </xf>
    <xf numFmtId="0" fontId="108" fillId="266" borderId="19" xfId="0" applyFont="1" applyFill="1" applyBorder="1" applyAlignment="1">
      <alignment wrapText="1"/>
    </xf>
    <xf numFmtId="0" fontId="108" fillId="267" borderId="19" xfId="0" applyFont="1" applyFill="1" applyBorder="1" applyAlignment="1">
      <alignment wrapText="1"/>
    </xf>
    <xf numFmtId="0" fontId="108" fillId="268" borderId="19" xfId="0" applyFont="1" applyFill="1" applyBorder="1" applyAlignment="1">
      <alignment wrapText="1"/>
    </xf>
    <xf numFmtId="0" fontId="108" fillId="269" borderId="19" xfId="0" applyFont="1" applyFill="1" applyBorder="1" applyAlignment="1">
      <alignment wrapText="1"/>
    </xf>
    <xf numFmtId="0" fontId="108" fillId="270" borderId="13" xfId="0" applyFont="1" applyFill="1" applyBorder="1" applyAlignment="1">
      <alignment wrapText="1"/>
    </xf>
    <xf numFmtId="0" fontId="108" fillId="270" borderId="11" xfId="0" applyFont="1" applyFill="1" applyBorder="1" applyAlignment="1">
      <alignment wrapText="1"/>
    </xf>
    <xf numFmtId="0" fontId="93" fillId="272" borderId="19" xfId="0" applyFont="1" applyFill="1" applyBorder="1" applyAlignment="1">
      <alignment horizontal="center"/>
    </xf>
    <xf numFmtId="0" fontId="108" fillId="282" borderId="13" xfId="0" applyFont="1" applyFill="1" applyBorder="1" applyAlignment="1">
      <alignment wrapText="1"/>
    </xf>
    <xf numFmtId="0" fontId="93" fillId="272" borderId="17" xfId="0" applyFont="1" applyFill="1" applyBorder="1" applyAlignment="1">
      <alignment horizontal="center"/>
    </xf>
    <xf numFmtId="0" fontId="108" fillId="282" borderId="11" xfId="0" applyFont="1" applyFill="1" applyBorder="1" applyAlignment="1">
      <alignment wrapText="1"/>
    </xf>
    <xf numFmtId="0" fontId="108" fillId="273" borderId="19" xfId="0" applyFont="1" applyFill="1" applyBorder="1" applyAlignment="1">
      <alignment wrapText="1"/>
    </xf>
    <xf numFmtId="0" fontId="108" fillId="273" borderId="17" xfId="0" applyFont="1" applyFill="1" applyBorder="1" applyAlignment="1">
      <alignment wrapText="1"/>
    </xf>
    <xf numFmtId="0" fontId="108" fillId="274" borderId="19" xfId="0" applyFont="1" applyFill="1" applyBorder="1" applyAlignment="1">
      <alignment wrapText="1"/>
    </xf>
    <xf numFmtId="0" fontId="108" fillId="274" borderId="17" xfId="0" applyFont="1" applyFill="1" applyBorder="1" applyAlignment="1">
      <alignment wrapText="1"/>
    </xf>
    <xf numFmtId="0" fontId="108" fillId="275" borderId="19" xfId="0" applyFont="1" applyFill="1" applyBorder="1" applyAlignment="1">
      <alignment wrapText="1"/>
    </xf>
    <xf numFmtId="0" fontId="108" fillId="275" borderId="17" xfId="0" applyFont="1" applyFill="1" applyBorder="1" applyAlignment="1">
      <alignment wrapText="1"/>
    </xf>
    <xf numFmtId="0" fontId="108" fillId="276" borderId="19" xfId="0" applyFont="1" applyFill="1" applyBorder="1" applyAlignment="1">
      <alignment wrapText="1"/>
    </xf>
    <xf numFmtId="0" fontId="108" fillId="276" borderId="17" xfId="0" applyFont="1" applyFill="1" applyBorder="1" applyAlignment="1">
      <alignment wrapText="1"/>
    </xf>
    <xf numFmtId="0" fontId="108" fillId="277" borderId="19" xfId="0" applyFont="1" applyFill="1" applyBorder="1" applyAlignment="1">
      <alignment wrapText="1"/>
    </xf>
    <xf numFmtId="0" fontId="108" fillId="277" borderId="17" xfId="0" applyFont="1" applyFill="1" applyBorder="1" applyAlignment="1">
      <alignment wrapText="1"/>
    </xf>
    <xf numFmtId="0" fontId="108" fillId="278" borderId="19" xfId="0" applyFont="1" applyFill="1" applyBorder="1" applyAlignment="1">
      <alignment wrapText="1"/>
    </xf>
    <xf numFmtId="0" fontId="108" fillId="278" borderId="17" xfId="0" applyFont="1" applyFill="1" applyBorder="1" applyAlignment="1">
      <alignment wrapText="1"/>
    </xf>
    <xf numFmtId="0" fontId="108" fillId="279" borderId="19" xfId="0" applyFont="1" applyFill="1" applyBorder="1" applyAlignment="1">
      <alignment wrapText="1"/>
    </xf>
    <xf numFmtId="0" fontId="108" fillId="279" borderId="17" xfId="0" applyFont="1" applyFill="1" applyBorder="1" applyAlignment="1">
      <alignment wrapText="1"/>
    </xf>
    <xf numFmtId="0" fontId="108" fillId="280" borderId="19" xfId="0" applyFont="1" applyFill="1" applyBorder="1" applyAlignment="1">
      <alignment wrapText="1"/>
    </xf>
    <xf numFmtId="0" fontId="108" fillId="280" borderId="17" xfId="0" applyFont="1" applyFill="1" applyBorder="1" applyAlignment="1">
      <alignment wrapText="1"/>
    </xf>
    <xf numFmtId="0" fontId="108" fillId="281" borderId="16" xfId="0" applyFont="1" applyFill="1" applyBorder="1" applyAlignment="1">
      <alignment wrapText="1"/>
    </xf>
    <xf numFmtId="0" fontId="108" fillId="281" borderId="14" xfId="0" applyFont="1" applyFill="1" applyBorder="1" applyAlignment="1">
      <alignment wrapText="1"/>
    </xf>
    <xf numFmtId="0" fontId="108" fillId="281" borderId="19" xfId="0" applyFont="1" applyFill="1" applyBorder="1" applyAlignment="1">
      <alignment wrapText="1"/>
    </xf>
    <xf numFmtId="0" fontId="108" fillId="281" borderId="17" xfId="0" applyFont="1" applyFill="1" applyBorder="1" applyAlignment="1">
      <alignment wrapText="1"/>
    </xf>
    <xf numFmtId="0" fontId="108" fillId="282" borderId="19" xfId="0" applyFont="1" applyFill="1" applyBorder="1" applyAlignment="1">
      <alignment wrapText="1"/>
    </xf>
    <xf numFmtId="0" fontId="108" fillId="282" borderId="17" xfId="0" applyFont="1" applyFill="1" applyBorder="1" applyAlignment="1">
      <alignment wrapText="1"/>
    </xf>
    <xf numFmtId="0" fontId="93" fillId="272" borderId="18" xfId="0" applyFont="1" applyFill="1" applyBorder="1" applyAlignment="1">
      <alignment horizontal="center"/>
    </xf>
    <xf numFmtId="0" fontId="108" fillId="273" borderId="18" xfId="0" applyFont="1" applyFill="1" applyBorder="1" applyAlignment="1">
      <alignment wrapText="1"/>
    </xf>
    <xf numFmtId="0" fontId="108" fillId="274" borderId="18" xfId="0" applyFont="1" applyFill="1" applyBorder="1" applyAlignment="1">
      <alignment wrapText="1"/>
    </xf>
    <xf numFmtId="0" fontId="108" fillId="275" borderId="18" xfId="0" applyFont="1" applyFill="1" applyBorder="1" applyAlignment="1">
      <alignment wrapText="1"/>
    </xf>
    <xf numFmtId="0" fontId="108" fillId="276" borderId="18" xfId="0" applyFont="1" applyFill="1" applyBorder="1" applyAlignment="1">
      <alignment wrapText="1"/>
    </xf>
    <xf numFmtId="0" fontId="108" fillId="277" borderId="18" xfId="0" applyFont="1" applyFill="1" applyBorder="1" applyAlignment="1">
      <alignment wrapText="1"/>
    </xf>
    <xf numFmtId="0" fontId="108" fillId="278" borderId="18" xfId="0" applyFont="1" applyFill="1" applyBorder="1" applyAlignment="1">
      <alignment wrapText="1"/>
    </xf>
    <xf numFmtId="0" fontId="108" fillId="279" borderId="18" xfId="0" applyFont="1" applyFill="1" applyBorder="1" applyAlignment="1">
      <alignment wrapText="1"/>
    </xf>
    <xf numFmtId="0" fontId="108" fillId="280" borderId="18" xfId="0" applyFont="1" applyFill="1" applyBorder="1" applyAlignment="1">
      <alignment wrapText="1"/>
    </xf>
    <xf numFmtId="0" fontId="108" fillId="281" borderId="18" xfId="0" applyFont="1" applyFill="1" applyBorder="1" applyAlignment="1">
      <alignment wrapText="1"/>
    </xf>
    <xf numFmtId="0" fontId="108" fillId="282" borderId="18" xfId="0" applyFont="1" applyFill="1" applyBorder="1" applyAlignment="1">
      <alignment wrapText="1"/>
    </xf>
    <xf numFmtId="0" fontId="108" fillId="281" borderId="15" xfId="0" applyFont="1" applyFill="1" applyBorder="1" applyAlignment="1">
      <alignment wrapText="1"/>
    </xf>
    <xf numFmtId="0" fontId="108" fillId="282" borderId="12" xfId="0" applyFont="1" applyFill="1" applyBorder="1" applyAlignment="1">
      <alignment wrapText="1"/>
    </xf>
    <xf numFmtId="164" fontId="32" fillId="23" borderId="9" xfId="0" applyNumberFormat="1" applyFont="1" applyFill="1" applyBorder="1" applyAlignment="1">
      <alignment horizontal="center" vertical="center" wrapText="1"/>
    </xf>
    <xf numFmtId="164" fontId="32" fillId="80" borderId="9" xfId="0" applyNumberFormat="1" applyFont="1" applyFill="1" applyBorder="1" applyAlignment="1">
      <alignment horizontal="center" vertical="center" wrapText="1"/>
    </xf>
    <xf numFmtId="164" fontId="44" fillId="117" borderId="0" xfId="0" applyNumberFormat="1" applyFont="1" applyFill="1" applyAlignment="1">
      <alignment horizontal="left" vertical="center" wrapText="1"/>
    </xf>
    <xf numFmtId="164" fontId="44" fillId="118" borderId="0" xfId="0" applyNumberFormat="1" applyFont="1" applyFill="1" applyAlignment="1">
      <alignment horizontal="left" vertical="center" wrapText="1"/>
    </xf>
    <xf numFmtId="164" fontId="44" fillId="114" borderId="0" xfId="0" applyNumberFormat="1" applyFont="1" applyFill="1" applyAlignment="1">
      <alignment horizontal="left" vertical="center" wrapText="1"/>
    </xf>
    <xf numFmtId="164" fontId="44" fillId="115" borderId="0" xfId="0" applyNumberFormat="1" applyFont="1" applyFill="1" applyAlignment="1">
      <alignment horizontal="left" vertical="center" wrapText="1"/>
    </xf>
    <xf numFmtId="0" fontId="107" fillId="155" borderId="0" xfId="0" applyFont="1" applyFill="1" applyAlignment="1">
      <alignment horizontal="center"/>
    </xf>
    <xf numFmtId="0" fontId="228" fillId="174" borderId="0" xfId="0" applyFont="1" applyFill="1" applyAlignment="1">
      <alignment horizontal="center"/>
    </xf>
    <xf numFmtId="0" fontId="122" fillId="174" borderId="0" xfId="0" applyFont="1" applyFill="1" applyAlignment="1">
      <alignment horizontal="center"/>
    </xf>
    <xf numFmtId="0" fontId="93" fillId="155" borderId="0" xfId="0" applyFont="1" applyFill="1"/>
    <xf numFmtId="0" fontId="93" fillId="155" borderId="0" xfId="0" applyFont="1" applyFill="1" applyAlignment="1">
      <alignment wrapText="1"/>
    </xf>
    <xf numFmtId="0" fontId="93" fillId="176" borderId="0" xfId="0" applyFont="1" applyFill="1"/>
    <xf numFmtId="0" fontId="93" fillId="176" borderId="0" xfId="0" applyFont="1" applyFill="1" applyAlignment="1">
      <alignment wrapText="1"/>
    </xf>
    <xf numFmtId="0" fontId="134" fillId="190" borderId="0" xfId="0" applyFont="1" applyFill="1" applyAlignment="1">
      <alignment horizontal="left"/>
    </xf>
    <xf numFmtId="0" fontId="229" fillId="155" borderId="0" xfId="0" applyFont="1" applyFill="1" applyAlignment="1">
      <alignment horizontal="center"/>
    </xf>
    <xf numFmtId="0" fontId="128" fillId="155" borderId="0" xfId="0" applyFont="1" applyFill="1" applyAlignment="1">
      <alignment horizontal="center"/>
    </xf>
    <xf numFmtId="0" fontId="235" fillId="180" borderId="0" xfId="0" applyFont="1" applyFill="1" applyAlignment="1">
      <alignment horizontal="center"/>
    </xf>
    <xf numFmtId="0" fontId="133" fillId="180" borderId="0" xfId="0" applyFont="1" applyFill="1" applyAlignment="1">
      <alignment horizontal="center"/>
    </xf>
    <xf numFmtId="0" fontId="232" fillId="181" borderId="0" xfId="0" applyFont="1" applyFill="1" applyAlignment="1">
      <alignment horizontal="left"/>
    </xf>
    <xf numFmtId="0" fontId="93" fillId="181" borderId="0" xfId="0" applyFont="1" applyFill="1" applyAlignment="1">
      <alignment horizontal="left"/>
    </xf>
    <xf numFmtId="0" fontId="134" fillId="187" borderId="0" xfId="0" applyFont="1" applyFill="1" applyAlignment="1">
      <alignment horizontal="left"/>
    </xf>
    <xf numFmtId="0" fontId="93" fillId="183" borderId="0" xfId="0" applyFont="1" applyFill="1" applyAlignment="1">
      <alignment horizontal="left"/>
    </xf>
    <xf numFmtId="0" fontId="93" fillId="186" borderId="0" xfId="0" applyFont="1" applyFill="1" applyAlignment="1">
      <alignment horizontal="left"/>
    </xf>
    <xf numFmtId="0" fontId="134" fillId="178" borderId="0" xfId="0" applyFont="1" applyFill="1" applyAlignment="1">
      <alignment horizontal="left"/>
    </xf>
    <xf numFmtId="0" fontId="230" fillId="155" borderId="0" xfId="0" applyFont="1" applyFill="1" applyAlignment="1">
      <alignment horizontal="center"/>
    </xf>
    <xf numFmtId="0" fontId="110" fillId="155" borderId="0" xfId="0" applyFont="1" applyFill="1" applyAlignment="1">
      <alignment horizontal="center"/>
    </xf>
    <xf numFmtId="0" fontId="232" fillId="177" borderId="0" xfId="0" applyFont="1" applyFill="1" applyAlignment="1">
      <alignment horizontal="left"/>
    </xf>
    <xf numFmtId="0" fontId="93" fillId="177" borderId="0" xfId="0" applyFont="1" applyFill="1" applyAlignment="1">
      <alignment horizontal="left"/>
    </xf>
    <xf numFmtId="0" fontId="134" fillId="192" borderId="0" xfId="0" applyFont="1" applyFill="1" applyAlignment="1">
      <alignment horizontal="left"/>
    </xf>
    <xf numFmtId="0" fontId="93" fillId="184" borderId="0" xfId="0" applyFont="1" applyFill="1" applyAlignment="1">
      <alignment horizontal="left"/>
    </xf>
    <xf numFmtId="0" fontId="134" fillId="193" borderId="0" xfId="0" applyFont="1" applyFill="1" applyAlignment="1">
      <alignment horizontal="left"/>
    </xf>
    <xf numFmtId="0" fontId="232" fillId="185" borderId="0" xfId="0" applyFont="1" applyFill="1" applyAlignment="1">
      <alignment horizontal="left"/>
    </xf>
    <xf numFmtId="0" fontId="93" fillId="185" borderId="0" xfId="0" applyFont="1" applyFill="1" applyAlignment="1">
      <alignment horizontal="left"/>
    </xf>
    <xf numFmtId="0" fontId="134" fillId="194" borderId="0" xfId="0" applyFont="1" applyFill="1" applyAlignment="1">
      <alignment horizontal="left"/>
    </xf>
    <xf numFmtId="0" fontId="0" fillId="0" borderId="0" xfId="0"/>
    <xf numFmtId="0" fontId="123" fillId="174" borderId="0" xfId="0" applyFont="1" applyFill="1" applyAlignment="1">
      <alignment horizontal="center"/>
    </xf>
    <xf numFmtId="0" fontId="25" fillId="28" borderId="0" xfId="0" applyFont="1" applyFill="1" applyAlignment="1">
      <alignment horizontal="left" vertical="center" indent="1"/>
    </xf>
    <xf numFmtId="0" fontId="22" fillId="49" borderId="0" xfId="0" applyFont="1" applyFill="1" applyAlignment="1">
      <alignment horizontal="center" vertical="center"/>
    </xf>
    <xf numFmtId="0" fontId="10" fillId="5" borderId="0" xfId="0" applyFont="1" applyFill="1" applyAlignment="1">
      <alignment horizontal="left" vertical="center" indent="1"/>
    </xf>
    <xf numFmtId="0" fontId="26" fillId="55" borderId="0" xfId="0" applyFont="1" applyFill="1" applyAlignment="1">
      <alignment horizontal="center" vertical="center" wrapText="1"/>
    </xf>
    <xf numFmtId="0" fontId="10" fillId="66" borderId="0" xfId="0" applyFont="1" applyFill="1" applyAlignment="1">
      <alignment horizontal="left" vertical="center" indent="1"/>
    </xf>
    <xf numFmtId="0" fontId="10" fillId="11" borderId="0" xfId="0" applyFont="1" applyFill="1" applyAlignment="1">
      <alignment horizontal="left" vertical="center" indent="1"/>
    </xf>
    <xf numFmtId="0" fontId="10" fillId="63" borderId="0" xfId="0" applyFont="1" applyFill="1" applyAlignment="1">
      <alignment horizontal="left" vertical="center" indent="1"/>
    </xf>
    <xf numFmtId="0" fontId="10" fillId="57" borderId="0" xfId="0" applyFont="1" applyFill="1" applyAlignment="1">
      <alignment horizontal="left" vertical="center" indent="1"/>
    </xf>
    <xf numFmtId="0" fontId="23" fillId="55" borderId="0" xfId="0" applyFont="1" applyFill="1" applyAlignment="1">
      <alignment horizontal="center" vertical="center"/>
    </xf>
    <xf numFmtId="0" fontId="10" fillId="59" borderId="0" xfId="0" applyFont="1" applyFill="1" applyAlignment="1">
      <alignment horizontal="left" vertical="center" indent="1"/>
    </xf>
    <xf numFmtId="0" fontId="10" fillId="69" borderId="0" xfId="0" applyFont="1" applyFill="1" applyAlignment="1">
      <alignment horizontal="left" vertical="center" indent="1"/>
    </xf>
    <xf numFmtId="0" fontId="27" fillId="72" borderId="0" xfId="0" applyFont="1" applyFill="1" applyAlignment="1">
      <alignment horizontal="center" vertical="center"/>
    </xf>
    <xf numFmtId="0" fontId="28" fillId="78" borderId="0" xfId="0" applyFont="1" applyFill="1" applyAlignment="1">
      <alignment horizontal="left" vertical="center" indent="2"/>
    </xf>
    <xf numFmtId="0" fontId="30" fillId="9" borderId="0" xfId="0" applyFont="1" applyFill="1" applyAlignment="1">
      <alignment horizontal="center" vertical="center" wrapText="1"/>
    </xf>
    <xf numFmtId="0" fontId="28" fillId="75" borderId="0" xfId="0" applyFont="1" applyFill="1" applyAlignment="1">
      <alignment horizontal="left" vertical="center" indent="2"/>
    </xf>
    <xf numFmtId="0" fontId="28" fillId="73" borderId="0" xfId="0" applyFont="1" applyFill="1" applyAlignment="1">
      <alignment horizontal="left" vertical="center" indent="2"/>
    </xf>
    <xf numFmtId="0" fontId="11" fillId="9" borderId="0" xfId="0" applyFont="1" applyFill="1" applyAlignment="1">
      <alignment horizontal="center" vertical="center"/>
    </xf>
    <xf numFmtId="0" fontId="28" fillId="77" borderId="0" xfId="0" applyFont="1" applyFill="1" applyAlignment="1">
      <alignment horizontal="left" vertical="center" indent="2"/>
    </xf>
    <xf numFmtId="0" fontId="28" fillId="76" borderId="0" xfId="0" applyFont="1" applyFill="1" applyAlignment="1">
      <alignment horizontal="left" vertical="center" indent="2"/>
    </xf>
    <xf numFmtId="0" fontId="15" fillId="29" borderId="2" xfId="0" applyFont="1" applyFill="1" applyBorder="1" applyAlignment="1">
      <alignment horizontal="center" vertical="center"/>
    </xf>
    <xf numFmtId="0" fontId="0" fillId="0" borderId="5" xfId="0" applyBorder="1"/>
    <xf numFmtId="0" fontId="11" fillId="26" borderId="3" xfId="0" applyFont="1" applyFill="1" applyBorder="1" applyAlignment="1">
      <alignment horizontal="left" vertical="center"/>
    </xf>
    <xf numFmtId="0" fontId="0" fillId="0" borderId="6" xfId="0" applyBorder="1"/>
    <xf numFmtId="0" fontId="0" fillId="0" borderId="7" xfId="0" applyBorder="1"/>
    <xf numFmtId="0" fontId="40" fillId="81" borderId="0" xfId="0" applyFont="1" applyFill="1" applyAlignment="1">
      <alignment horizontal="left" vertical="center"/>
    </xf>
    <xf numFmtId="0" fontId="18" fillId="49" borderId="0" xfId="0" applyFont="1" applyFill="1" applyAlignment="1">
      <alignment horizontal="left" vertical="center"/>
    </xf>
    <xf numFmtId="0" fontId="10" fillId="36" borderId="2" xfId="0" applyFont="1" applyFill="1" applyBorder="1" applyAlignment="1">
      <alignment horizontal="left" vertical="center"/>
    </xf>
    <xf numFmtId="0" fontId="0" fillId="0" borderId="4" xfId="0" applyBorder="1"/>
    <xf numFmtId="0" fontId="15" fillId="44" borderId="2" xfId="0" applyFont="1" applyFill="1" applyBorder="1" applyAlignment="1">
      <alignment horizontal="center" vertical="center"/>
    </xf>
    <xf numFmtId="0" fontId="15" fillId="54" borderId="2" xfId="0" applyFont="1" applyFill="1" applyBorder="1" applyAlignment="1">
      <alignment horizontal="center" vertical="center"/>
    </xf>
    <xf numFmtId="0" fontId="15" fillId="53" borderId="2" xfId="0" applyFont="1" applyFill="1" applyBorder="1" applyAlignment="1">
      <alignment horizontal="center" vertical="center"/>
    </xf>
    <xf numFmtId="0" fontId="10" fillId="49" borderId="0" xfId="0" applyFont="1" applyFill="1" applyAlignment="1">
      <alignment horizontal="left" vertical="center"/>
    </xf>
    <xf numFmtId="0" fontId="11" fillId="26" borderId="0" xfId="0" applyFont="1" applyFill="1" applyAlignment="1">
      <alignment horizontal="left" vertical="center"/>
    </xf>
    <xf numFmtId="0" fontId="16" fillId="48" borderId="0" xfId="0" applyFont="1" applyFill="1" applyAlignment="1">
      <alignment horizontal="center" vertical="center"/>
    </xf>
    <xf numFmtId="0" fontId="15" fillId="38" borderId="2" xfId="0" applyFont="1" applyFill="1" applyBorder="1" applyAlignment="1">
      <alignment horizontal="center" vertical="center"/>
    </xf>
    <xf numFmtId="0" fontId="53" fillId="113" borderId="0" xfId="0" applyFont="1" applyFill="1" applyAlignment="1">
      <alignment horizontal="left" vertical="center"/>
    </xf>
    <xf numFmtId="0" fontId="15" fillId="35" borderId="2" xfId="0" applyFont="1" applyFill="1" applyBorder="1" applyAlignment="1">
      <alignment horizontal="center" vertical="center"/>
    </xf>
    <xf numFmtId="0" fontId="53" fillId="116" borderId="0" xfId="0" applyFont="1" applyFill="1" applyAlignment="1">
      <alignment horizontal="left" vertical="center"/>
    </xf>
    <xf numFmtId="0" fontId="70" fillId="0" borderId="0" xfId="0" applyFont="1" applyAlignment="1">
      <alignment horizontal="center" vertical="center" wrapText="1"/>
    </xf>
    <xf numFmtId="0" fontId="71" fillId="0" borderId="0" xfId="0" applyFont="1"/>
    <xf numFmtId="0" fontId="41" fillId="81" borderId="0" xfId="0" applyFont="1" applyFill="1" applyAlignment="1">
      <alignment horizontal="center" vertical="center" wrapText="1"/>
    </xf>
    <xf numFmtId="0" fontId="17" fillId="29" borderId="0" xfId="0" applyFont="1" applyFill="1" applyAlignment="1">
      <alignment horizontal="center" vertical="center"/>
    </xf>
    <xf numFmtId="0" fontId="10" fillId="51" borderId="0" xfId="0" applyFont="1" applyFill="1" applyAlignment="1">
      <alignment horizontal="left" vertical="center"/>
    </xf>
    <xf numFmtId="0" fontId="15" fillId="41" borderId="2" xfId="0" applyFont="1" applyFill="1" applyBorder="1" applyAlignment="1">
      <alignment horizontal="center" vertical="center"/>
    </xf>
    <xf numFmtId="0" fontId="10" fillId="45" borderId="2" xfId="0" applyFont="1" applyFill="1" applyBorder="1" applyAlignment="1">
      <alignment horizontal="left" vertical="center"/>
    </xf>
    <xf numFmtId="0" fontId="15" fillId="47" borderId="2" xfId="0" applyFont="1" applyFill="1" applyBorder="1" applyAlignment="1">
      <alignment horizontal="center" vertical="center"/>
    </xf>
    <xf numFmtId="0" fontId="10" fillId="39" borderId="2" xfId="0" applyFont="1" applyFill="1" applyBorder="1" applyAlignment="1">
      <alignment horizontal="left" vertical="center"/>
    </xf>
    <xf numFmtId="0" fontId="10" fillId="42" borderId="2" xfId="0" applyFont="1" applyFill="1" applyBorder="1" applyAlignment="1">
      <alignment horizontal="left" vertical="center"/>
    </xf>
    <xf numFmtId="0" fontId="10" fillId="50" borderId="0" xfId="0" applyFont="1" applyFill="1" applyAlignment="1">
      <alignment horizontal="left" vertical="center"/>
    </xf>
    <xf numFmtId="0" fontId="10" fillId="31" borderId="2" xfId="0" applyFont="1" applyFill="1" applyBorder="1" applyAlignment="1">
      <alignment horizontal="left" vertical="center"/>
    </xf>
    <xf numFmtId="0" fontId="40" fillId="0" borderId="0" xfId="0" applyFont="1" applyAlignment="1">
      <alignment horizontal="center" vertical="center" wrapText="1"/>
    </xf>
    <xf numFmtId="0" fontId="10" fillId="33" borderId="2" xfId="0" applyFont="1" applyFill="1" applyBorder="1" applyAlignment="1">
      <alignment horizontal="left" vertical="center"/>
    </xf>
    <xf numFmtId="0" fontId="9" fillId="30" borderId="0" xfId="0" applyFont="1" applyFill="1" applyAlignment="1">
      <alignment horizontal="center" vertical="center"/>
    </xf>
    <xf numFmtId="0" fontId="220" fillId="271" borderId="0" xfId="0" applyFont="1" applyFill="1" applyAlignment="1">
      <alignment horizontal="center"/>
    </xf>
    <xf numFmtId="0" fontId="28" fillId="113" borderId="0" xfId="0" applyFont="1" applyFill="1" applyAlignment="1">
      <alignment horizontal="left" vertical="center"/>
    </xf>
    <xf numFmtId="0" fontId="28" fillId="116" borderId="0" xfId="0" applyFont="1" applyFill="1" applyAlignment="1">
      <alignment horizontal="left" vertical="center"/>
    </xf>
    <xf numFmtId="0" fontId="220" fillId="248" borderId="0" xfId="0" applyFont="1" applyFill="1" applyAlignment="1">
      <alignment horizontal="center" vertical="center"/>
    </xf>
    <xf numFmtId="0" fontId="221" fillId="252" borderId="0" xfId="0" applyFont="1" applyFill="1" applyAlignment="1">
      <alignment horizontal="center" vertical="center"/>
    </xf>
    <xf numFmtId="0" fontId="222" fillId="253" borderId="0" xfId="0" applyFont="1" applyFill="1" applyAlignment="1">
      <alignment horizontal="center" vertical="center"/>
    </xf>
    <xf numFmtId="0" fontId="222" fillId="258" borderId="0" xfId="0" applyFont="1" applyFill="1" applyAlignment="1">
      <alignment horizontal="center" vertical="center"/>
    </xf>
    <xf numFmtId="0" fontId="224" fillId="258" borderId="0" xfId="0" applyFont="1" applyFill="1" applyAlignment="1">
      <alignment horizontal="center" vertical="center"/>
    </xf>
    <xf numFmtId="0" fontId="222" fillId="259" borderId="0" xfId="0" applyFont="1" applyFill="1" applyAlignment="1">
      <alignment horizontal="center" vertical="center"/>
    </xf>
    <xf numFmtId="0" fontId="224" fillId="259" borderId="0" xfId="0" applyFont="1" applyFill="1" applyAlignment="1">
      <alignment horizontal="center" vertical="center"/>
    </xf>
    <xf numFmtId="0" fontId="222" fillId="254" borderId="0" xfId="0" applyFont="1" applyFill="1" applyAlignment="1">
      <alignment horizontal="center" vertical="center"/>
    </xf>
    <xf numFmtId="0" fontId="224" fillId="254" borderId="0" xfId="0" applyFont="1" applyFill="1" applyAlignment="1">
      <alignment horizontal="center" vertical="center"/>
    </xf>
    <xf numFmtId="0" fontId="222" fillId="255" borderId="0" xfId="0" applyFont="1" applyFill="1" applyAlignment="1">
      <alignment horizontal="center" vertical="center"/>
    </xf>
    <xf numFmtId="0" fontId="224" fillId="255" borderId="0" xfId="0" applyFont="1" applyFill="1" applyAlignment="1">
      <alignment horizontal="center" vertical="center"/>
    </xf>
    <xf numFmtId="0" fontId="222" fillId="256" borderId="0" xfId="0" applyFont="1" applyFill="1" applyAlignment="1">
      <alignment horizontal="center" vertical="center"/>
    </xf>
    <xf numFmtId="0" fontId="224" fillId="256" borderId="0" xfId="0" applyFont="1" applyFill="1" applyAlignment="1">
      <alignment horizontal="center" vertical="center"/>
    </xf>
    <xf numFmtId="0" fontId="222" fillId="257" borderId="0" xfId="0" applyFont="1" applyFill="1" applyAlignment="1">
      <alignment horizontal="center" vertical="center"/>
    </xf>
    <xf numFmtId="0" fontId="224" fillId="257" borderId="0" xfId="0" applyFont="1" applyFill="1" applyAlignment="1">
      <alignment horizontal="center" vertical="center"/>
    </xf>
    <xf numFmtId="0" fontId="93" fillId="261" borderId="0" xfId="0" applyFont="1" applyFill="1" applyAlignment="1">
      <alignment horizontal="center"/>
    </xf>
    <xf numFmtId="0" fontId="93" fillId="261" borderId="0" xfId="0" applyFont="1" applyFill="1"/>
    <xf numFmtId="0" fontId="93" fillId="261" borderId="0" xfId="0" applyFont="1" applyFill="1" applyAlignment="1">
      <alignment wrapText="1"/>
    </xf>
    <xf numFmtId="0" fontId="225" fillId="261" borderId="0" xfId="0" applyFont="1" applyFill="1" applyAlignment="1">
      <alignment horizontal="center"/>
    </xf>
    <xf numFmtId="0" fontId="93" fillId="262" borderId="0" xfId="0" applyFont="1" applyFill="1" applyAlignment="1">
      <alignment horizontal="center"/>
    </xf>
    <xf numFmtId="0" fontId="93" fillId="262" borderId="0" xfId="0" applyFont="1" applyFill="1"/>
    <xf numFmtId="0" fontId="93" fillId="262" borderId="0" xfId="0" applyFont="1" applyFill="1" applyAlignment="1">
      <alignment wrapText="1"/>
    </xf>
    <xf numFmtId="0" fontId="225" fillId="262" borderId="0" xfId="0" applyFont="1" applyFill="1" applyAlignment="1">
      <alignment horizontal="center"/>
    </xf>
    <xf numFmtId="0" fontId="93" fillId="263" borderId="0" xfId="0" applyFont="1" applyFill="1" applyAlignment="1">
      <alignment horizontal="center"/>
    </xf>
    <xf numFmtId="0" fontId="93" fillId="263" borderId="0" xfId="0" applyFont="1" applyFill="1"/>
    <xf numFmtId="0" fontId="93" fillId="263" borderId="0" xfId="0" applyFont="1" applyFill="1" applyAlignment="1">
      <alignment wrapText="1"/>
    </xf>
    <xf numFmtId="0" fontId="225" fillId="263" borderId="0" xfId="0" applyFont="1" applyFill="1" applyAlignment="1">
      <alignment horizontal="center"/>
    </xf>
    <xf numFmtId="0" fontId="107" fillId="248" borderId="0" xfId="0" applyFont="1" applyFill="1" applyAlignment="1">
      <alignment horizontal="center" vertical="center"/>
    </xf>
    <xf numFmtId="0" fontId="0" fillId="248" borderId="0" xfId="0" applyFill="1"/>
    <xf numFmtId="0" fontId="219" fillId="250" borderId="0" xfId="0" applyFont="1" applyFill="1" applyAlignment="1">
      <alignment horizontal="center" vertical="center"/>
    </xf>
    <xf numFmtId="0" fontId="0" fillId="250" borderId="0" xfId="0" applyFill="1"/>
    <xf numFmtId="0" fontId="93" fillId="253" borderId="0" xfId="0" applyFont="1" applyFill="1" applyAlignment="1">
      <alignment horizontal="center"/>
    </xf>
    <xf numFmtId="0" fontId="93" fillId="253" borderId="0" xfId="0" applyFont="1" applyFill="1"/>
    <xf numFmtId="0" fontId="93" fillId="253" borderId="0" xfId="0" applyFont="1" applyFill="1" applyAlignment="1">
      <alignment wrapText="1"/>
    </xf>
    <xf numFmtId="0" fontId="225" fillId="253" borderId="0" xfId="0" applyFont="1" applyFill="1" applyAlignment="1">
      <alignment horizontal="center"/>
    </xf>
    <xf numFmtId="0" fontId="93" fillId="255" borderId="0" xfId="0" applyFont="1" applyFill="1" applyAlignment="1">
      <alignment horizontal="center"/>
    </xf>
    <xf numFmtId="0" fontId="93" fillId="255" borderId="0" xfId="0" applyFont="1" applyFill="1"/>
    <xf numFmtId="0" fontId="93" fillId="255" borderId="0" xfId="0" applyFont="1" applyFill="1" applyAlignment="1">
      <alignment wrapText="1"/>
    </xf>
    <xf numFmtId="0" fontId="225" fillId="255" borderId="0" xfId="0" applyFont="1" applyFill="1" applyAlignment="1">
      <alignment horizontal="center"/>
    </xf>
    <xf numFmtId="0" fontId="93" fillId="260" borderId="0" xfId="0" applyFont="1" applyFill="1" applyAlignment="1">
      <alignment horizontal="center"/>
    </xf>
    <xf numFmtId="0" fontId="93" fillId="260" borderId="0" xfId="0" applyFont="1" applyFill="1"/>
    <xf numFmtId="0" fontId="93" fillId="260" borderId="0" xfId="0" applyFont="1" applyFill="1" applyAlignment="1">
      <alignment wrapText="1"/>
    </xf>
    <xf numFmtId="0" fontId="225" fillId="260" borderId="0" xfId="0" applyFont="1" applyFill="1" applyAlignment="1">
      <alignment horizontal="center"/>
    </xf>
    <xf numFmtId="0" fontId="93" fillId="254" borderId="0" xfId="0" applyFont="1" applyFill="1" applyAlignment="1">
      <alignment horizontal="center"/>
    </xf>
    <xf numFmtId="0" fontId="93" fillId="254" borderId="0" xfId="0" applyFont="1" applyFill="1"/>
    <xf numFmtId="0" fontId="93" fillId="254" borderId="0" xfId="0" applyFont="1" applyFill="1" applyAlignment="1">
      <alignment wrapText="1"/>
    </xf>
    <xf numFmtId="0" fontId="225" fillId="254" borderId="0" xfId="0" applyFont="1" applyFill="1" applyAlignment="1">
      <alignment horizontal="center"/>
    </xf>
    <xf numFmtId="0" fontId="39" fillId="81" borderId="0" xfId="0" applyFont="1" applyFill="1" applyAlignment="1">
      <alignment horizontal="center" vertical="center" wrapText="1"/>
    </xf>
    <xf numFmtId="0" fontId="28" fillId="49" borderId="0" xfId="0" applyFont="1" applyFill="1" applyAlignment="1">
      <alignment horizontal="left" vertical="center"/>
    </xf>
    <xf numFmtId="0" fontId="28" fillId="94" borderId="0" xfId="0" applyFont="1" applyFill="1" applyAlignment="1">
      <alignment horizontal="left" vertical="center"/>
    </xf>
    <xf numFmtId="0" fontId="28" fillId="91" borderId="0" xfId="0" applyFont="1" applyFill="1" applyAlignment="1">
      <alignment horizontal="left" vertical="center"/>
    </xf>
    <xf numFmtId="0" fontId="28" fillId="89" borderId="0" xfId="0" applyFont="1" applyFill="1" applyAlignment="1">
      <alignment horizontal="left" vertical="center"/>
    </xf>
    <xf numFmtId="0" fontId="28" fillId="96" borderId="0" xfId="0" applyFont="1" applyFill="1" applyAlignment="1">
      <alignment horizontal="left" vertical="center"/>
    </xf>
    <xf numFmtId="0" fontId="176" fillId="0" borderId="0" xfId="0" applyFont="1" applyAlignment="1">
      <alignment horizontal="center" vertical="center" wrapText="1"/>
    </xf>
    <xf numFmtId="0" fontId="28" fillId="239" borderId="0" xfId="0" applyFont="1" applyFill="1" applyAlignment="1">
      <alignment horizontal="center" vertical="center"/>
    </xf>
    <xf numFmtId="0" fontId="110" fillId="239" borderId="0" xfId="0" applyFont="1" applyFill="1" applyAlignment="1">
      <alignment wrapText="1"/>
    </xf>
    <xf numFmtId="0" fontId="93" fillId="239" borderId="0" xfId="0" applyFont="1" applyFill="1"/>
    <xf numFmtId="0" fontId="93" fillId="239" borderId="0" xfId="0" applyFont="1" applyFill="1" applyAlignment="1">
      <alignment wrapText="1"/>
    </xf>
    <xf numFmtId="0" fontId="157" fillId="239" borderId="0" xfId="0" applyFont="1" applyFill="1"/>
    <xf numFmtId="0" fontId="212" fillId="239" borderId="0" xfId="0" applyFont="1" applyFill="1"/>
    <xf numFmtId="0" fontId="28" fillId="215" borderId="0" xfId="0" applyFont="1" applyFill="1" applyAlignment="1">
      <alignment horizontal="center" vertical="center"/>
    </xf>
    <xf numFmtId="0" fontId="110" fillId="215" borderId="0" xfId="0" applyFont="1" applyFill="1" applyAlignment="1">
      <alignment wrapText="1"/>
    </xf>
    <xf numFmtId="0" fontId="93" fillId="215" borderId="0" xfId="0" applyFont="1" applyFill="1"/>
    <xf numFmtId="0" fontId="93" fillId="215" borderId="0" xfId="0" applyFont="1" applyFill="1" applyAlignment="1">
      <alignment wrapText="1"/>
    </xf>
    <xf numFmtId="0" fontId="157" fillId="215" borderId="0" xfId="0" applyFont="1" applyFill="1"/>
    <xf numFmtId="0" fontId="212" fillId="215" borderId="0" xfId="0" applyFont="1" applyFill="1"/>
    <xf numFmtId="0" fontId="39" fillId="124" borderId="0" xfId="0" applyFont="1" applyFill="1" applyAlignment="1">
      <alignment horizontal="center" vertical="center" wrapText="1"/>
    </xf>
    <xf numFmtId="0" fontId="213" fillId="133" borderId="0" xfId="0" applyFont="1" applyFill="1" applyAlignment="1">
      <alignment horizontal="center" vertical="center" wrapText="1"/>
    </xf>
    <xf numFmtId="0" fontId="43" fillId="133" borderId="0" xfId="0" applyFont="1" applyFill="1" applyAlignment="1">
      <alignment horizontal="left"/>
    </xf>
    <xf numFmtId="0" fontId="215" fillId="133" borderId="0" xfId="0" applyFont="1" applyFill="1" applyAlignment="1">
      <alignment horizontal="left"/>
    </xf>
    <xf numFmtId="0" fontId="205" fillId="133" borderId="0" xfId="0" applyFont="1" applyFill="1" applyAlignment="1">
      <alignment horizontal="center"/>
    </xf>
    <xf numFmtId="0" fontId="18" fillId="133" borderId="0" xfId="0" applyFont="1" applyFill="1" applyAlignment="1">
      <alignment horizontal="center"/>
    </xf>
    <xf numFmtId="0" fontId="184" fillId="133" borderId="0" xfId="0" applyFont="1" applyFill="1" applyAlignment="1">
      <alignment horizontal="center"/>
    </xf>
    <xf numFmtId="0" fontId="214" fillId="133" borderId="0" xfId="0" applyFont="1" applyFill="1" applyAlignment="1">
      <alignment horizontal="center"/>
    </xf>
    <xf numFmtId="0" fontId="216" fillId="133" borderId="0" xfId="0" applyFont="1" applyFill="1" applyAlignment="1">
      <alignment horizontal="center"/>
    </xf>
    <xf numFmtId="0" fontId="18" fillId="133" borderId="0" xfId="0" applyFont="1" applyFill="1" applyAlignment="1">
      <alignment horizontal="left"/>
    </xf>
    <xf numFmtId="0" fontId="217" fillId="133" borderId="0" xfId="0" applyFont="1" applyFill="1" applyAlignment="1">
      <alignment horizontal="center"/>
    </xf>
    <xf numFmtId="0" fontId="213" fillId="133" borderId="0" xfId="0" applyFont="1" applyFill="1" applyAlignment="1">
      <alignment horizontal="left"/>
    </xf>
    <xf numFmtId="0" fontId="28" fillId="216" borderId="0" xfId="0" applyFont="1" applyFill="1" applyAlignment="1">
      <alignment horizontal="center" vertical="center"/>
    </xf>
    <xf numFmtId="0" fontId="110" fillId="216" borderId="0" xfId="0" applyFont="1" applyFill="1" applyAlignment="1">
      <alignment wrapText="1"/>
    </xf>
    <xf numFmtId="0" fontId="93" fillId="216" borderId="0" xfId="0" applyFont="1" applyFill="1"/>
    <xf numFmtId="0" fontId="93" fillId="216" borderId="0" xfId="0" applyFont="1" applyFill="1" applyAlignment="1">
      <alignment wrapText="1"/>
    </xf>
    <xf numFmtId="0" fontId="157" fillId="216" borderId="0" xfId="0" applyFont="1" applyFill="1"/>
    <xf numFmtId="0" fontId="212" fillId="216" borderId="0" xfId="0" applyFont="1" applyFill="1"/>
    <xf numFmtId="0" fontId="28" fillId="218" borderId="0" xfId="0" applyFont="1" applyFill="1" applyAlignment="1">
      <alignment horizontal="center" vertical="center"/>
    </xf>
    <xf numFmtId="0" fontId="110" fillId="218" borderId="0" xfId="0" applyFont="1" applyFill="1" applyAlignment="1">
      <alignment wrapText="1"/>
    </xf>
    <xf numFmtId="0" fontId="93" fillId="218" borderId="0" xfId="0" applyFont="1" applyFill="1"/>
    <xf numFmtId="0" fontId="93" fillId="218" borderId="0" xfId="0" applyFont="1" applyFill="1" applyAlignment="1">
      <alignment wrapText="1"/>
    </xf>
    <xf numFmtId="0" fontId="157" fillId="218" borderId="0" xfId="0" applyFont="1" applyFill="1"/>
    <xf numFmtId="0" fontId="212" fillId="218" borderId="0" xfId="0" applyFont="1" applyFill="1"/>
    <xf numFmtId="0" fontId="28" fillId="217" borderId="0" xfId="0" applyFont="1" applyFill="1" applyAlignment="1">
      <alignment horizontal="center" vertical="center"/>
    </xf>
    <xf numFmtId="0" fontId="110" fillId="217" borderId="0" xfId="0" applyFont="1" applyFill="1" applyAlignment="1">
      <alignment wrapText="1"/>
    </xf>
    <xf numFmtId="0" fontId="93" fillId="217" borderId="0" xfId="0" applyFont="1" applyFill="1"/>
    <xf numFmtId="0" fontId="93" fillId="217" borderId="0" xfId="0" applyFont="1" applyFill="1" applyAlignment="1">
      <alignment wrapText="1"/>
    </xf>
    <xf numFmtId="0" fontId="157" fillId="217" borderId="0" xfId="0" applyFont="1" applyFill="1"/>
    <xf numFmtId="0" fontId="212" fillId="217" borderId="0" xfId="0" applyFont="1" applyFill="1"/>
    <xf numFmtId="0" fontId="28" fillId="238" borderId="0" xfId="0" applyFont="1" applyFill="1" applyAlignment="1">
      <alignment horizontal="center" vertical="center"/>
    </xf>
    <xf numFmtId="0" fontId="110" fillId="238" borderId="0" xfId="0" applyFont="1" applyFill="1" applyAlignment="1">
      <alignment wrapText="1"/>
    </xf>
    <xf numFmtId="0" fontId="93" fillId="238" borderId="0" xfId="0" applyFont="1" applyFill="1"/>
    <xf numFmtId="0" fontId="93" fillId="238" borderId="0" xfId="0" applyFont="1" applyFill="1" applyAlignment="1">
      <alignment wrapText="1"/>
    </xf>
    <xf numFmtId="0" fontId="157" fillId="238" borderId="0" xfId="0" applyFont="1" applyFill="1"/>
    <xf numFmtId="0" fontId="212" fillId="238" borderId="0" xfId="0" applyFont="1" applyFill="1"/>
    <xf numFmtId="0" fontId="28" fillId="213" borderId="0" xfId="0" applyFont="1" applyFill="1" applyAlignment="1">
      <alignment horizontal="left" vertical="center"/>
    </xf>
    <xf numFmtId="0" fontId="93" fillId="213" borderId="0" xfId="0" applyFont="1" applyFill="1"/>
    <xf numFmtId="0" fontId="28" fillId="101" borderId="0" xfId="0" applyFont="1" applyFill="1" applyAlignment="1">
      <alignment horizontal="left" vertical="center"/>
    </xf>
    <xf numFmtId="0" fontId="39" fillId="98" borderId="0" xfId="0" applyFont="1" applyFill="1" applyAlignment="1">
      <alignment horizontal="center" vertical="center" wrapText="1"/>
    </xf>
    <xf numFmtId="0" fontId="28" fillId="110" borderId="0" xfId="0" applyFont="1" applyFill="1" applyAlignment="1">
      <alignment horizontal="left" vertical="center"/>
    </xf>
    <xf numFmtId="0" fontId="28" fillId="107" borderId="0" xfId="0" applyFont="1" applyFill="1" applyAlignment="1">
      <alignment horizontal="left" vertical="center"/>
    </xf>
    <xf numFmtId="0" fontId="28" fillId="99" borderId="0" xfId="0" applyFont="1" applyFill="1" applyAlignment="1">
      <alignment horizontal="left" vertical="center"/>
    </xf>
    <xf numFmtId="0" fontId="28" fillId="104" borderId="0" xfId="0" applyFont="1" applyFill="1" applyAlignment="1">
      <alignment horizontal="left" vertical="center"/>
    </xf>
    <xf numFmtId="0" fontId="112" fillId="155" borderId="0" xfId="0" applyFont="1" applyFill="1" applyAlignment="1">
      <alignment horizontal="center" wrapText="1"/>
    </xf>
    <xf numFmtId="0" fontId="118" fillId="155" borderId="0" xfId="0" applyFont="1" applyFill="1" applyAlignment="1">
      <alignment wrapText="1"/>
    </xf>
    <xf numFmtId="0" fontId="112" fillId="155" borderId="0" xfId="0" applyFont="1" applyFill="1" applyAlignment="1">
      <alignment wrapText="1"/>
    </xf>
    <xf numFmtId="0" fontId="117" fillId="0" borderId="0" xfId="0" applyFont="1" applyAlignment="1">
      <alignment horizontal="center"/>
    </xf>
    <xf numFmtId="0" fontId="93" fillId="123" borderId="0" xfId="0" applyFont="1" applyFill="1" applyAlignment="1">
      <alignment horizontal="left"/>
    </xf>
    <xf numFmtId="0" fontId="112" fillId="158" borderId="0" xfId="0" applyFont="1" applyFill="1" applyAlignment="1">
      <alignment horizontal="center" wrapText="1"/>
    </xf>
    <xf numFmtId="0" fontId="118" fillId="158" borderId="0" xfId="0" applyFont="1" applyFill="1" applyAlignment="1">
      <alignment horizontal="left" wrapText="1"/>
    </xf>
    <xf numFmtId="0" fontId="112" fillId="158" borderId="0" xfId="0" applyFont="1" applyFill="1" applyAlignment="1">
      <alignment horizontal="left" wrapText="1"/>
    </xf>
    <xf numFmtId="0" fontId="112" fillId="161" borderId="0" xfId="0" applyFont="1" applyFill="1" applyAlignment="1">
      <alignment horizontal="center" wrapText="1"/>
    </xf>
    <xf numFmtId="0" fontId="118" fillId="161" borderId="0" xfId="0" applyFont="1" applyFill="1" applyAlignment="1">
      <alignment horizontal="left" wrapText="1"/>
    </xf>
    <xf numFmtId="0" fontId="112" fillId="161" borderId="0" xfId="0" applyFont="1" applyFill="1" applyAlignment="1">
      <alignment horizontal="left" wrapText="1"/>
    </xf>
    <xf numFmtId="0" fontId="112" fillId="163" borderId="0" xfId="0" applyFont="1" applyFill="1" applyAlignment="1">
      <alignment horizontal="center" wrapText="1"/>
    </xf>
    <xf numFmtId="0" fontId="118" fillId="163" borderId="0" xfId="0" applyFont="1" applyFill="1" applyAlignment="1">
      <alignment horizontal="left" wrapText="1"/>
    </xf>
    <xf numFmtId="0" fontId="112" fillId="163" borderId="0" xfId="0" applyFont="1" applyFill="1" applyAlignment="1">
      <alignment horizontal="left" wrapText="1"/>
    </xf>
    <xf numFmtId="0" fontId="112" fillId="123" borderId="0" xfId="0" applyFont="1" applyFill="1" applyAlignment="1">
      <alignment horizontal="center" wrapText="1"/>
    </xf>
    <xf numFmtId="0" fontId="118" fillId="123" borderId="0" xfId="0" applyFont="1" applyFill="1" applyAlignment="1">
      <alignment horizontal="left" wrapText="1"/>
    </xf>
    <xf numFmtId="0" fontId="112" fillId="123" borderId="0" xfId="0" applyFont="1" applyFill="1" applyAlignment="1">
      <alignment horizontal="left" wrapText="1"/>
    </xf>
    <xf numFmtId="0" fontId="112" fillId="166" borderId="0" xfId="0" applyFont="1" applyFill="1" applyAlignment="1">
      <alignment horizontal="center" wrapText="1"/>
    </xf>
    <xf numFmtId="0" fontId="118" fillId="166" borderId="0" xfId="0" applyFont="1" applyFill="1" applyAlignment="1">
      <alignment horizontal="left" wrapText="1"/>
    </xf>
    <xf numFmtId="0" fontId="112" fillId="166" borderId="0" xfId="0" applyFont="1" applyFill="1" applyAlignment="1">
      <alignment horizontal="left" wrapText="1"/>
    </xf>
    <xf numFmtId="0" fontId="126" fillId="0" borderId="0" xfId="0" applyFont="1"/>
    <xf numFmtId="0" fontId="120" fillId="123" borderId="0" xfId="0" applyFont="1" applyFill="1" applyAlignment="1">
      <alignment horizontal="center" vertical="center" wrapText="1"/>
    </xf>
    <xf numFmtId="0" fontId="107" fillId="123" borderId="0" xfId="0" applyFont="1" applyFill="1" applyAlignment="1">
      <alignment horizontal="center"/>
    </xf>
    <xf numFmtId="0" fontId="28" fillId="217" borderId="0" xfId="0" applyFont="1" applyFill="1"/>
    <xf numFmtId="0" fontId="28" fillId="217" borderId="0" xfId="0" applyFont="1" applyFill="1" applyAlignment="1">
      <alignment horizontal="center"/>
    </xf>
    <xf numFmtId="0" fontId="28" fillId="217" borderId="0" xfId="0" applyFont="1" applyFill="1" applyAlignment="1">
      <alignment wrapText="1"/>
    </xf>
    <xf numFmtId="0" fontId="28" fillId="216" borderId="0" xfId="0" applyFont="1" applyFill="1"/>
    <xf numFmtId="0" fontId="28" fillId="216" borderId="0" xfId="0" applyFont="1" applyFill="1" applyAlignment="1">
      <alignment horizontal="center"/>
    </xf>
    <xf numFmtId="0" fontId="28" fillId="216" borderId="0" xfId="0" applyFont="1" applyFill="1" applyAlignment="1">
      <alignment wrapText="1"/>
    </xf>
    <xf numFmtId="0" fontId="132" fillId="123" borderId="0" xfId="0" applyFont="1" applyFill="1" applyAlignment="1">
      <alignment horizontal="center" vertical="center" wrapText="1"/>
    </xf>
    <xf numFmtId="0" fontId="28" fillId="123" borderId="0" xfId="0" applyFont="1" applyFill="1" applyAlignment="1">
      <alignment horizontal="center"/>
    </xf>
    <xf numFmtId="0" fontId="158" fillId="212" borderId="0" xfId="0" applyFont="1" applyFill="1" applyAlignment="1">
      <alignment horizontal="center" vertical="center" wrapText="1"/>
    </xf>
    <xf numFmtId="0" fontId="159" fillId="212" borderId="0" xfId="0" applyFont="1" applyFill="1" applyAlignment="1">
      <alignment horizontal="center"/>
    </xf>
    <xf numFmtId="0" fontId="28" fillId="238" borderId="0" xfId="0" applyFont="1" applyFill="1"/>
    <xf numFmtId="0" fontId="28" fillId="238" borderId="0" xfId="0" applyFont="1" applyFill="1" applyAlignment="1">
      <alignment horizontal="center"/>
    </xf>
    <xf numFmtId="0" fontId="28" fillId="238" borderId="0" xfId="0" applyFont="1" applyFill="1" applyAlignment="1">
      <alignment wrapText="1"/>
    </xf>
    <xf numFmtId="0" fontId="28" fillId="215" borderId="0" xfId="0" applyFont="1" applyFill="1"/>
    <xf numFmtId="0" fontId="28" fillId="215" borderId="0" xfId="0" applyFont="1" applyFill="1" applyAlignment="1">
      <alignment horizontal="center"/>
    </xf>
    <xf numFmtId="0" fontId="28" fillId="215" borderId="0" xfId="0" applyFont="1" applyFill="1" applyAlignment="1">
      <alignment wrapText="1"/>
    </xf>
    <xf numFmtId="0" fontId="28" fillId="218" borderId="0" xfId="0" applyFont="1" applyFill="1"/>
    <xf numFmtId="0" fontId="28" fillId="218" borderId="0" xfId="0" applyFont="1" applyFill="1" applyAlignment="1">
      <alignment horizontal="center"/>
    </xf>
    <xf numFmtId="0" fontId="28" fillId="218" borderId="0" xfId="0" applyFont="1" applyFill="1" applyAlignment="1">
      <alignment wrapText="1"/>
    </xf>
    <xf numFmtId="0" fontId="28" fillId="239" borderId="0" xfId="0" applyFont="1" applyFill="1"/>
    <xf numFmtId="0" fontId="28" fillId="239" borderId="0" xfId="0" applyFont="1" applyFill="1" applyAlignment="1">
      <alignment horizontal="center"/>
    </xf>
    <xf numFmtId="0" fontId="28" fillId="239" borderId="0" xfId="0" applyFont="1" applyFill="1" applyAlignment="1">
      <alignment wrapText="1"/>
    </xf>
    <xf numFmtId="0" fontId="112" fillId="155" borderId="0" xfId="0" applyFont="1" applyFill="1"/>
    <xf numFmtId="0" fontId="120" fillId="155" borderId="0" xfId="0" applyFont="1" applyFill="1" applyAlignment="1">
      <alignment horizontal="center" vertical="center" wrapText="1"/>
    </xf>
    <xf numFmtId="0" fontId="121" fillId="0" borderId="0" xfId="0" applyFont="1" applyAlignment="1">
      <alignment horizontal="center" vertical="center" wrapText="1"/>
    </xf>
    <xf numFmtId="0" fontId="93" fillId="172" borderId="0" xfId="0" applyFont="1" applyFill="1" applyAlignment="1">
      <alignment horizontal="left"/>
    </xf>
    <xf numFmtId="0" fontId="28" fillId="218" borderId="0" xfId="0" applyFont="1" applyFill="1" applyAlignment="1">
      <alignment vertical="center"/>
    </xf>
    <xf numFmtId="0" fontId="173" fillId="218" borderId="0" xfId="0" applyFont="1" applyFill="1" applyAlignment="1">
      <alignment horizontal="center" vertical="center"/>
    </xf>
    <xf numFmtId="0" fontId="28" fillId="216" borderId="0" xfId="0" applyFont="1" applyFill="1" applyAlignment="1">
      <alignment vertical="center"/>
    </xf>
    <xf numFmtId="0" fontId="173" fillId="216" borderId="0" xfId="0" applyFont="1" applyFill="1" applyAlignment="1">
      <alignment horizontal="center" vertical="center"/>
    </xf>
    <xf numFmtId="0" fontId="28" fillId="215" borderId="0" xfId="0" applyFont="1" applyFill="1" applyAlignment="1">
      <alignment vertical="center"/>
    </xf>
    <xf numFmtId="0" fontId="173" fillId="215" borderId="0" xfId="0" applyFont="1" applyFill="1" applyAlignment="1">
      <alignment horizontal="center" vertical="center"/>
    </xf>
    <xf numFmtId="0" fontId="28" fillId="238" borderId="0" xfId="0" applyFont="1" applyFill="1" applyAlignment="1">
      <alignment vertical="center"/>
    </xf>
    <xf numFmtId="0" fontId="173" fillId="238" borderId="0" xfId="0" applyFont="1" applyFill="1" applyAlignment="1">
      <alignment horizontal="center" vertical="center"/>
    </xf>
    <xf numFmtId="0" fontId="28" fillId="217" borderId="0" xfId="0" applyFont="1" applyFill="1" applyAlignment="1">
      <alignment vertical="center"/>
    </xf>
    <xf numFmtId="0" fontId="173" fillId="217" borderId="0" xfId="0" applyFont="1" applyFill="1" applyAlignment="1">
      <alignment horizontal="center" vertical="center"/>
    </xf>
    <xf numFmtId="0" fontId="2" fillId="0" borderId="0" xfId="0" applyFont="1"/>
    <xf numFmtId="0" fontId="8" fillId="18" borderId="0" xfId="0" applyFont="1" applyFill="1"/>
    <xf numFmtId="0" fontId="4" fillId="10" borderId="0" xfId="0" applyFont="1" applyFill="1" applyAlignment="1">
      <alignment horizontal="center" vertical="center"/>
    </xf>
    <xf numFmtId="0" fontId="5" fillId="11" borderId="0" xfId="0" applyFont="1" applyFill="1" applyAlignment="1">
      <alignment horizontal="center" vertical="center" wrapText="1"/>
    </xf>
    <xf numFmtId="0" fontId="127" fillId="155" borderId="0" xfId="0" applyFont="1" applyFill="1" applyAlignment="1">
      <alignment horizontal="center" vertical="center" wrapText="1"/>
    </xf>
    <xf numFmtId="0" fontId="94" fillId="98" borderId="0" xfId="0" applyFont="1" applyFill="1" applyAlignment="1">
      <alignment horizontal="center" vertical="center" wrapText="1"/>
    </xf>
    <xf numFmtId="0" fontId="129" fillId="174" borderId="0" xfId="0" applyFont="1" applyFill="1" applyAlignment="1">
      <alignment horizontal="center" vertical="center" wrapText="1"/>
    </xf>
    <xf numFmtId="0" fontId="95" fillId="0" borderId="0" xfId="0" applyFont="1" applyAlignment="1">
      <alignment horizontal="center" vertical="center" wrapText="1"/>
    </xf>
    <xf numFmtId="0" fontId="110" fillId="163" borderId="0" xfId="0" applyFont="1" applyFill="1" applyAlignment="1">
      <alignment horizontal="center" vertical="top"/>
    </xf>
    <xf numFmtId="0" fontId="110" fillId="163" borderId="0" xfId="0" applyFont="1" applyFill="1" applyAlignment="1">
      <alignment vertical="top"/>
    </xf>
    <xf numFmtId="0" fontId="112" fillId="163" borderId="0" xfId="0" applyFont="1" applyFill="1" applyAlignment="1">
      <alignment vertical="top"/>
    </xf>
    <xf numFmtId="0" fontId="112" fillId="163" borderId="0" xfId="0" applyFont="1" applyFill="1" applyAlignment="1">
      <alignment horizontal="center" vertical="top"/>
    </xf>
    <xf numFmtId="0" fontId="110" fillId="166" borderId="0" xfId="0" applyFont="1" applyFill="1" applyAlignment="1">
      <alignment horizontal="center" vertical="top"/>
    </xf>
    <xf numFmtId="0" fontId="110" fillId="166" borderId="0" xfId="0" applyFont="1" applyFill="1" applyAlignment="1">
      <alignment vertical="top"/>
    </xf>
    <xf numFmtId="0" fontId="112" fillId="166" borderId="0" xfId="0" applyFont="1" applyFill="1" applyAlignment="1">
      <alignment vertical="top"/>
    </xf>
    <xf numFmtId="0" fontId="112" fillId="166" borderId="0" xfId="0" applyFont="1" applyFill="1" applyAlignment="1">
      <alignment horizontal="center" vertical="top"/>
    </xf>
    <xf numFmtId="0" fontId="110" fillId="167" borderId="0" xfId="0" applyFont="1" applyFill="1" applyAlignment="1">
      <alignment horizontal="center" vertical="top"/>
    </xf>
    <xf numFmtId="0" fontId="110" fillId="167" borderId="0" xfId="0" applyFont="1" applyFill="1" applyAlignment="1">
      <alignment vertical="top"/>
    </xf>
    <xf numFmtId="0" fontId="112" fillId="167" borderId="0" xfId="0" applyFont="1" applyFill="1" applyAlignment="1">
      <alignment vertical="top"/>
    </xf>
    <xf numFmtId="0" fontId="112" fillId="167" borderId="0" xfId="0" applyFont="1" applyFill="1" applyAlignment="1">
      <alignment horizontal="center" vertical="top"/>
    </xf>
    <xf numFmtId="0" fontId="96" fillId="156" borderId="0" xfId="0" applyFont="1" applyFill="1" applyAlignment="1">
      <alignment horizontal="center"/>
    </xf>
    <xf numFmtId="0" fontId="93" fillId="123" borderId="0" xfId="0" applyFont="1" applyFill="1"/>
    <xf numFmtId="0" fontId="110" fillId="158" borderId="0" xfId="0" applyFont="1" applyFill="1" applyAlignment="1">
      <alignment horizontal="center" vertical="top"/>
    </xf>
    <xf numFmtId="0" fontId="110" fillId="158" borderId="0" xfId="0" applyFont="1" applyFill="1" applyAlignment="1">
      <alignment vertical="top"/>
    </xf>
    <xf numFmtId="0" fontId="112" fillId="158" borderId="0" xfId="0" applyFont="1" applyFill="1" applyAlignment="1">
      <alignment vertical="top"/>
    </xf>
    <xf numFmtId="0" fontId="112" fillId="158" borderId="0" xfId="0" applyFont="1" applyFill="1" applyAlignment="1">
      <alignment horizontal="center" vertical="top"/>
    </xf>
    <xf numFmtId="0" fontId="110" fillId="159" borderId="0" xfId="0" applyFont="1" applyFill="1" applyAlignment="1">
      <alignment horizontal="center" vertical="top"/>
    </xf>
    <xf numFmtId="0" fontId="110" fillId="159" borderId="0" xfId="0" applyFont="1" applyFill="1" applyAlignment="1">
      <alignment vertical="top"/>
    </xf>
    <xf numFmtId="0" fontId="112" fillId="159" borderId="0" xfId="0" applyFont="1" applyFill="1" applyAlignment="1">
      <alignment vertical="top"/>
    </xf>
    <xf numFmtId="0" fontId="112" fillId="159" borderId="0" xfId="0" applyFont="1" applyFill="1" applyAlignment="1">
      <alignment horizontal="center" vertical="top"/>
    </xf>
    <xf numFmtId="0" fontId="110" fillId="161" borderId="0" xfId="0" applyFont="1" applyFill="1" applyAlignment="1">
      <alignment horizontal="center" vertical="top"/>
    </xf>
    <xf numFmtId="0" fontId="110" fillId="161" borderId="0" xfId="0" applyFont="1" applyFill="1" applyAlignment="1">
      <alignment vertical="top"/>
    </xf>
    <xf numFmtId="0" fontId="112" fillId="161" borderId="0" xfId="0" applyFont="1" applyFill="1" applyAlignment="1">
      <alignment vertical="top"/>
    </xf>
    <xf numFmtId="0" fontId="112" fillId="161" borderId="0" xfId="0" applyFont="1" applyFill="1" applyAlignment="1">
      <alignment horizontal="center" vertical="top"/>
    </xf>
    <xf numFmtId="0" fontId="16" fillId="174" borderId="0" xfId="0" applyFont="1" applyFill="1" applyAlignment="1">
      <alignment horizontal="center" vertical="center" wrapText="1"/>
    </xf>
    <xf numFmtId="0" fontId="28" fillId="219" borderId="0" xfId="0" applyFont="1" applyFill="1" applyAlignment="1">
      <alignment horizontal="center" vertical="center"/>
    </xf>
    <xf numFmtId="0" fontId="28" fillId="219" borderId="0" xfId="0" applyFont="1" applyFill="1"/>
    <xf numFmtId="0" fontId="28" fillId="219" borderId="0" xfId="0" applyFont="1" applyFill="1" applyAlignment="1">
      <alignment horizontal="center"/>
    </xf>
    <xf numFmtId="0" fontId="28" fillId="219" borderId="0" xfId="0" applyFont="1" applyFill="1" applyAlignment="1">
      <alignment wrapText="1"/>
    </xf>
    <xf numFmtId="0" fontId="161" fillId="219" borderId="0" xfId="0" applyFont="1" applyFill="1" applyAlignment="1">
      <alignment horizontal="center" vertical="center"/>
    </xf>
    <xf numFmtId="0" fontId="132" fillId="123" borderId="0" xfId="0" applyFont="1" applyFill="1" applyAlignment="1">
      <alignment horizontal="center"/>
    </xf>
    <xf numFmtId="0" fontId="93" fillId="123" borderId="0" xfId="0" applyFont="1" applyFill="1" applyAlignment="1">
      <alignment horizontal="center"/>
    </xf>
    <xf numFmtId="0" fontId="161" fillId="217" borderId="0" xfId="0" applyFont="1" applyFill="1" applyAlignment="1">
      <alignment horizontal="center" vertical="center"/>
    </xf>
    <xf numFmtId="0" fontId="28" fillId="214" borderId="0" xfId="0" applyFont="1" applyFill="1" applyAlignment="1">
      <alignment horizontal="center" vertical="center"/>
    </xf>
    <xf numFmtId="0" fontId="28" fillId="214" borderId="0" xfId="0" applyFont="1" applyFill="1"/>
    <xf numFmtId="0" fontId="28" fillId="214" borderId="0" xfId="0" applyFont="1" applyFill="1" applyAlignment="1">
      <alignment horizontal="center"/>
    </xf>
    <xf numFmtId="0" fontId="28" fillId="214" borderId="0" xfId="0" applyFont="1" applyFill="1" applyAlignment="1">
      <alignment wrapText="1"/>
    </xf>
    <xf numFmtId="0" fontId="161" fillId="214" borderId="0" xfId="0" applyFont="1" applyFill="1" applyAlignment="1">
      <alignment horizontal="center" vertical="center"/>
    </xf>
    <xf numFmtId="0" fontId="161" fillId="218" borderId="0" xfId="0" applyFont="1" applyFill="1" applyAlignment="1">
      <alignment horizontal="center" vertical="center"/>
    </xf>
    <xf numFmtId="0" fontId="161" fillId="216" borderId="0" xfId="0" applyFont="1" applyFill="1" applyAlignment="1">
      <alignment horizontal="center" vertical="center"/>
    </xf>
    <xf numFmtId="0" fontId="161" fillId="215" borderId="0" xfId="0" applyFont="1" applyFill="1" applyAlignment="1">
      <alignment horizontal="center" vertical="center"/>
    </xf>
    <xf numFmtId="0" fontId="28" fillId="141" borderId="0" xfId="0" applyFont="1" applyFill="1" applyAlignment="1">
      <alignment horizontal="left"/>
    </xf>
    <xf numFmtId="0" fontId="97" fillId="0" borderId="0" xfId="0" applyFont="1" applyAlignment="1">
      <alignment horizontal="center"/>
    </xf>
    <xf numFmtId="0" fontId="39" fillId="124" borderId="0" xfId="0" applyFont="1" applyFill="1" applyAlignment="1">
      <alignment horizontal="center"/>
    </xf>
    <xf numFmtId="0" fontId="40" fillId="125" borderId="0" xfId="0" applyFont="1" applyFill="1" applyAlignment="1">
      <alignment horizontal="center"/>
    </xf>
    <xf numFmtId="0" fontId="28" fillId="123" borderId="0" xfId="0" applyFont="1" applyFill="1" applyAlignment="1">
      <alignment horizontal="left"/>
    </xf>
    <xf numFmtId="0" fontId="28" fillId="137" borderId="0" xfId="0" applyFont="1" applyFill="1" applyAlignment="1">
      <alignment horizontal="left"/>
    </xf>
    <xf numFmtId="0" fontId="28" fillId="138" borderId="0" xfId="0" applyFont="1" applyFill="1" applyAlignment="1">
      <alignment horizontal="left"/>
    </xf>
    <xf numFmtId="0" fontId="28" fillId="139" borderId="0" xfId="0" applyFont="1" applyFill="1" applyAlignment="1">
      <alignment horizontal="left"/>
    </xf>
    <xf numFmtId="0" fontId="28" fillId="126" borderId="0" xfId="0" applyFont="1" applyFill="1" applyAlignment="1">
      <alignment horizontal="left"/>
    </xf>
    <xf numFmtId="0" fontId="28" fillId="140" borderId="0" xfId="0" applyFont="1" applyFill="1" applyAlignment="1">
      <alignment horizontal="left"/>
    </xf>
    <xf numFmtId="0" fontId="138" fillId="197" borderId="0" xfId="0" applyFont="1" applyFill="1" applyAlignment="1">
      <alignment horizontal="left"/>
    </xf>
    <xf numFmtId="0" fontId="140" fillId="198" borderId="0" xfId="0" applyFont="1" applyFill="1" applyAlignment="1">
      <alignment horizontal="left"/>
    </xf>
    <xf numFmtId="0" fontId="141" fillId="199" borderId="0" xfId="0" applyFont="1" applyFill="1" applyAlignment="1">
      <alignment horizontal="left"/>
    </xf>
    <xf numFmtId="0" fontId="142" fillId="200" borderId="0" xfId="0" applyFont="1" applyFill="1" applyAlignment="1">
      <alignment horizontal="left"/>
    </xf>
    <xf numFmtId="0" fontId="143" fillId="201" borderId="0" xfId="0" applyFont="1" applyFill="1" applyAlignment="1">
      <alignment horizontal="left"/>
    </xf>
    <xf numFmtId="0" fontId="144" fillId="196" borderId="0" xfId="0" applyFont="1" applyFill="1" applyAlignment="1">
      <alignment horizontal="left"/>
    </xf>
    <xf numFmtId="0" fontId="137" fillId="202" borderId="0" xfId="0" applyFont="1" applyFill="1" applyAlignment="1">
      <alignment horizontal="left"/>
    </xf>
    <xf numFmtId="0" fontId="220" fillId="123" borderId="0" xfId="0" applyFont="1" applyFill="1" applyAlignment="1">
      <alignment horizontal="center"/>
    </xf>
    <xf numFmtId="0" fontId="10" fillId="155" borderId="0" xfId="0" applyFont="1" applyFill="1" applyAlignment="1">
      <alignment horizontal="center"/>
    </xf>
    <xf numFmtId="0" fontId="236" fillId="123" borderId="0" xfId="0" applyFont="1" applyFill="1" applyAlignment="1">
      <alignment horizontal="center"/>
    </xf>
    <xf numFmtId="0" fontId="28" fillId="283" borderId="0" xfId="0" applyFont="1" applyFill="1" applyAlignment="1">
      <alignment horizontal="center"/>
    </xf>
    <xf numFmtId="0" fontId="18" fillId="123" borderId="0" xfId="0" applyFont="1" applyFill="1"/>
    <xf numFmtId="0" fontId="60" fillId="124" borderId="0" xfId="0" applyFont="1" applyFill="1"/>
    <xf numFmtId="0" fontId="237" fillId="124" borderId="0" xfId="0" applyFont="1" applyFill="1"/>
    <xf numFmtId="0" fontId="238" fillId="124" borderId="0" xfId="0" applyFont="1" applyFill="1"/>
    <xf numFmtId="0" fontId="60" fillId="125" borderId="0" xfId="0" applyFont="1" applyFill="1"/>
    <xf numFmtId="0" fontId="237" fillId="125" borderId="0" xfId="0" applyFont="1" applyFill="1"/>
    <xf numFmtId="0" fontId="238" fillId="125" borderId="0" xfId="0" applyFont="1" applyFill="1"/>
    <xf numFmtId="0" fontId="28" fillId="284" borderId="0" xfId="0" applyFont="1" applyFill="1" applyAlignment="1">
      <alignment horizontal="center"/>
    </xf>
    <xf numFmtId="0" fontId="239" fillId="182" borderId="0" xfId="0" applyFont="1" applyFill="1"/>
    <xf numFmtId="0" fontId="28" fillId="285" borderId="0" xfId="0" applyFont="1" applyFill="1" applyAlignment="1">
      <alignment horizontal="center"/>
    </xf>
    <xf numFmtId="0" fontId="240" fillId="124" borderId="0" xfId="0" applyFont="1" applyFill="1"/>
    <xf numFmtId="0" fontId="240" fillId="125" borderId="0" xfId="0" applyFont="1" applyFill="1"/>
    <xf numFmtId="0" fontId="28" fillId="213" borderId="0" xfId="0" applyFont="1" applyFill="1" applyAlignment="1">
      <alignment horizontal="center"/>
    </xf>
    <xf numFmtId="0" fontId="60" fillId="226" borderId="0" xfId="0" applyFont="1" applyFill="1"/>
    <xf numFmtId="0" fontId="237" fillId="226" borderId="0" xfId="0" applyFont="1" applyFill="1"/>
    <xf numFmtId="0" fontId="28" fillId="286" borderId="0" xfId="0" applyFont="1" applyFill="1" applyAlignment="1">
      <alignment horizontal="center"/>
    </xf>
    <xf numFmtId="0" fontId="238" fillId="124" borderId="0" xfId="0" applyFont="1" applyFill="1"/>
    <xf numFmtId="0" fontId="18" fillId="123" borderId="0" xfId="0" applyFont="1" applyFill="1"/>
    <xf numFmtId="0" fontId="238" fillId="125" borderId="0" xfId="0" applyFont="1" applyFill="1"/>
    <xf numFmtId="0" fontId="241" fillId="287" borderId="0" xfId="0" applyFont="1" applyFill="1"/>
    <xf numFmtId="0" fontId="10" fillId="213" borderId="0" xfId="0" applyFont="1" applyFill="1" applyAlignment="1">
      <alignment horizontal="center"/>
    </xf>
    <xf numFmtId="0" fontId="29" fillId="123" borderId="0" xfId="0" applyFont="1" applyFill="1" applyAlignment="1">
      <alignment horizontal="center"/>
    </xf>
    <xf numFmtId="0" fontId="18" fillId="155" borderId="0" xfId="0" applyFont="1" applyFill="1" applyAlignment="1">
      <alignment horizontal="center" vertical="center" wrapText="1"/>
    </xf>
    <xf numFmtId="0" fontId="242" fillId="221" borderId="0" xfId="0" applyFont="1" applyFill="1"/>
    <xf numFmtId="0" fontId="242" fillId="222" borderId="0" xfId="0" applyFont="1" applyFill="1"/>
  </cellXfs>
  <cellStyles count="2">
    <cellStyle name="Hiperligaçã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persons/person.xml><?xml version="1.0" encoding="utf-8"?>
<personList xmlns="http://schemas.microsoft.com/office/spreadsheetml/2018/threadedcomments" xmlns:x="http://schemas.openxmlformats.org/spreadsheetml/2006/main">
  <person displayName="Tiago Beato" id="{1B55C9F8-2C8B-4689-9C25-3E4A290BC21F}" userId="d65b62e629e7827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6-03-17T16:36:04.83" personId="{1B55C9F8-2C8B-4689-9C25-3E4A290BC21F}" id="{150830A8-B032-4467-AE27-FE4FC0FBD477}">
    <text>Source: turismo.douroetamega.pt / OpenStreetMap</text>
  </threadedComment>
  <threadedComment ref="G4" dT="2026-03-17T16:36:04.84" personId="{1B55C9F8-2C8B-4689-9C25-3E4A290BC21F}" id="{941789F1-2721-4C49-8C68-38EB68732F7C}">
    <text>Source: turismo.douroetamega.pt / OpenStreetMap</text>
  </threadedComment>
  <threadedComment ref="F5" dT="2026-03-17T16:36:04.84" personId="{1B55C9F8-2C8B-4689-9C25-3E4A290BC21F}" id="{B5D5C5A6-C37F-4126-99A2-628617881B51}">
    <text>Source: OpenStreetMap / Wikipedia Bemposta Dam</text>
  </threadedComment>
  <threadedComment ref="G5" dT="2026-03-17T16:36:04.84" personId="{1B55C9F8-2C8B-4689-9C25-3E4A290BC21F}" id="{E3E3D6B9-FDC1-45C5-957B-B45A4DAE4D45}">
    <text>Source: OpenStreetMap / Wikipedia Bemposta Dam</text>
  </threadedComment>
  <threadedComment ref="F6" dT="2026-03-17T16:36:04.86" personId="{1B55C9F8-2C8B-4689-9C25-3E4A290BC21F}" id="{32DE71CE-8070-4CB3-84D5-03DDD6687C65}">
    <text>Source: OpenStreetMap / Wikipedia Miranda Dam</text>
  </threadedComment>
  <threadedComment ref="G6" dT="2026-03-17T16:36:04.86" personId="{1B55C9F8-2C8B-4689-9C25-3E4A290BC21F}" id="{33C4D3A7-D6D1-42ED-B766-59449E4EF509}">
    <text>Source: OpenStreetMap / Wikipedia Miranda Dam</text>
  </threadedComment>
  <threadedComment ref="F7" dT="2026-03-17T16:36:04.86" personId="{1B55C9F8-2C8B-4689-9C25-3E4A290BC21F}" id="{ABAD0CF4-848B-4DA7-A570-F74D513D3407}">
    <text>Source: OpenStreetMap / Wikipedia Crestuma-Lever Dam</text>
  </threadedComment>
  <threadedComment ref="G7" dT="2026-03-17T16:36:04.86" personId="{1B55C9F8-2C8B-4689-9C25-3E4A290BC21F}" id="{DCD7D69C-5B7F-4AFE-9625-3A7388993635}">
    <text>Source: OpenStreetMap / Wikipedia Crestuma-Lever Dam</text>
  </threadedComment>
  <threadedComment ref="F8" dT="2026-03-17T16:36:04.88" personId="{1B55C9F8-2C8B-4689-9C25-3E4A290BC21F}" id="{14B6B279-F480-4DF0-8E46-30CBF999C202}">
    <text>Source: OpenStreetMap / Wikipedia Valeira Dam</text>
  </threadedComment>
  <threadedComment ref="G8" dT="2026-03-17T16:36:04.88" personId="{1B55C9F8-2C8B-4689-9C25-3E4A290BC21F}" id="{53316CB6-5EA6-4655-BE1D-638241B1234C}">
    <text>Source: OpenStreetMap / Wikipedia Valeira Dam</text>
  </threadedComment>
  <threadedComment ref="F9" dT="2026-03-17T16:36:04.88" personId="{1B55C9F8-2C8B-4689-9C25-3E4A290BC21F}" id="{3DD74437-652B-4414-B9EE-EE1A70071B82}">
    <text>Source: OpenStreetMap / Wikipedia Pocinho Dam</text>
  </threadedComment>
  <threadedComment ref="G9" dT="2026-03-17T16:36:04.88" personId="{1B55C9F8-2C8B-4689-9C25-3E4A290BC21F}" id="{428F1C9A-A1E4-4FFF-87CC-3747ADF8239D}">
    <text>Source: OpenStreetMap / Wikipedia Pocinho Dam</text>
  </threadedComment>
  <threadedComment ref="F10" dT="2026-03-17T16:36:04.89" personId="{1B55C9F8-2C8B-4689-9C25-3E4A290BC21F}" id="{43CF1E7E-1337-40AD-8345-86EAF4A751D0}">
    <text>Source: OpenStreetMap / cnpgb.apambiente.pt Baixo Sabor</text>
  </threadedComment>
  <threadedComment ref="G10" dT="2026-03-17T16:36:04.90" personId="{1B55C9F8-2C8B-4689-9C25-3E4A290BC21F}" id="{619FDF95-8E87-44A8-A07B-34B7B71E29E7}">
    <text>Source: OpenStreetMap / cnpgb.apambiente.pt Baixo Sabor</text>
  </threadedComment>
  <threadedComment ref="F11" dT="2026-03-17T16:36:04.90" personId="{1B55C9F8-2C8B-4689-9C25-3E4A290BC21F}" id="{728F8F9A-4CF7-4EFF-8074-D4AEE75B93AA}">
    <text>Source: OpenStreetMap / Wikipedia Foz Tua Dam</text>
  </threadedComment>
  <threadedComment ref="G11" dT="2026-03-17T16:36:04.90" personId="{1B55C9F8-2C8B-4689-9C25-3E4A290BC21F}" id="{3B0BEC32-ED44-49F9-A04B-1F5A578A93AC}">
    <text>Source: OpenStreetMap / Wikipedia Foz Tua Dam</text>
  </threadedComment>
  <threadedComment ref="F12" dT="2026-03-17T16:36:04.91" personId="{1B55C9F8-2C8B-4689-9C25-3E4A290BC21F}" id="{23562B78-4546-424D-BFA6-E7E2EB21D711}">
    <text>Source: OpenStreetMap / Wikipedia Alto Lindoso Dam</text>
  </threadedComment>
  <threadedComment ref="G12" dT="2026-03-17T16:36:04.91" personId="{1B55C9F8-2C8B-4689-9C25-3E4A290BC21F}" id="{824D4ADB-1DD3-4645-A4DC-87A2EDE848A9}">
    <text>Source: OpenStreetMap / Wikipedia Alto Lindoso Dam</text>
  </threadedComment>
  <threadedComment ref="F13" dT="2026-03-17T16:36:04.91" personId="{1B55C9F8-2C8B-4689-9C25-3E4A290BC21F}" id="{6CA66670-ECBC-4898-A294-F5EDC80AD836}">
    <text>Source: OpenStreetMap / Wikipedia Venda Nova Dam</text>
  </threadedComment>
  <threadedComment ref="G13" dT="2026-03-17T16:36:04.91" personId="{1B55C9F8-2C8B-4689-9C25-3E4A290BC21F}" id="{5470DBE9-1CC3-4AEF-9CD9-FE7B9F0756F4}">
    <text>Source: OpenStreetMap / Wikipedia Venda Nova Dam</text>
  </threadedComment>
  <threadedComment ref="F14" dT="2026-03-17T16:36:04.91" personId="{1B55C9F8-2C8B-4689-9C25-3E4A290BC21F}" id="{8C9BA0CF-17E6-40E3-ABCC-65C4DF9B03E7}">
    <text>Source: OpenStreetMap / Wikipedia Caniçada Dam</text>
  </threadedComment>
  <threadedComment ref="G14" dT="2026-03-17T16:36:04.91" personId="{1B55C9F8-2C8B-4689-9C25-3E4A290BC21F}" id="{DEA963DA-5CB7-4A8F-962B-8645A2F36DF0}">
    <text>Source: OpenStreetMap / Wikipedia Caniçada Dam</text>
  </threadedComment>
  <threadedComment ref="F15" dT="2026-03-17T16:36:04.91" personId="{1B55C9F8-2C8B-4689-9C25-3E4A290BC21F}" id="{F4218524-5AD8-4193-9D67-2D2E67C5BE57}">
    <text>Source: OpenStreetMap / Wikipedia Alto Rabagão Dam</text>
  </threadedComment>
  <threadedComment ref="G15" dT="2026-03-17T16:36:04.91" personId="{1B55C9F8-2C8B-4689-9C25-3E4A290BC21F}" id="{AE22941C-53C8-4958-975B-C0EAB1E2651D}">
    <text>Source: OpenStreetMap / Wikipedia Alto Rabagão Dam</text>
  </threadedComment>
  <threadedComment ref="F16" dT="2026-03-17T16:36:04.93" personId="{1B55C9F8-2C8B-4689-9C25-3E4A290BC21F}" id="{5A4EBA01-4258-43A9-8C89-BB55A0E30421}">
    <text>Source: OpenStreetMap / Wikipedia Paradela Dam</text>
  </threadedComment>
  <threadedComment ref="G16" dT="2026-03-17T16:36:04.93" personId="{1B55C9F8-2C8B-4689-9C25-3E4A290BC21F}" id="{F99C1A68-2BC7-4171-B523-F74E18AFB58C}">
    <text>Source: OpenStreetMap / Wikipedia Paradela Dam</text>
  </threadedComment>
  <threadedComment ref="F17" dT="2026-03-17T16:36:04.93" personId="{1B55C9F8-2C8B-4689-9C25-3E4A290BC21F}" id="{1AEC806B-4CF8-42F0-A55A-5DA819E37B48}">
    <text>Source: OpenStreetMap / Wikipedia Castelo de Bode Dam</text>
  </threadedComment>
  <threadedComment ref="G17" dT="2026-03-17T16:36:04.93" personId="{1B55C9F8-2C8B-4689-9C25-3E4A290BC21F}" id="{CA21C15F-CC06-4514-98D5-74E4A88F0AA0}">
    <text>Source: OpenStreetMap / Wikipedia Castelo de Bode Dam</text>
  </threadedComment>
  <threadedComment ref="F18" dT="2026-03-17T16:36:04.93" personId="{1B55C9F8-2C8B-4689-9C25-3E4A290BC21F}" id="{5E2ED604-ACBF-4A23-9543-E438CA0D20C5}">
    <text>Source: OpenStreetMap / Wikipedia Cabril Dam</text>
  </threadedComment>
  <threadedComment ref="G18" dT="2026-03-17T16:36:04.93" personId="{1B55C9F8-2C8B-4689-9C25-3E4A290BC21F}" id="{F161F3F7-72B5-4DDA-9007-C36AE3F08FBB}">
    <text>Source: OpenStreetMap / Wikipedia Cabril Dam</text>
  </threadedComment>
  <threadedComment ref="F19" dT="2026-03-17T16:36:04.94" personId="{1B55C9F8-2C8B-4689-9C25-3E4A290BC21F}" id="{36C8A8DB-F49F-4B3D-BAF8-0698160E8D61}">
    <text>Source: OpenStreetMap / Wikipedia Bouçã Dam</text>
  </threadedComment>
  <threadedComment ref="G19" dT="2026-03-17T16:36:04.94" personId="{1B55C9F8-2C8B-4689-9C25-3E4A290BC21F}" id="{B4E68A2F-F751-4B83-B0EB-6574011547B5}">
    <text>Source: OpenStreetMap / Wikipedia Bouçã Dam</text>
  </threadedComment>
  <threadedComment ref="F20" dT="2026-03-17T16:36:04.94" personId="{1B55C9F8-2C8B-4689-9C25-3E4A290BC21F}" id="{35C39D3F-3EEC-4A1A-A1FF-23727607DD9D}">
    <text>Source: OpenStreetMap / Wikipedia Pracana Dam</text>
  </threadedComment>
  <threadedComment ref="G20" dT="2026-03-17T16:36:04.94" personId="{1B55C9F8-2C8B-4689-9C25-3E4A290BC21F}" id="{0644A520-E561-42C8-B7EB-DAB2E8A13A0B}">
    <text>Source: OpenStreetMap / Wikipedia Pracana Dam</text>
  </threadedComment>
  <threadedComment ref="F21" dT="2026-03-17T16:36:04.94" personId="{1B55C9F8-2C8B-4689-9C25-3E4A290BC21F}" id="{6379E697-AEB1-46FC-B956-0DE9D1D30B89}">
    <text>Source: OpenStreetMap / Wikipedia Belver Dam</text>
  </threadedComment>
  <threadedComment ref="G21" dT="2026-03-17T16:36:04.94" personId="{1B55C9F8-2C8B-4689-9C25-3E4A290BC21F}" id="{3CFA98F5-D121-4384-919A-4A69B9F10B80}">
    <text>Source: OpenStreetMap / Wikipedia Belver Dam</text>
  </threadedComment>
  <threadedComment ref="F22" dT="2026-03-17T16:36:04.96" personId="{1B55C9F8-2C8B-4689-9C25-3E4A290BC21F}" id="{935BCDCA-1BAE-419D-AB97-E3D6C6C01D48}">
    <text>Source: OpenStreetMap / Wikipedia Alqueva Dam</text>
  </threadedComment>
  <threadedComment ref="G22" dT="2026-03-17T16:36:04.96" personId="{1B55C9F8-2C8B-4689-9C25-3E4A290BC21F}" id="{AD6DDDE0-8FB9-435C-8986-D4B91960BEBA}">
    <text>Source: OpenStreetMap / Wikipedia Alqueva Dam</text>
  </threadedComment>
  <threadedComment ref="F23" dT="2026-03-17T16:36:04.96" personId="{1B55C9F8-2C8B-4689-9C25-3E4A290BC21F}" id="{B365D2F1-6C79-4E00-854A-C0562B4E8F36}">
    <text>Source: OpenStreetMap / cnpgb.apambiente.pt Maranhão</text>
  </threadedComment>
  <threadedComment ref="G23" dT="2026-03-17T16:36:04.96" personId="{1B55C9F8-2C8B-4689-9C25-3E4A290BC21F}" id="{5C74A996-3C1C-4DAE-A85E-274C72C05799}">
    <text>Source: OpenStreetMap / cnpgb.apambiente.pt Maranhão</text>
  </threadedComment>
  <threadedComment ref="F24" dT="2026-03-17T16:36:04.96" personId="{1B55C9F8-2C8B-4689-9C25-3E4A290BC21F}" id="{5A3FA212-BD6A-492C-9726-FA27DD2A51CE}">
    <text>Source: OpenStreetMap / Wikipedia Odivelas Dam</text>
  </threadedComment>
  <threadedComment ref="G24" dT="2026-03-17T16:36:04.96" personId="{1B55C9F8-2C8B-4689-9C25-3E4A290BC21F}" id="{36832D63-1DD3-4D16-AB02-9DEDD184F540}">
    <text>Source: OpenStreetMap / Wikipedia Odivelas Dam</text>
  </threadedComment>
  <threadedComment ref="F25" dT="2026-03-17T16:36:04.98" personId="{1B55C9F8-2C8B-4689-9C25-3E4A290BC21F}" id="{F5DC96C1-5D7D-4BA0-8F52-14997851B74F}">
    <text>Source: OpenStreetMap / Wikipedia Santa Clara Dam</text>
  </threadedComment>
  <threadedComment ref="G25" dT="2026-03-17T16:36:04.98" personId="{1B55C9F8-2C8B-4689-9C25-3E4A290BC21F}" id="{E3BD4FD5-3611-45E2-8C71-9FE38C47FD8F}">
    <text>Source: OpenStreetMap / Wikipedia Santa Clara Dam</text>
  </threadedComment>
  <threadedComment ref="F26" dT="2026-03-17T16:36:04.98" personId="{1B55C9F8-2C8B-4689-9C25-3E4A290BC21F}" id="{7037AF66-6F2B-4C33-8170-DBD47E3106B7}">
    <text>Source: OpenStreetMap / cnpgb.apambiente.pt Montargil</text>
  </threadedComment>
  <threadedComment ref="G26" dT="2026-03-17T16:36:04.98" personId="{1B55C9F8-2C8B-4689-9C25-3E4A290BC21F}" id="{69546F61-8271-494F-A362-6563290FA437}">
    <text>Source: OpenStreetMap / cnpgb.apambiente.pt Montargil</text>
  </threadedComment>
</ThreadedComment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 dockstate="right" visibility="0" width="525" row="4">
    <wetp:webextensionref xmlns:r="http://schemas.openxmlformats.org/officeDocument/2006/relationships" r:id="rId2"/>
  </wetp:taskpane>
  <wetp:taskpane dockstate="right" visibility="0" width="525" row="6">
    <wetp:webextensionref xmlns:r="http://schemas.openxmlformats.org/officeDocument/2006/relationships" r:id="rId3"/>
  </wetp:taskpane>
  <wetp:taskpane dockstate="right" visibility="0" width="525" row="4">
    <wetp:webextensionref xmlns:r="http://schemas.openxmlformats.org/officeDocument/2006/relationships" r:id="rId4"/>
  </wetp:taskpane>
  <wetp:taskpane dockstate="right" visibility="0" width="525" row="5">
    <wetp:webextensionref xmlns:r="http://schemas.openxmlformats.org/officeDocument/2006/relationships" r:id="rId5"/>
  </wetp:taskpane>
</wetp:taskpanes>
</file>

<file path=xl/webextensions/webextension1.xml><?xml version="1.0" encoding="utf-8"?>
<we:webextension xmlns:we="http://schemas.microsoft.com/office/webextensions/webextension/2010/11" id="{4A6D4E15-09D2-4882-BB9D-1421F8418EDF}">
  <we:reference id="wa200009404" version="1.0.0.8" store="pt-PT"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ebextensions/webextension2.xml><?xml version="1.0" encoding="utf-8"?>
<we:webextension xmlns:we="http://schemas.microsoft.com/office/webextensions/webextension/2010/11" id="{88161B49-7C2F-45AE-A4AB-E604220E1615}">
  <we:reference id="wa200007447" version="1.1.6.6" store="pt-PT" storeType="OMEX"/>
  <we:alternateReferences>
    <we:reference id="wa200007447" version="1.1.6.6"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_xldudf_BOARDFLARE_RUNPY</we:customFunctionIds>
      </we:customFunctionIdList>
    </a:ext>
  </we:extLst>
</we:webextension>
</file>

<file path=xl/webextensions/webextension3.xml><?xml version="1.0" encoding="utf-8"?>
<we:webextension xmlns:we="http://schemas.microsoft.com/office/webextensions/webextension/2010/11" id="{FE30B3BD-6F69-4BA3-8336-0F0A58E7F6B3}">
  <we:reference id="wa200004935" version="6.1.0.0" store="pt-PT" storeType="OMEX"/>
  <we:alternateReferences>
    <we:reference id="WA200004935" version="6.1.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ebextensions/webextension4.xml><?xml version="1.0" encoding="utf-8"?>
<we:webextension xmlns:we="http://schemas.microsoft.com/office/webextensions/webextension/2010/11" id="{3C95BDBB-F0E1-4B65-9FC6-58FD4D0A4B08}">
  <we:reference id="wa200005502" version="1.0.0.12" store="pt-PT" storeType="OMEX"/>
  <we:alternateReferences>
    <we:reference id="wa200005502" version="1.0.0.12" store="wa200005502" storeType="OMEX"/>
  </we:alternateReferences>
  <we:properties>
    <we:property name="docId" value="&quot;B822rgl9kUXX-korUk6D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5.xml><?xml version="1.0" encoding="utf-8"?>
<we:webextension xmlns:we="http://schemas.microsoft.com/office/webextensions/webextension/2010/11" id="{09362210-CF9C-4060-BF2C-248DD6385616}">
  <we:reference id="wa200005271" version="2.6.1.0" store="pt-PT"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maps?q=39.4792,-8.5356"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https://www.google.com/maps?q=39.6033,-8.4189" TargetMode="External"/><Relationship Id="rId13" Type="http://schemas.openxmlformats.org/officeDocument/2006/relationships/hyperlink" Target="https://www.google.com/maps?q=37.6385,-7.6611" TargetMode="External"/><Relationship Id="rId18" Type="http://schemas.openxmlformats.org/officeDocument/2006/relationships/hyperlink" Target="https://www.google.com/maps?q=37.8394,-25.7947" TargetMode="External"/><Relationship Id="rId3" Type="http://schemas.openxmlformats.org/officeDocument/2006/relationships/hyperlink" Target="https://www.google.com/maps?q=41.3822,-8.2256" TargetMode="External"/><Relationship Id="rId7" Type="http://schemas.openxmlformats.org/officeDocument/2006/relationships/hyperlink" Target="https://www.google.com/maps?q=40.2286,-7.8255" TargetMode="External"/><Relationship Id="rId12" Type="http://schemas.openxmlformats.org/officeDocument/2006/relationships/hyperlink" Target="https://www.google.com/maps?q=38.4419,-7.3789" TargetMode="External"/><Relationship Id="rId17" Type="http://schemas.openxmlformats.org/officeDocument/2006/relationships/hyperlink" Target="https://www.google.com/maps?q=32.6481,-16.9094" TargetMode="External"/><Relationship Id="rId2" Type="http://schemas.openxmlformats.org/officeDocument/2006/relationships/hyperlink" Target="https://www.google.com/maps?q=41.8753,-8.2575" TargetMode="External"/><Relationship Id="rId16" Type="http://schemas.openxmlformats.org/officeDocument/2006/relationships/hyperlink" Target="https://www.google.com/maps?q=37.1264,-7.6494" TargetMode="External"/><Relationship Id="rId1" Type="http://schemas.openxmlformats.org/officeDocument/2006/relationships/hyperlink" Target="https://www.google.com/maps?q=41.7388,-7.4728" TargetMode="External"/><Relationship Id="rId6" Type="http://schemas.openxmlformats.org/officeDocument/2006/relationships/hyperlink" Target="https://www.google.com/maps?q=40.4017,-7.5386" TargetMode="External"/><Relationship Id="rId11" Type="http://schemas.openxmlformats.org/officeDocument/2006/relationships/hyperlink" Target="https://www.google.com/maps?q=38.8431,-7.5889" TargetMode="External"/><Relationship Id="rId5" Type="http://schemas.openxmlformats.org/officeDocument/2006/relationships/hyperlink" Target="https://www.google.com/maps?q=41.0805,-7.1104" TargetMode="External"/><Relationship Id="rId15" Type="http://schemas.openxmlformats.org/officeDocument/2006/relationships/hyperlink" Target="https://www.google.com/maps?q=37.1017,-8.6733" TargetMode="External"/><Relationship Id="rId10" Type="http://schemas.openxmlformats.org/officeDocument/2006/relationships/hyperlink" Target="https://www.google.com/maps?q=38.5575,-8.0614" TargetMode="External"/><Relationship Id="rId4" Type="http://schemas.openxmlformats.org/officeDocument/2006/relationships/hyperlink" Target="https://www.google.com/maps?q=41.1623,-7.7856" TargetMode="External"/><Relationship Id="rId9" Type="http://schemas.openxmlformats.org/officeDocument/2006/relationships/hyperlink" Target="https://www.google.com/maps?q=39.6053,-9.0767" TargetMode="External"/><Relationship Id="rId14" Type="http://schemas.openxmlformats.org/officeDocument/2006/relationships/hyperlink" Target="https://www.google.com/maps?q=37.0225,-8.99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9ABC4-F4CC-41FF-8B17-8D50EE4A631B}">
  <sheetPr>
    <tabColor rgb="FF0D4A7A"/>
  </sheetPr>
  <dimension ref="A1:N143"/>
  <sheetViews>
    <sheetView workbookViewId="0">
      <pane ySplit="3" topLeftCell="A44" activePane="bottomLeft" state="frozen"/>
      <selection pane="bottomLeft" activeCell="C50" sqref="C50"/>
    </sheetView>
  </sheetViews>
  <sheetFormatPr defaultRowHeight="14.5" x14ac:dyDescent="0.35"/>
  <cols>
    <col min="1" max="1" width="32.7265625" customWidth="1"/>
    <col min="2" max="2" width="20" customWidth="1"/>
    <col min="3" max="3" width="14.54296875" customWidth="1"/>
    <col min="4" max="4" width="16.36328125" customWidth="1"/>
    <col min="5" max="5" width="29.08984375" customWidth="1"/>
    <col min="6" max="6" width="43.6328125" customWidth="1"/>
    <col min="7" max="7" width="21.81640625" customWidth="1"/>
    <col min="8" max="8" width="14.54296875" customWidth="1"/>
  </cols>
  <sheetData>
    <row r="1" spans="1:14" ht="30" customHeight="1" x14ac:dyDescent="0.55000000000000004">
      <c r="A1" s="1609"/>
      <c r="B1" s="1313"/>
      <c r="C1" s="1313"/>
      <c r="D1" s="1313"/>
      <c r="E1" s="1313"/>
      <c r="F1" s="1313"/>
      <c r="G1" s="1313"/>
      <c r="H1" s="1313"/>
      <c r="I1" s="1313"/>
      <c r="J1" s="1313"/>
      <c r="K1" s="1313"/>
      <c r="L1" s="1313"/>
      <c r="M1" s="1313"/>
      <c r="N1" s="1313"/>
    </row>
    <row r="2" spans="1:14" ht="18" customHeight="1" x14ac:dyDescent="0.4">
      <c r="A2" s="1610" t="s">
        <v>23981</v>
      </c>
      <c r="B2" s="1313"/>
      <c r="C2" s="1313"/>
      <c r="D2" s="1313"/>
      <c r="E2" s="1313"/>
      <c r="F2" s="1313"/>
      <c r="G2" s="1313"/>
      <c r="H2" s="1313"/>
      <c r="I2" s="1313"/>
      <c r="J2" s="1313"/>
      <c r="K2" s="1313"/>
      <c r="L2" s="1313"/>
      <c r="M2" s="1313"/>
      <c r="N2" s="1313"/>
    </row>
    <row r="3" spans="1:14" ht="6" customHeight="1" x14ac:dyDescent="0.35"/>
    <row r="4" spans="1:14" ht="24" customHeight="1" x14ac:dyDescent="0.45">
      <c r="A4" s="1611" t="s">
        <v>23982</v>
      </c>
      <c r="B4" s="1313"/>
      <c r="C4" s="1313"/>
      <c r="D4" s="1313"/>
      <c r="E4" s="1313"/>
      <c r="F4" s="1313"/>
      <c r="G4" s="1313"/>
      <c r="H4" s="1313"/>
      <c r="I4" s="1313"/>
      <c r="J4" s="1313"/>
      <c r="K4" s="1313"/>
      <c r="L4" s="1313"/>
      <c r="M4" s="1313"/>
      <c r="N4" s="1313"/>
    </row>
    <row r="5" spans="1:14" ht="22" customHeight="1" x14ac:dyDescent="0.45">
      <c r="A5" s="389" t="s">
        <v>23983</v>
      </c>
      <c r="B5" s="389" t="s">
        <v>23984</v>
      </c>
      <c r="C5" s="389" t="s">
        <v>23985</v>
      </c>
      <c r="D5" s="389" t="s">
        <v>23986</v>
      </c>
      <c r="E5" s="389" t="s">
        <v>23987</v>
      </c>
      <c r="F5" s="389" t="s">
        <v>22160</v>
      </c>
      <c r="G5" s="389" t="s">
        <v>23988</v>
      </c>
    </row>
    <row r="6" spans="1:14" ht="17" customHeight="1" x14ac:dyDescent="0.4">
      <c r="A6" s="1614" t="s">
        <v>23989</v>
      </c>
      <c r="B6" s="1613" t="s">
        <v>23990</v>
      </c>
      <c r="C6" s="1613" t="s">
        <v>23991</v>
      </c>
      <c r="D6" s="1615" t="s">
        <v>23992</v>
      </c>
      <c r="E6" s="1613" t="s">
        <v>3096</v>
      </c>
      <c r="F6" s="1613" t="s">
        <v>23993</v>
      </c>
      <c r="G6" s="1613" t="s">
        <v>3096</v>
      </c>
    </row>
    <row r="7" spans="1:14" ht="17" customHeight="1" x14ac:dyDescent="0.4">
      <c r="A7" s="1617" t="s">
        <v>23994</v>
      </c>
      <c r="B7" s="1616" t="s">
        <v>23995</v>
      </c>
      <c r="C7" s="1616" t="s">
        <v>23991</v>
      </c>
      <c r="D7" s="1618" t="s">
        <v>23996</v>
      </c>
      <c r="E7" s="1616" t="s">
        <v>3096</v>
      </c>
      <c r="F7" s="1616" t="s">
        <v>23997</v>
      </c>
      <c r="G7" s="1616" t="s">
        <v>3096</v>
      </c>
    </row>
    <row r="8" spans="1:14" ht="17" customHeight="1" x14ac:dyDescent="0.4">
      <c r="A8" s="1614" t="s">
        <v>23998</v>
      </c>
      <c r="B8" s="1613" t="s">
        <v>23995</v>
      </c>
      <c r="C8" s="1613" t="s">
        <v>23991</v>
      </c>
      <c r="D8" s="1615" t="s">
        <v>23999</v>
      </c>
      <c r="E8" s="1613" t="s">
        <v>24000</v>
      </c>
      <c r="F8" s="1613" t="s">
        <v>24001</v>
      </c>
      <c r="G8" s="1613" t="s">
        <v>24002</v>
      </c>
    </row>
    <row r="9" spans="1:14" ht="17" customHeight="1" x14ac:dyDescent="0.4">
      <c r="A9" s="1617" t="s">
        <v>24003</v>
      </c>
      <c r="B9" s="1616" t="s">
        <v>23995</v>
      </c>
      <c r="C9" s="1616" t="s">
        <v>23991</v>
      </c>
      <c r="D9" s="1618" t="s">
        <v>23999</v>
      </c>
      <c r="E9" s="1616" t="s">
        <v>3096</v>
      </c>
      <c r="F9" s="1616" t="s">
        <v>24004</v>
      </c>
      <c r="G9" s="1616" t="s">
        <v>24002</v>
      </c>
    </row>
    <row r="10" spans="1:14" ht="17" customHeight="1" x14ac:dyDescent="0.4">
      <c r="A10" s="1614" t="s">
        <v>24005</v>
      </c>
      <c r="B10" s="1613" t="s">
        <v>23995</v>
      </c>
      <c r="C10" s="1613" t="s">
        <v>23991</v>
      </c>
      <c r="D10" s="1615" t="s">
        <v>24006</v>
      </c>
      <c r="E10" s="1613" t="s">
        <v>24007</v>
      </c>
      <c r="F10" s="1613" t="s">
        <v>24008</v>
      </c>
      <c r="G10" s="1613" t="s">
        <v>24009</v>
      </c>
    </row>
    <row r="11" spans="1:14" ht="17" customHeight="1" x14ac:dyDescent="0.4">
      <c r="A11" s="1617" t="s">
        <v>24010</v>
      </c>
      <c r="B11" s="1616" t="s">
        <v>23995</v>
      </c>
      <c r="C11" s="1616" t="s">
        <v>23991</v>
      </c>
      <c r="D11" s="1618" t="s">
        <v>24011</v>
      </c>
      <c r="E11" s="1616" t="s">
        <v>24012</v>
      </c>
      <c r="F11" s="1616" t="s">
        <v>24013</v>
      </c>
      <c r="G11" s="1616" t="s">
        <v>24014</v>
      </c>
    </row>
    <row r="12" spans="1:14" ht="17" customHeight="1" x14ac:dyDescent="0.4">
      <c r="A12" s="1613" t="s">
        <v>24015</v>
      </c>
      <c r="B12" s="1613" t="s">
        <v>23995</v>
      </c>
      <c r="C12" s="1613" t="s">
        <v>24016</v>
      </c>
      <c r="D12" s="1615" t="s">
        <v>24017</v>
      </c>
      <c r="E12" s="1613" t="s">
        <v>24018</v>
      </c>
      <c r="F12" s="1613" t="s">
        <v>24019</v>
      </c>
      <c r="G12" s="1613" t="s">
        <v>24014</v>
      </c>
    </row>
    <row r="13" spans="1:14" ht="17" customHeight="1" x14ac:dyDescent="0.4">
      <c r="A13" s="1617" t="s">
        <v>24020</v>
      </c>
      <c r="B13" s="1616" t="s">
        <v>23995</v>
      </c>
      <c r="C13" s="1616" t="s">
        <v>23991</v>
      </c>
      <c r="D13" s="1618" t="s">
        <v>24021</v>
      </c>
      <c r="E13" s="1616" t="s">
        <v>24022</v>
      </c>
      <c r="F13" s="1616" t="s">
        <v>24023</v>
      </c>
      <c r="G13" s="1616" t="s">
        <v>24024</v>
      </c>
    </row>
    <row r="14" spans="1:14" ht="17" customHeight="1" x14ac:dyDescent="0.4">
      <c r="A14" s="1613" t="s">
        <v>24025</v>
      </c>
      <c r="B14" s="1613" t="s">
        <v>23995</v>
      </c>
      <c r="C14" s="1613" t="s">
        <v>24016</v>
      </c>
      <c r="D14" s="1615" t="s">
        <v>24026</v>
      </c>
      <c r="E14" s="1613" t="s">
        <v>24027</v>
      </c>
      <c r="F14" s="1613" t="s">
        <v>24028</v>
      </c>
      <c r="G14" s="1613" t="s">
        <v>24024</v>
      </c>
    </row>
    <row r="15" spans="1:14" ht="17" customHeight="1" x14ac:dyDescent="0.4">
      <c r="A15" s="1616" t="s">
        <v>24029</v>
      </c>
      <c r="B15" s="1616" t="s">
        <v>23995</v>
      </c>
      <c r="C15" s="1616" t="s">
        <v>24016</v>
      </c>
      <c r="D15" s="1618" t="s">
        <v>24026</v>
      </c>
      <c r="E15" s="1616" t="s">
        <v>24030</v>
      </c>
      <c r="F15" s="1616" t="s">
        <v>24031</v>
      </c>
      <c r="G15" s="1616" t="s">
        <v>24024</v>
      </c>
    </row>
    <row r="16" spans="1:14" ht="17" customHeight="1" x14ac:dyDescent="0.4">
      <c r="A16" s="1613" t="s">
        <v>24032</v>
      </c>
      <c r="B16" s="1613" t="s">
        <v>23995</v>
      </c>
      <c r="C16" s="1613" t="s">
        <v>24016</v>
      </c>
      <c r="D16" s="1613" t="s">
        <v>3096</v>
      </c>
      <c r="E16" s="1613" t="s">
        <v>24033</v>
      </c>
      <c r="F16" s="1613" t="s">
        <v>24034</v>
      </c>
      <c r="G16" s="1613" t="s">
        <v>24024</v>
      </c>
    </row>
    <row r="17" spans="1:7" ht="17" customHeight="1" x14ac:dyDescent="0.4">
      <c r="A17" s="1616" t="s">
        <v>24035</v>
      </c>
      <c r="B17" s="1616" t="s">
        <v>23995</v>
      </c>
      <c r="C17" s="1616" t="s">
        <v>24016</v>
      </c>
      <c r="D17" s="1616" t="s">
        <v>3096</v>
      </c>
      <c r="E17" s="1616" t="s">
        <v>24036</v>
      </c>
      <c r="F17" s="1616" t="s">
        <v>24037</v>
      </c>
      <c r="G17" s="1616" t="s">
        <v>24024</v>
      </c>
    </row>
    <row r="18" spans="1:7" ht="17" customHeight="1" x14ac:dyDescent="0.4">
      <c r="A18" s="1614" t="s">
        <v>24038</v>
      </c>
      <c r="B18" s="1613" t="s">
        <v>24039</v>
      </c>
      <c r="C18" s="1613" t="s">
        <v>23991</v>
      </c>
      <c r="D18" s="1615" t="s">
        <v>24040</v>
      </c>
      <c r="E18" s="1613" t="s">
        <v>24041</v>
      </c>
      <c r="F18" s="1613" t="s">
        <v>24042</v>
      </c>
      <c r="G18" s="1613" t="s">
        <v>24024</v>
      </c>
    </row>
    <row r="19" spans="1:7" ht="17" customHeight="1" x14ac:dyDescent="0.4">
      <c r="A19" s="1616" t="s">
        <v>24043</v>
      </c>
      <c r="B19" s="1616" t="s">
        <v>23995</v>
      </c>
      <c r="C19" s="1616" t="s">
        <v>24016</v>
      </c>
      <c r="D19" s="1616" t="s">
        <v>3096</v>
      </c>
      <c r="E19" s="1616" t="s">
        <v>24044</v>
      </c>
      <c r="F19" s="1616" t="s">
        <v>24045</v>
      </c>
      <c r="G19" s="1616" t="s">
        <v>24024</v>
      </c>
    </row>
    <row r="20" spans="1:7" ht="17" customHeight="1" x14ac:dyDescent="0.4">
      <c r="A20" s="1613" t="s">
        <v>24046</v>
      </c>
      <c r="B20" s="1613" t="s">
        <v>23995</v>
      </c>
      <c r="C20" s="1613" t="s">
        <v>24016</v>
      </c>
      <c r="D20" s="1613" t="s">
        <v>3096</v>
      </c>
      <c r="E20" s="1613" t="s">
        <v>24047</v>
      </c>
      <c r="F20" s="1613" t="s">
        <v>24048</v>
      </c>
      <c r="G20" s="1613" t="s">
        <v>24024</v>
      </c>
    </row>
    <row r="21" spans="1:7" ht="17" customHeight="1" x14ac:dyDescent="0.4">
      <c r="A21" s="1616" t="s">
        <v>24049</v>
      </c>
      <c r="B21" s="1616" t="s">
        <v>23995</v>
      </c>
      <c r="C21" s="1616" t="s">
        <v>24016</v>
      </c>
      <c r="D21" s="1618" t="s">
        <v>24006</v>
      </c>
      <c r="E21" s="1616" t="s">
        <v>24050</v>
      </c>
      <c r="F21" s="1616" t="s">
        <v>24051</v>
      </c>
      <c r="G21" s="1616" t="s">
        <v>24052</v>
      </c>
    </row>
    <row r="22" spans="1:7" ht="17" customHeight="1" x14ac:dyDescent="0.4">
      <c r="A22" s="1613" t="s">
        <v>24053</v>
      </c>
      <c r="B22" s="1613" t="s">
        <v>23995</v>
      </c>
      <c r="C22" s="1613" t="s">
        <v>24016</v>
      </c>
      <c r="D22" s="1613" t="s">
        <v>3096</v>
      </c>
      <c r="E22" s="1613" t="s">
        <v>24054</v>
      </c>
      <c r="F22" s="1613" t="s">
        <v>24055</v>
      </c>
      <c r="G22" s="1613" t="s">
        <v>24052</v>
      </c>
    </row>
    <row r="23" spans="1:7" ht="17" customHeight="1" x14ac:dyDescent="0.4">
      <c r="A23" s="1616" t="s">
        <v>24056</v>
      </c>
      <c r="B23" s="1616" t="s">
        <v>23995</v>
      </c>
      <c r="C23" s="1616" t="s">
        <v>24016</v>
      </c>
      <c r="D23" s="1616" t="s">
        <v>3096</v>
      </c>
      <c r="E23" s="1616" t="s">
        <v>24057</v>
      </c>
      <c r="F23" s="1616" t="s">
        <v>24058</v>
      </c>
      <c r="G23" s="1616" t="s">
        <v>3096</v>
      </c>
    </row>
    <row r="24" spans="1:7" ht="17" customHeight="1" x14ac:dyDescent="0.4">
      <c r="A24" s="1613" t="s">
        <v>24059</v>
      </c>
      <c r="B24" s="1613" t="s">
        <v>23995</v>
      </c>
      <c r="C24" s="1613" t="s">
        <v>24016</v>
      </c>
      <c r="D24" s="1613" t="s">
        <v>3096</v>
      </c>
      <c r="E24" s="1613" t="s">
        <v>24060</v>
      </c>
      <c r="F24" s="1613" t="s">
        <v>24061</v>
      </c>
      <c r="G24" s="1613" t="s">
        <v>3096</v>
      </c>
    </row>
    <row r="25" spans="1:7" ht="17" customHeight="1" x14ac:dyDescent="0.4">
      <c r="A25" s="1616" t="s">
        <v>24062</v>
      </c>
      <c r="B25" s="1616" t="s">
        <v>23995</v>
      </c>
      <c r="C25" s="1616" t="s">
        <v>24016</v>
      </c>
      <c r="D25" s="1616" t="s">
        <v>3096</v>
      </c>
      <c r="E25" s="1616" t="s">
        <v>24063</v>
      </c>
      <c r="F25" s="1616" t="s">
        <v>24064</v>
      </c>
      <c r="G25" s="1616" t="s">
        <v>3096</v>
      </c>
    </row>
    <row r="26" spans="1:7" ht="17" customHeight="1" x14ac:dyDescent="0.4">
      <c r="A26" s="1613" t="s">
        <v>24065</v>
      </c>
      <c r="B26" s="1613" t="s">
        <v>23995</v>
      </c>
      <c r="C26" s="1613" t="s">
        <v>24016</v>
      </c>
      <c r="D26" s="1613" t="s">
        <v>3096</v>
      </c>
      <c r="E26" s="1613" t="s">
        <v>24066</v>
      </c>
      <c r="F26" s="1613" t="s">
        <v>24067</v>
      </c>
      <c r="G26" s="1613" t="s">
        <v>3096</v>
      </c>
    </row>
    <row r="27" spans="1:7" ht="17" customHeight="1" x14ac:dyDescent="0.4">
      <c r="A27" s="1616" t="s">
        <v>24068</v>
      </c>
      <c r="B27" s="1616" t="s">
        <v>23995</v>
      </c>
      <c r="C27" s="1616" t="s">
        <v>24016</v>
      </c>
      <c r="D27" s="1618" t="s">
        <v>24026</v>
      </c>
      <c r="E27" s="1616" t="s">
        <v>24069</v>
      </c>
      <c r="F27" s="1616" t="s">
        <v>24070</v>
      </c>
      <c r="G27" s="1616" t="s">
        <v>24071</v>
      </c>
    </row>
    <row r="28" spans="1:7" ht="17" customHeight="1" x14ac:dyDescent="0.4">
      <c r="A28" s="1613" t="s">
        <v>24072</v>
      </c>
      <c r="B28" s="1613" t="s">
        <v>23995</v>
      </c>
      <c r="C28" s="1613" t="s">
        <v>24016</v>
      </c>
      <c r="D28" s="1613" t="s">
        <v>3096</v>
      </c>
      <c r="E28" s="1613" t="s">
        <v>24073</v>
      </c>
      <c r="F28" s="1613" t="s">
        <v>24074</v>
      </c>
      <c r="G28" s="1613" t="s">
        <v>24014</v>
      </c>
    </row>
    <row r="29" spans="1:7" ht="17" customHeight="1" x14ac:dyDescent="0.4">
      <c r="A29" s="1616" t="s">
        <v>24075</v>
      </c>
      <c r="B29" s="1616" t="s">
        <v>23995</v>
      </c>
      <c r="C29" s="1616" t="s">
        <v>24016</v>
      </c>
      <c r="D29" s="1618" t="s">
        <v>24026</v>
      </c>
      <c r="E29" s="1616" t="s">
        <v>24076</v>
      </c>
      <c r="F29" s="1616" t="s">
        <v>24077</v>
      </c>
      <c r="G29" s="1616" t="s">
        <v>24078</v>
      </c>
    </row>
    <row r="30" spans="1:7" ht="17" customHeight="1" x14ac:dyDescent="0.4">
      <c r="A30" s="1613" t="s">
        <v>24079</v>
      </c>
      <c r="B30" s="1613" t="s">
        <v>23995</v>
      </c>
      <c r="C30" s="1613" t="s">
        <v>24016</v>
      </c>
      <c r="D30" s="1613" t="s">
        <v>3096</v>
      </c>
      <c r="E30" s="1613" t="s">
        <v>24080</v>
      </c>
      <c r="F30" s="1613" t="s">
        <v>24081</v>
      </c>
      <c r="G30" s="1613" t="s">
        <v>3096</v>
      </c>
    </row>
    <row r="31" spans="1:7" ht="17" customHeight="1" x14ac:dyDescent="0.4">
      <c r="A31" s="1616" t="s">
        <v>24082</v>
      </c>
      <c r="B31" s="1616" t="s">
        <v>24083</v>
      </c>
      <c r="C31" s="1616" t="s">
        <v>24016</v>
      </c>
      <c r="D31" s="1616" t="s">
        <v>3096</v>
      </c>
      <c r="E31" s="1616" t="s">
        <v>24084</v>
      </c>
      <c r="F31" s="1616" t="s">
        <v>24085</v>
      </c>
      <c r="G31" s="1616" t="s">
        <v>3096</v>
      </c>
    </row>
    <row r="32" spans="1:7" ht="17" customHeight="1" x14ac:dyDescent="0.4">
      <c r="A32" s="1614" t="s">
        <v>24086</v>
      </c>
      <c r="B32" s="1613" t="s">
        <v>23995</v>
      </c>
      <c r="C32" s="1613" t="s">
        <v>23991</v>
      </c>
      <c r="D32" s="1615" t="s">
        <v>24026</v>
      </c>
      <c r="E32" s="1613" t="s">
        <v>24087</v>
      </c>
      <c r="F32" s="1613" t="s">
        <v>24088</v>
      </c>
      <c r="G32" s="1613" t="s">
        <v>3096</v>
      </c>
    </row>
    <row r="33" spans="1:14" ht="17" customHeight="1" x14ac:dyDescent="0.4">
      <c r="A33" s="1617" t="s">
        <v>24089</v>
      </c>
      <c r="B33" s="1616" t="s">
        <v>23995</v>
      </c>
      <c r="C33" s="1616" t="s">
        <v>23991</v>
      </c>
      <c r="D33" s="1618" t="s">
        <v>24026</v>
      </c>
      <c r="E33" s="1616" t="s">
        <v>24090</v>
      </c>
      <c r="F33" s="1616" t="s">
        <v>24091</v>
      </c>
      <c r="G33" s="1616" t="s">
        <v>24092</v>
      </c>
    </row>
    <row r="34" spans="1:14" ht="17" customHeight="1" x14ac:dyDescent="0.4">
      <c r="A34" s="1613" t="s">
        <v>24093</v>
      </c>
      <c r="B34" s="1613" t="s">
        <v>24094</v>
      </c>
      <c r="C34" s="1613" t="s">
        <v>24016</v>
      </c>
      <c r="D34" s="1615" t="s">
        <v>24026</v>
      </c>
      <c r="E34" s="1613" t="s">
        <v>3096</v>
      </c>
      <c r="F34" s="1613" t="s">
        <v>24095</v>
      </c>
      <c r="G34" s="1613" t="s">
        <v>24071</v>
      </c>
    </row>
    <row r="35" spans="1:14" ht="17" customHeight="1" x14ac:dyDescent="0.4">
      <c r="A35" s="1616" t="s">
        <v>24096</v>
      </c>
      <c r="B35" s="1616" t="s">
        <v>24097</v>
      </c>
      <c r="C35" s="1616" t="s">
        <v>24016</v>
      </c>
      <c r="D35" s="1616" t="s">
        <v>3096</v>
      </c>
      <c r="E35" s="1616" t="s">
        <v>3096</v>
      </c>
      <c r="F35" s="1616" t="s">
        <v>24098</v>
      </c>
      <c r="G35" s="1616" t="s">
        <v>24099</v>
      </c>
    </row>
    <row r="36" spans="1:14" ht="17" customHeight="1" x14ac:dyDescent="0.4">
      <c r="A36" s="1613" t="s">
        <v>24100</v>
      </c>
      <c r="B36" s="1613" t="s">
        <v>24101</v>
      </c>
      <c r="C36" s="1613" t="s">
        <v>24016</v>
      </c>
      <c r="D36" s="1613" t="s">
        <v>3096</v>
      </c>
      <c r="E36" s="1613" t="s">
        <v>3096</v>
      </c>
      <c r="F36" s="1613" t="s">
        <v>24102</v>
      </c>
      <c r="G36" s="1613" t="s">
        <v>24103</v>
      </c>
    </row>
    <row r="37" spans="1:14" ht="17" customHeight="1" x14ac:dyDescent="0.4">
      <c r="A37" s="1616" t="s">
        <v>24104</v>
      </c>
      <c r="B37" s="1616" t="s">
        <v>23995</v>
      </c>
      <c r="C37" s="1616" t="s">
        <v>24016</v>
      </c>
      <c r="D37" s="1616" t="s">
        <v>3096</v>
      </c>
      <c r="E37" s="1616" t="s">
        <v>24105</v>
      </c>
      <c r="F37" s="1616" t="s">
        <v>24106</v>
      </c>
      <c r="G37" s="1616" t="s">
        <v>24103</v>
      </c>
    </row>
    <row r="38" spans="1:14" ht="17" customHeight="1" x14ac:dyDescent="0.4">
      <c r="A38" s="1613" t="s">
        <v>24107</v>
      </c>
      <c r="B38" s="1613" t="s">
        <v>23995</v>
      </c>
      <c r="C38" s="1613" t="s">
        <v>24016</v>
      </c>
      <c r="D38" s="1613" t="s">
        <v>3096</v>
      </c>
      <c r="E38" s="1613" t="s">
        <v>24105</v>
      </c>
      <c r="F38" s="1613" t="s">
        <v>24108</v>
      </c>
      <c r="G38" s="1613" t="s">
        <v>24103</v>
      </c>
    </row>
    <row r="39" spans="1:14" ht="17" customHeight="1" x14ac:dyDescent="0.4">
      <c r="A39" s="1616" t="s">
        <v>24109</v>
      </c>
      <c r="B39" s="1616" t="s">
        <v>24110</v>
      </c>
      <c r="C39" s="1616" t="s">
        <v>24016</v>
      </c>
      <c r="D39" s="1618" t="s">
        <v>24026</v>
      </c>
      <c r="E39" s="1616" t="s">
        <v>3096</v>
      </c>
      <c r="F39" s="1616" t="s">
        <v>24111</v>
      </c>
      <c r="G39" s="1616" t="s">
        <v>24078</v>
      </c>
    </row>
    <row r="40" spans="1:14" ht="17" customHeight="1" x14ac:dyDescent="0.4">
      <c r="A40" s="1613" t="s">
        <v>24112</v>
      </c>
      <c r="B40" s="1613" t="s">
        <v>24113</v>
      </c>
      <c r="C40" s="1613" t="s">
        <v>24016</v>
      </c>
      <c r="D40" s="1615" t="s">
        <v>24026</v>
      </c>
      <c r="E40" s="1613" t="s">
        <v>3096</v>
      </c>
      <c r="F40" s="1613" t="s">
        <v>24114</v>
      </c>
      <c r="G40" s="1613" t="s">
        <v>24115</v>
      </c>
    </row>
    <row r="41" spans="1:14" ht="17" customHeight="1" x14ac:dyDescent="0.4">
      <c r="A41" s="1617" t="s">
        <v>24116</v>
      </c>
      <c r="B41" s="1616" t="s">
        <v>24117</v>
      </c>
      <c r="C41" s="1616" t="s">
        <v>23991</v>
      </c>
      <c r="D41" s="1618" t="s">
        <v>24026</v>
      </c>
      <c r="E41" s="1616" t="s">
        <v>3096</v>
      </c>
      <c r="F41" s="1616" t="s">
        <v>24118</v>
      </c>
      <c r="G41" s="1616" t="s">
        <v>3096</v>
      </c>
    </row>
    <row r="42" spans="1:14" ht="17" customHeight="1" x14ac:dyDescent="0.4">
      <c r="A42" s="1614" t="s">
        <v>24119</v>
      </c>
      <c r="B42" s="1613" t="s">
        <v>24117</v>
      </c>
      <c r="C42" s="1613" t="s">
        <v>23991</v>
      </c>
      <c r="D42" s="1615" t="s">
        <v>24026</v>
      </c>
      <c r="E42" s="1613" t="s">
        <v>3096</v>
      </c>
      <c r="F42" s="1613" t="s">
        <v>24120</v>
      </c>
      <c r="G42" s="1613" t="s">
        <v>3096</v>
      </c>
    </row>
    <row r="43" spans="1:14" ht="17" customHeight="1" x14ac:dyDescent="0.4">
      <c r="A43" s="1616" t="s">
        <v>24121</v>
      </c>
      <c r="B43" s="1616" t="s">
        <v>24083</v>
      </c>
      <c r="C43" s="1616" t="s">
        <v>24016</v>
      </c>
      <c r="D43" s="1616" t="s">
        <v>3096</v>
      </c>
      <c r="E43" s="1616" t="s">
        <v>24122</v>
      </c>
      <c r="F43" s="1616" t="s">
        <v>24123</v>
      </c>
      <c r="G43" s="1616" t="s">
        <v>3096</v>
      </c>
    </row>
    <row r="44" spans="1:14" ht="17" customHeight="1" x14ac:dyDescent="0.4">
      <c r="A44" s="1613" t="s">
        <v>24124</v>
      </c>
      <c r="B44" s="1613" t="s">
        <v>24125</v>
      </c>
      <c r="C44" s="1613" t="s">
        <v>24016</v>
      </c>
      <c r="D44" s="1613" t="s">
        <v>3096</v>
      </c>
      <c r="E44" s="1613" t="s">
        <v>24126</v>
      </c>
      <c r="F44" s="1613" t="s">
        <v>24127</v>
      </c>
      <c r="G44" s="1613" t="s">
        <v>24092</v>
      </c>
    </row>
    <row r="46" spans="1:14" ht="8" customHeight="1" x14ac:dyDescent="0.35"/>
    <row r="47" spans="1:14" ht="24" customHeight="1" x14ac:dyDescent="0.45">
      <c r="A47" s="1619" t="s">
        <v>24128</v>
      </c>
      <c r="B47" s="1313"/>
      <c r="C47" s="1313"/>
      <c r="D47" s="1313"/>
      <c r="E47" s="1313"/>
      <c r="F47" s="1313"/>
      <c r="G47" s="1313"/>
      <c r="H47" s="1313"/>
      <c r="I47" s="1313"/>
      <c r="J47" s="1313"/>
      <c r="K47" s="1313"/>
      <c r="L47" s="1313"/>
      <c r="M47" s="1313"/>
      <c r="N47" s="1313"/>
    </row>
    <row r="48" spans="1:14" ht="22" customHeight="1" x14ac:dyDescent="0.45">
      <c r="A48" s="389" t="s">
        <v>24129</v>
      </c>
      <c r="B48" s="389" t="s">
        <v>24130</v>
      </c>
      <c r="C48" s="389" t="s">
        <v>24131</v>
      </c>
      <c r="D48" s="389" t="s">
        <v>24132</v>
      </c>
      <c r="E48" s="389" t="s">
        <v>24133</v>
      </c>
      <c r="F48" s="389" t="s">
        <v>24134</v>
      </c>
    </row>
    <row r="49" spans="1:6" ht="16" customHeight="1" x14ac:dyDescent="0.4">
      <c r="A49" s="1613" t="s">
        <v>16355</v>
      </c>
      <c r="B49" s="1613" t="s">
        <v>24135</v>
      </c>
      <c r="C49" s="1613" t="s">
        <v>24136</v>
      </c>
      <c r="D49" s="1613" t="s">
        <v>24137</v>
      </c>
      <c r="E49" s="1613">
        <v>72</v>
      </c>
      <c r="F49" s="1613" t="s">
        <v>24138</v>
      </c>
    </row>
    <row r="50" spans="1:6" ht="16" customHeight="1" x14ac:dyDescent="0.4">
      <c r="A50" s="1616" t="s">
        <v>16381</v>
      </c>
      <c r="B50" s="1616" t="s">
        <v>24135</v>
      </c>
      <c r="C50" s="1616" t="s">
        <v>24139</v>
      </c>
      <c r="D50" s="1616" t="s">
        <v>24140</v>
      </c>
      <c r="E50" s="1616">
        <v>6</v>
      </c>
      <c r="F50" s="1616" t="s">
        <v>24141</v>
      </c>
    </row>
    <row r="51" spans="1:6" ht="16" customHeight="1" x14ac:dyDescent="0.4">
      <c r="A51" s="1613" t="s">
        <v>18419</v>
      </c>
      <c r="B51" s="1613" t="s">
        <v>24142</v>
      </c>
      <c r="C51" s="1613" t="s">
        <v>24143</v>
      </c>
      <c r="D51" s="1613" t="s">
        <v>24144</v>
      </c>
      <c r="E51" s="1613">
        <v>90</v>
      </c>
      <c r="F51" s="1613" t="s">
        <v>24145</v>
      </c>
    </row>
    <row r="52" spans="1:6" ht="16" customHeight="1" x14ac:dyDescent="0.4">
      <c r="A52" s="1616" t="s">
        <v>16371</v>
      </c>
      <c r="B52" s="1616" t="s">
        <v>24142</v>
      </c>
      <c r="C52" s="1616" t="s">
        <v>24143</v>
      </c>
      <c r="D52" s="1616" t="s">
        <v>24072</v>
      </c>
      <c r="E52" s="1616">
        <v>109</v>
      </c>
      <c r="F52" s="1616" t="s">
        <v>24146</v>
      </c>
    </row>
    <row r="53" spans="1:6" ht="16" customHeight="1" x14ac:dyDescent="0.4">
      <c r="A53" s="1613" t="s">
        <v>9786</v>
      </c>
      <c r="B53" s="1613" t="s">
        <v>24142</v>
      </c>
      <c r="C53" s="1613" t="s">
        <v>24143</v>
      </c>
      <c r="D53" s="1613" t="s">
        <v>24147</v>
      </c>
      <c r="E53" s="1613">
        <v>390</v>
      </c>
      <c r="F53" s="1613" t="s">
        <v>24148</v>
      </c>
    </row>
    <row r="54" spans="1:6" ht="16" customHeight="1" x14ac:dyDescent="0.4">
      <c r="A54" s="1616" t="s">
        <v>16373</v>
      </c>
      <c r="B54" s="1616" t="s">
        <v>24142</v>
      </c>
      <c r="C54" s="1616" t="s">
        <v>24143</v>
      </c>
      <c r="D54" s="1616" t="s">
        <v>24149</v>
      </c>
      <c r="E54" s="1616">
        <v>183</v>
      </c>
      <c r="F54" s="1616" t="s">
        <v>24150</v>
      </c>
    </row>
    <row r="55" spans="1:6" ht="16" customHeight="1" x14ac:dyDescent="0.4">
      <c r="A55" s="1613" t="s">
        <v>16393</v>
      </c>
      <c r="B55" s="1613" t="s">
        <v>24142</v>
      </c>
      <c r="C55" s="1613" t="s">
        <v>24143</v>
      </c>
      <c r="D55" s="1613" t="s">
        <v>24068</v>
      </c>
      <c r="E55" s="1613">
        <v>39</v>
      </c>
      <c r="F55" s="1613" t="s">
        <v>24151</v>
      </c>
    </row>
    <row r="56" spans="1:6" ht="16" customHeight="1" x14ac:dyDescent="0.4">
      <c r="A56" s="1616" t="s">
        <v>16391</v>
      </c>
      <c r="B56" s="1616" t="s">
        <v>24142</v>
      </c>
      <c r="C56" s="1616" t="s">
        <v>24143</v>
      </c>
      <c r="D56" s="1616" t="s">
        <v>24068</v>
      </c>
      <c r="E56" s="1616">
        <v>203</v>
      </c>
      <c r="F56" s="1616" t="s">
        <v>24152</v>
      </c>
    </row>
    <row r="57" spans="1:6" ht="16" customHeight="1" x14ac:dyDescent="0.4">
      <c r="A57" s="1613" t="s">
        <v>9788</v>
      </c>
      <c r="B57" s="1613" t="s">
        <v>1101</v>
      </c>
      <c r="C57" s="1613" t="s">
        <v>24153</v>
      </c>
      <c r="D57" s="1613" t="s">
        <v>24154</v>
      </c>
      <c r="E57" s="1613">
        <v>349</v>
      </c>
      <c r="F57" s="1613" t="s">
        <v>24155</v>
      </c>
    </row>
    <row r="58" spans="1:6" ht="16" customHeight="1" x14ac:dyDescent="0.4">
      <c r="A58" s="1616" t="s">
        <v>18256</v>
      </c>
      <c r="B58" s="1616" t="s">
        <v>1101</v>
      </c>
      <c r="C58" s="1616" t="s">
        <v>24153</v>
      </c>
      <c r="D58" s="1616" t="s">
        <v>24156</v>
      </c>
      <c r="E58" s="1616">
        <v>280</v>
      </c>
      <c r="F58" s="1616" t="s">
        <v>24157</v>
      </c>
    </row>
    <row r="59" spans="1:6" ht="16" customHeight="1" x14ac:dyDescent="0.4">
      <c r="A59" s="1613" t="s">
        <v>16364</v>
      </c>
      <c r="B59" s="1613" t="s">
        <v>1101</v>
      </c>
      <c r="C59" s="1613" t="s">
        <v>24158</v>
      </c>
      <c r="D59" s="1613" t="s">
        <v>24159</v>
      </c>
      <c r="E59" s="1613">
        <v>94</v>
      </c>
      <c r="F59" s="1613" t="s">
        <v>24160</v>
      </c>
    </row>
    <row r="60" spans="1:6" ht="16" customHeight="1" x14ac:dyDescent="0.4">
      <c r="A60" s="1616" t="s">
        <v>16366</v>
      </c>
      <c r="B60" s="1616" t="s">
        <v>1101</v>
      </c>
      <c r="C60" s="1616" t="s">
        <v>24158</v>
      </c>
      <c r="D60" s="1616" t="s">
        <v>24161</v>
      </c>
      <c r="E60" s="1616">
        <v>104</v>
      </c>
      <c r="F60" s="1616" t="s">
        <v>24160</v>
      </c>
    </row>
    <row r="61" spans="1:6" ht="16" customHeight="1" x14ac:dyDescent="0.4">
      <c r="A61" s="1613" t="s">
        <v>16370</v>
      </c>
      <c r="B61" s="1613" t="s">
        <v>1101</v>
      </c>
      <c r="C61" s="1613" t="s">
        <v>24158</v>
      </c>
      <c r="D61" s="1613" t="s">
        <v>24162</v>
      </c>
      <c r="E61" s="1613">
        <v>92</v>
      </c>
      <c r="F61" s="1613" t="s">
        <v>24160</v>
      </c>
    </row>
    <row r="62" spans="1:6" ht="16" customHeight="1" x14ac:dyDescent="0.4">
      <c r="A62" s="1616" t="s">
        <v>16367</v>
      </c>
      <c r="B62" s="1616" t="s">
        <v>1101</v>
      </c>
      <c r="C62" s="1616" t="s">
        <v>24143</v>
      </c>
      <c r="D62" s="1616" t="s">
        <v>24163</v>
      </c>
      <c r="E62" s="1616">
        <v>166</v>
      </c>
      <c r="F62" s="1616" t="s">
        <v>24164</v>
      </c>
    </row>
    <row r="63" spans="1:6" ht="16" customHeight="1" x14ac:dyDescent="0.4">
      <c r="A63" s="1613" t="s">
        <v>16368</v>
      </c>
      <c r="B63" s="1613" t="s">
        <v>1101</v>
      </c>
      <c r="C63" s="1613" t="s">
        <v>24143</v>
      </c>
      <c r="D63" s="1613" t="s">
        <v>24165</v>
      </c>
      <c r="E63" s="1613">
        <v>101</v>
      </c>
      <c r="F63" s="1613" t="s">
        <v>24166</v>
      </c>
    </row>
    <row r="64" spans="1:6" ht="16" customHeight="1" x14ac:dyDescent="0.4">
      <c r="A64" s="1616" t="s">
        <v>18252</v>
      </c>
      <c r="B64" s="1616" t="s">
        <v>1101</v>
      </c>
      <c r="C64" s="1616" t="s">
        <v>24167</v>
      </c>
      <c r="D64" s="1616" t="s">
        <v>24168</v>
      </c>
      <c r="E64" s="1616">
        <v>25</v>
      </c>
      <c r="F64" s="1616" t="s">
        <v>24169</v>
      </c>
    </row>
    <row r="65" spans="1:6" ht="16" customHeight="1" x14ac:dyDescent="0.4">
      <c r="A65" s="1613" t="s">
        <v>16389</v>
      </c>
      <c r="B65" s="1613" t="s">
        <v>1101</v>
      </c>
      <c r="C65" s="1613" t="s">
        <v>24143</v>
      </c>
      <c r="D65" s="1613" t="s">
        <v>24170</v>
      </c>
      <c r="E65" s="1613">
        <v>284</v>
      </c>
      <c r="F65" s="1613" t="s">
        <v>24171</v>
      </c>
    </row>
    <row r="66" spans="1:6" ht="16" customHeight="1" x14ac:dyDescent="0.4">
      <c r="A66" s="1616" t="s">
        <v>24172</v>
      </c>
      <c r="B66" s="1616" t="s">
        <v>1101</v>
      </c>
      <c r="C66" s="1616" t="s">
        <v>24143</v>
      </c>
      <c r="D66" s="1616" t="s">
        <v>24173</v>
      </c>
      <c r="E66" s="1616">
        <v>26</v>
      </c>
      <c r="F66" s="1616" t="s">
        <v>24174</v>
      </c>
    </row>
    <row r="67" spans="1:6" ht="16" customHeight="1" x14ac:dyDescent="0.4">
      <c r="A67" s="1613" t="s">
        <v>16395</v>
      </c>
      <c r="B67" s="1613" t="s">
        <v>1101</v>
      </c>
      <c r="C67" s="1613" t="s">
        <v>24143</v>
      </c>
      <c r="D67" s="1613" t="s">
        <v>24175</v>
      </c>
      <c r="E67" s="1613">
        <v>99</v>
      </c>
      <c r="F67" s="1613" t="s">
        <v>24176</v>
      </c>
    </row>
    <row r="68" spans="1:6" ht="16" customHeight="1" x14ac:dyDescent="0.4">
      <c r="A68" s="1616" t="s">
        <v>16374</v>
      </c>
      <c r="B68" s="1616" t="s">
        <v>24177</v>
      </c>
      <c r="C68" s="1616" t="s">
        <v>24143</v>
      </c>
      <c r="D68" s="1616" t="s">
        <v>24178</v>
      </c>
      <c r="E68" s="1616">
        <v>27</v>
      </c>
      <c r="F68" s="1616" t="s">
        <v>24179</v>
      </c>
    </row>
    <row r="69" spans="1:6" ht="16" customHeight="1" x14ac:dyDescent="0.4">
      <c r="A69" s="1613" t="s">
        <v>16376</v>
      </c>
      <c r="B69" s="1613" t="s">
        <v>24177</v>
      </c>
      <c r="C69" s="1613" t="s">
        <v>24143</v>
      </c>
      <c r="D69" s="1613" t="s">
        <v>24180</v>
      </c>
      <c r="E69" s="1613">
        <v>170</v>
      </c>
      <c r="F69" s="1613" t="s">
        <v>24181</v>
      </c>
    </row>
    <row r="70" spans="1:6" ht="16" customHeight="1" x14ac:dyDescent="0.4">
      <c r="A70" s="1616" t="s">
        <v>21937</v>
      </c>
      <c r="B70" s="1616" t="s">
        <v>24177</v>
      </c>
      <c r="C70" s="1616" t="s">
        <v>24143</v>
      </c>
      <c r="D70" s="1616" t="s">
        <v>24182</v>
      </c>
      <c r="E70" s="1616">
        <v>443</v>
      </c>
      <c r="F70" s="1616" t="s">
        <v>24183</v>
      </c>
    </row>
    <row r="71" spans="1:6" ht="16" customHeight="1" x14ac:dyDescent="0.4">
      <c r="A71" s="1613" t="s">
        <v>16385</v>
      </c>
      <c r="B71" s="1613" t="s">
        <v>977</v>
      </c>
      <c r="C71" s="1613" t="s">
        <v>24143</v>
      </c>
      <c r="D71" s="1613" t="s">
        <v>24184</v>
      </c>
      <c r="E71" s="1613">
        <v>283</v>
      </c>
      <c r="F71" s="1613" t="s">
        <v>24185</v>
      </c>
    </row>
    <row r="72" spans="1:6" ht="16" customHeight="1" x14ac:dyDescent="0.4">
      <c r="A72" s="1616" t="s">
        <v>16363</v>
      </c>
      <c r="B72" s="1616" t="s">
        <v>977</v>
      </c>
      <c r="C72" s="1616" t="s">
        <v>24143</v>
      </c>
      <c r="D72" s="1616" t="s">
        <v>24186</v>
      </c>
      <c r="E72" s="1616">
        <v>124</v>
      </c>
      <c r="F72" s="1616" t="s">
        <v>24187</v>
      </c>
    </row>
    <row r="73" spans="1:6" ht="16" customHeight="1" x14ac:dyDescent="0.4">
      <c r="A73" s="1613" t="s">
        <v>16361</v>
      </c>
      <c r="B73" s="1613" t="s">
        <v>977</v>
      </c>
      <c r="C73" s="1613" t="s">
        <v>24188</v>
      </c>
      <c r="D73" s="1613" t="s">
        <v>24189</v>
      </c>
      <c r="E73" s="1613">
        <v>238</v>
      </c>
      <c r="F73" s="1613" t="s">
        <v>24190</v>
      </c>
    </row>
    <row r="74" spans="1:6" ht="16" customHeight="1" x14ac:dyDescent="0.4">
      <c r="A74" s="1616" t="s">
        <v>21933</v>
      </c>
      <c r="B74" s="1616" t="s">
        <v>977</v>
      </c>
      <c r="C74" s="1616" t="s">
        <v>24191</v>
      </c>
      <c r="D74" s="1616" t="s">
        <v>24192</v>
      </c>
      <c r="E74" s="1616">
        <v>138</v>
      </c>
      <c r="F74" s="1616" t="s">
        <v>24193</v>
      </c>
    </row>
    <row r="75" spans="1:6" ht="16" customHeight="1" x14ac:dyDescent="0.4">
      <c r="A75" s="1613" t="s">
        <v>22448</v>
      </c>
      <c r="B75" s="1613" t="s">
        <v>977</v>
      </c>
      <c r="C75" s="1613" t="s">
        <v>24191</v>
      </c>
      <c r="D75" s="1613" t="s">
        <v>24194</v>
      </c>
      <c r="E75" s="1613">
        <v>130</v>
      </c>
      <c r="F75" s="1613" t="s">
        <v>24193</v>
      </c>
    </row>
    <row r="76" spans="1:6" ht="16" customHeight="1" x14ac:dyDescent="0.4">
      <c r="A76" s="1616" t="s">
        <v>24195</v>
      </c>
      <c r="B76" s="1616" t="s">
        <v>977</v>
      </c>
      <c r="C76" s="1616" t="s">
        <v>24191</v>
      </c>
      <c r="D76" s="1616" t="s">
        <v>24196</v>
      </c>
      <c r="E76" s="1616">
        <v>159</v>
      </c>
      <c r="F76" s="1616" t="s">
        <v>24193</v>
      </c>
    </row>
    <row r="77" spans="1:6" ht="16" customHeight="1" x14ac:dyDescent="0.4">
      <c r="A77" s="1613" t="s">
        <v>24197</v>
      </c>
      <c r="B77" s="1613" t="s">
        <v>977</v>
      </c>
      <c r="C77" s="1613" t="s">
        <v>24143</v>
      </c>
      <c r="D77" s="1613" t="s">
        <v>24198</v>
      </c>
      <c r="E77" s="1613">
        <v>167</v>
      </c>
      <c r="F77" s="1613" t="s">
        <v>24199</v>
      </c>
    </row>
    <row r="78" spans="1:6" ht="16" customHeight="1" x14ac:dyDescent="0.4">
      <c r="A78" s="1616" t="s">
        <v>9787</v>
      </c>
      <c r="B78" s="1616" t="s">
        <v>4489</v>
      </c>
      <c r="C78" s="1616" t="s">
        <v>24188</v>
      </c>
      <c r="D78" s="1616" t="s">
        <v>24200</v>
      </c>
      <c r="E78" s="1616">
        <v>142</v>
      </c>
      <c r="F78" s="1616" t="s">
        <v>24201</v>
      </c>
    </row>
    <row r="79" spans="1:6" ht="16" customHeight="1" x14ac:dyDescent="0.4">
      <c r="A79" s="1613" t="s">
        <v>24202</v>
      </c>
      <c r="B79" s="1613" t="s">
        <v>4489</v>
      </c>
      <c r="C79" s="1613" t="s">
        <v>24203</v>
      </c>
      <c r="D79" s="1613" t="s">
        <v>24204</v>
      </c>
      <c r="E79" s="1613">
        <v>51</v>
      </c>
      <c r="F79" s="1613" t="s">
        <v>24201</v>
      </c>
    </row>
    <row r="80" spans="1:6" ht="16" customHeight="1" x14ac:dyDescent="0.4">
      <c r="A80" s="1616" t="s">
        <v>24205</v>
      </c>
      <c r="B80" s="1616" t="s">
        <v>4489</v>
      </c>
      <c r="C80" s="1616" t="s">
        <v>24206</v>
      </c>
      <c r="D80" s="1616" t="s">
        <v>24207</v>
      </c>
      <c r="E80" s="1616">
        <v>199</v>
      </c>
      <c r="F80" s="1616" t="s">
        <v>24208</v>
      </c>
    </row>
    <row r="81" spans="1:6" ht="16" customHeight="1" x14ac:dyDescent="0.4">
      <c r="A81" s="1613" t="s">
        <v>16359</v>
      </c>
      <c r="B81" s="1613" t="s">
        <v>4489</v>
      </c>
      <c r="C81" s="1613" t="s">
        <v>24209</v>
      </c>
      <c r="D81" s="1613" t="s">
        <v>24210</v>
      </c>
      <c r="E81" s="1613">
        <v>41</v>
      </c>
      <c r="F81" s="1613" t="s">
        <v>24211</v>
      </c>
    </row>
    <row r="82" spans="1:6" ht="16" customHeight="1" x14ac:dyDescent="0.4">
      <c r="A82" s="1616" t="s">
        <v>16396</v>
      </c>
      <c r="B82" s="1616" t="s">
        <v>24212</v>
      </c>
      <c r="C82" s="1616" t="s">
        <v>24143</v>
      </c>
      <c r="D82" s="1616" t="s">
        <v>24213</v>
      </c>
      <c r="E82" s="1616">
        <v>79</v>
      </c>
      <c r="F82" s="1616" t="s">
        <v>24214</v>
      </c>
    </row>
    <row r="83" spans="1:6" ht="16" customHeight="1" x14ac:dyDescent="0.4">
      <c r="A83" s="1613" t="s">
        <v>16398</v>
      </c>
      <c r="B83" s="1613" t="s">
        <v>24212</v>
      </c>
      <c r="C83" s="1613" t="s">
        <v>24143</v>
      </c>
      <c r="D83" s="1613" t="s">
        <v>24215</v>
      </c>
      <c r="E83" s="1613">
        <v>196</v>
      </c>
      <c r="F83" s="1613" t="s">
        <v>24216</v>
      </c>
    </row>
    <row r="84" spans="1:6" ht="16" customHeight="1" x14ac:dyDescent="0.4">
      <c r="A84" s="1616" t="s">
        <v>9792</v>
      </c>
      <c r="B84" s="1616" t="s">
        <v>24212</v>
      </c>
      <c r="C84" s="1616" t="s">
        <v>24217</v>
      </c>
      <c r="D84" s="1616" t="s">
        <v>24218</v>
      </c>
      <c r="E84" s="1616">
        <v>168</v>
      </c>
      <c r="F84" s="1616" t="s">
        <v>24219</v>
      </c>
    </row>
    <row r="85" spans="1:6" ht="16" customHeight="1" x14ac:dyDescent="0.4">
      <c r="A85" s="1613" t="s">
        <v>9793</v>
      </c>
      <c r="B85" s="1613" t="s">
        <v>24212</v>
      </c>
      <c r="C85" s="1613" t="s">
        <v>24217</v>
      </c>
      <c r="D85" s="1613" t="s">
        <v>24220</v>
      </c>
      <c r="E85" s="1613">
        <v>16</v>
      </c>
      <c r="F85" s="1613" t="s">
        <v>24221</v>
      </c>
    </row>
    <row r="86" spans="1:6" ht="16" customHeight="1" x14ac:dyDescent="0.4">
      <c r="A86" s="1616" t="s">
        <v>9789</v>
      </c>
      <c r="B86" s="1616" t="s">
        <v>9485</v>
      </c>
      <c r="C86" s="1616" t="s">
        <v>24143</v>
      </c>
      <c r="D86" s="1616" t="s">
        <v>24222</v>
      </c>
      <c r="E86" s="1616">
        <v>73</v>
      </c>
      <c r="F86" s="1616" t="s">
        <v>24223</v>
      </c>
    </row>
    <row r="87" spans="1:6" ht="16" customHeight="1" x14ac:dyDescent="0.4">
      <c r="A87" s="1613" t="s">
        <v>9791</v>
      </c>
      <c r="B87" s="1613" t="s">
        <v>9485</v>
      </c>
      <c r="C87" s="1613" t="s">
        <v>24143</v>
      </c>
      <c r="D87" s="1613" t="s">
        <v>24224</v>
      </c>
      <c r="E87" s="1613">
        <v>45</v>
      </c>
      <c r="F87" s="1613" t="s">
        <v>24225</v>
      </c>
    </row>
    <row r="88" spans="1:6" ht="16" customHeight="1" x14ac:dyDescent="0.4">
      <c r="A88" s="1616" t="s">
        <v>16387</v>
      </c>
      <c r="B88" s="1616" t="s">
        <v>9485</v>
      </c>
      <c r="C88" s="1616" t="s">
        <v>24143</v>
      </c>
      <c r="D88" s="1616" t="s">
        <v>24226</v>
      </c>
      <c r="E88" s="1616">
        <v>127</v>
      </c>
      <c r="F88" s="1616" t="s">
        <v>24227</v>
      </c>
    </row>
    <row r="89" spans="1:6" ht="16" customHeight="1" x14ac:dyDescent="0.4">
      <c r="A89" s="1613" t="s">
        <v>1496</v>
      </c>
      <c r="B89" s="1613" t="s">
        <v>24228</v>
      </c>
      <c r="C89" s="1613" t="s">
        <v>24143</v>
      </c>
      <c r="D89" s="1613" t="s">
        <v>24229</v>
      </c>
      <c r="E89" s="1613">
        <v>43</v>
      </c>
      <c r="F89" s="1613" t="s">
        <v>24230</v>
      </c>
    </row>
    <row r="90" spans="1:6" ht="16" customHeight="1" x14ac:dyDescent="0.4">
      <c r="A90" s="1616" t="s">
        <v>24231</v>
      </c>
      <c r="B90" s="1616" t="s">
        <v>24232</v>
      </c>
      <c r="C90" s="1616" t="s">
        <v>24143</v>
      </c>
      <c r="D90" s="1616" t="s">
        <v>24233</v>
      </c>
      <c r="E90" s="1616">
        <v>40</v>
      </c>
      <c r="F90" s="1616" t="s">
        <v>24234</v>
      </c>
    </row>
    <row r="91" spans="1:6" ht="16" customHeight="1" x14ac:dyDescent="0.4">
      <c r="A91" s="1613" t="s">
        <v>22446</v>
      </c>
      <c r="B91" s="1613" t="s">
        <v>24235</v>
      </c>
      <c r="C91" s="1613" t="s">
        <v>24143</v>
      </c>
      <c r="D91" s="1613" t="s">
        <v>24236</v>
      </c>
      <c r="E91" s="1613">
        <v>43</v>
      </c>
      <c r="F91" s="1613" t="s">
        <v>24237</v>
      </c>
    </row>
    <row r="92" spans="1:6" ht="16" customHeight="1" x14ac:dyDescent="0.4">
      <c r="A92" s="1616" t="s">
        <v>16379</v>
      </c>
      <c r="B92" s="1616" t="s">
        <v>24238</v>
      </c>
      <c r="C92" s="1616" t="s">
        <v>24239</v>
      </c>
      <c r="D92" s="1616" t="s">
        <v>24240</v>
      </c>
      <c r="E92" s="1616">
        <v>106</v>
      </c>
      <c r="F92" s="1616" t="s">
        <v>24241</v>
      </c>
    </row>
    <row r="93" spans="1:6" ht="16" customHeight="1" x14ac:dyDescent="0.4">
      <c r="A93" s="1613" t="s">
        <v>16386</v>
      </c>
      <c r="B93" s="1613" t="s">
        <v>24238</v>
      </c>
      <c r="C93" s="1613" t="s">
        <v>24239</v>
      </c>
      <c r="D93" s="1613" t="s">
        <v>24242</v>
      </c>
      <c r="E93" s="1613">
        <v>55</v>
      </c>
      <c r="F93" s="1613" t="s">
        <v>24241</v>
      </c>
    </row>
    <row r="94" spans="1:6" ht="16" customHeight="1" x14ac:dyDescent="0.4">
      <c r="A94" s="1616" t="s">
        <v>24243</v>
      </c>
      <c r="B94" s="1616" t="s">
        <v>24244</v>
      </c>
      <c r="C94" s="1616" t="s">
        <v>24245</v>
      </c>
      <c r="D94" s="1616" t="s">
        <v>24246</v>
      </c>
      <c r="E94" s="1616">
        <v>55</v>
      </c>
      <c r="F94" s="1616" t="s">
        <v>24247</v>
      </c>
    </row>
    <row r="95" spans="1:6" ht="16" customHeight="1" x14ac:dyDescent="0.4">
      <c r="A95" s="1613" t="s">
        <v>24248</v>
      </c>
      <c r="B95" s="1613" t="s">
        <v>24249</v>
      </c>
      <c r="C95" s="1613" t="s">
        <v>24250</v>
      </c>
      <c r="D95" s="1613" t="s">
        <v>24251</v>
      </c>
      <c r="E95" s="1613" t="s">
        <v>3096</v>
      </c>
      <c r="F95" s="1613" t="s">
        <v>24252</v>
      </c>
    </row>
    <row r="96" spans="1:6" ht="16" customHeight="1" x14ac:dyDescent="0.4">
      <c r="A96" s="1620" t="s">
        <v>24253</v>
      </c>
      <c r="B96" s="1620" t="s">
        <v>24135</v>
      </c>
      <c r="C96" s="1620" t="s">
        <v>3096</v>
      </c>
      <c r="D96" s="1620" t="s">
        <v>3096</v>
      </c>
      <c r="E96" s="1620" t="s">
        <v>3096</v>
      </c>
      <c r="F96" s="1620" t="s">
        <v>24254</v>
      </c>
    </row>
    <row r="98" spans="1:14" ht="8" customHeight="1" x14ac:dyDescent="0.35"/>
    <row r="99" spans="1:14" ht="24" customHeight="1" x14ac:dyDescent="0.45">
      <c r="A99" s="1621" t="s">
        <v>24255</v>
      </c>
      <c r="B99" s="1313"/>
      <c r="C99" s="1313"/>
      <c r="D99" s="1313"/>
      <c r="E99" s="1313"/>
      <c r="F99" s="1313"/>
      <c r="G99" s="1313"/>
      <c r="H99" s="1313"/>
      <c r="I99" s="1313"/>
      <c r="J99" s="1313"/>
      <c r="K99" s="1313"/>
      <c r="L99" s="1313"/>
      <c r="M99" s="1313"/>
      <c r="N99" s="1313"/>
    </row>
    <row r="100" spans="1:14" ht="22" customHeight="1" x14ac:dyDescent="0.45">
      <c r="A100" s="389" t="s">
        <v>23986</v>
      </c>
      <c r="B100" s="389" t="s">
        <v>620</v>
      </c>
      <c r="C100" s="389" t="s">
        <v>24256</v>
      </c>
      <c r="D100" s="389" t="s">
        <v>24257</v>
      </c>
      <c r="E100" s="389" t="s">
        <v>24258</v>
      </c>
    </row>
    <row r="101" spans="1:14" ht="17" customHeight="1" x14ac:dyDescent="0.4">
      <c r="A101" s="1613" t="s">
        <v>24259</v>
      </c>
      <c r="B101" s="1622" t="s">
        <v>24260</v>
      </c>
      <c r="C101" s="1613" t="s">
        <v>23998</v>
      </c>
      <c r="D101" s="1613" t="s">
        <v>24261</v>
      </c>
      <c r="E101" s="1613" t="s">
        <v>24262</v>
      </c>
    </row>
    <row r="102" spans="1:14" ht="17" customHeight="1" x14ac:dyDescent="0.4">
      <c r="A102" s="1616" t="s">
        <v>24263</v>
      </c>
      <c r="B102" s="1623" t="s">
        <v>24260</v>
      </c>
      <c r="C102" s="1616" t="s">
        <v>24003</v>
      </c>
      <c r="D102" s="1616" t="s">
        <v>24261</v>
      </c>
      <c r="E102" s="1616" t="s">
        <v>24264</v>
      </c>
    </row>
    <row r="103" spans="1:14" ht="17" customHeight="1" x14ac:dyDescent="0.4">
      <c r="A103" s="1613" t="s">
        <v>24265</v>
      </c>
      <c r="B103" s="1613" t="s">
        <v>24266</v>
      </c>
      <c r="C103" s="1613" t="s">
        <v>24267</v>
      </c>
      <c r="D103" s="1613"/>
      <c r="E103" s="1613" t="s">
        <v>24268</v>
      </c>
    </row>
    <row r="104" spans="1:14" ht="17" customHeight="1" x14ac:dyDescent="0.4">
      <c r="A104" s="1616" t="s">
        <v>24269</v>
      </c>
      <c r="B104" s="1618" t="s">
        <v>24270</v>
      </c>
      <c r="C104" s="1616" t="s">
        <v>24038</v>
      </c>
      <c r="D104" s="1616" t="s">
        <v>24040</v>
      </c>
      <c r="E104" s="1616" t="s">
        <v>24271</v>
      </c>
    </row>
    <row r="105" spans="1:14" ht="17" customHeight="1" x14ac:dyDescent="0.4">
      <c r="A105" s="1613" t="s">
        <v>24272</v>
      </c>
      <c r="B105" s="1613" t="s">
        <v>24273</v>
      </c>
      <c r="C105" s="1613" t="s">
        <v>24274</v>
      </c>
      <c r="D105" s="1613" t="s">
        <v>24275</v>
      </c>
      <c r="E105" s="1613" t="s">
        <v>24276</v>
      </c>
    </row>
    <row r="106" spans="1:14" ht="17" customHeight="1" x14ac:dyDescent="0.4">
      <c r="A106" s="1616" t="s">
        <v>24277</v>
      </c>
      <c r="B106" s="1616" t="s">
        <v>24266</v>
      </c>
      <c r="C106" s="1616" t="s">
        <v>24278</v>
      </c>
      <c r="D106" s="1616"/>
      <c r="E106" s="1616" t="s">
        <v>24279</v>
      </c>
    </row>
    <row r="107" spans="1:14" ht="17" customHeight="1" x14ac:dyDescent="0.4">
      <c r="A107" s="1613" t="s">
        <v>24280</v>
      </c>
      <c r="B107" s="1613" t="s">
        <v>24281</v>
      </c>
      <c r="C107" s="1613" t="s">
        <v>24109</v>
      </c>
      <c r="D107" s="1613" t="s">
        <v>24282</v>
      </c>
      <c r="E107" s="1613" t="s">
        <v>24283</v>
      </c>
    </row>
    <row r="108" spans="1:14" ht="17" customHeight="1" x14ac:dyDescent="0.4">
      <c r="A108" s="1616" t="s">
        <v>24284</v>
      </c>
      <c r="B108" s="1616" t="s">
        <v>24281</v>
      </c>
      <c r="C108" s="1616" t="s">
        <v>24112</v>
      </c>
      <c r="D108" s="1616" t="s">
        <v>24282</v>
      </c>
      <c r="E108" s="1616" t="s">
        <v>24285</v>
      </c>
    </row>
    <row r="109" spans="1:14" ht="17" customHeight="1" x14ac:dyDescent="0.4">
      <c r="A109" s="1613" t="s">
        <v>24286</v>
      </c>
      <c r="B109" s="1613" t="s">
        <v>24281</v>
      </c>
      <c r="C109" s="1613" t="s">
        <v>24116</v>
      </c>
      <c r="D109" s="1613"/>
      <c r="E109" s="1613" t="s">
        <v>24287</v>
      </c>
    </row>
    <row r="110" spans="1:14" ht="17" customHeight="1" x14ac:dyDescent="0.4">
      <c r="A110" s="1616" t="s">
        <v>24288</v>
      </c>
      <c r="B110" s="1616" t="s">
        <v>24289</v>
      </c>
      <c r="C110" s="1616" t="s">
        <v>24093</v>
      </c>
      <c r="D110" s="1616"/>
      <c r="E110" s="1616" t="s">
        <v>24290</v>
      </c>
    </row>
    <row r="111" spans="1:14" ht="17" customHeight="1" x14ac:dyDescent="0.4">
      <c r="A111" s="1613" t="s">
        <v>24291</v>
      </c>
      <c r="B111" s="1613" t="s">
        <v>24281</v>
      </c>
      <c r="C111" s="1613" t="s">
        <v>24075</v>
      </c>
      <c r="D111" s="1613"/>
      <c r="E111" s="1613" t="s">
        <v>24292</v>
      </c>
    </row>
    <row r="114" spans="1:14" ht="8" customHeight="1" x14ac:dyDescent="0.35"/>
    <row r="115" spans="1:14" ht="24" customHeight="1" x14ac:dyDescent="0.45">
      <c r="A115" s="1624" t="s">
        <v>24293</v>
      </c>
      <c r="B115" s="1313"/>
      <c r="C115" s="1313"/>
      <c r="D115" s="1313"/>
      <c r="E115" s="1313"/>
      <c r="F115" s="1313"/>
      <c r="G115" s="1313"/>
      <c r="H115" s="1313"/>
      <c r="I115" s="1313"/>
      <c r="J115" s="1313"/>
      <c r="K115" s="1313"/>
      <c r="L115" s="1313"/>
      <c r="M115" s="1313"/>
      <c r="N115" s="1313"/>
    </row>
    <row r="116" spans="1:14" ht="22" customHeight="1" x14ac:dyDescent="0.45">
      <c r="A116" s="389" t="s">
        <v>24294</v>
      </c>
      <c r="B116" s="389" t="s">
        <v>24295</v>
      </c>
      <c r="C116" s="389" t="s">
        <v>24296</v>
      </c>
      <c r="D116" s="389" t="s">
        <v>24297</v>
      </c>
      <c r="E116" s="389" t="s">
        <v>24298</v>
      </c>
      <c r="F116" s="389" t="s">
        <v>24299</v>
      </c>
    </row>
    <row r="117" spans="1:14" ht="17" customHeight="1" x14ac:dyDescent="0.4">
      <c r="A117" s="1614" t="s">
        <v>24300</v>
      </c>
      <c r="B117" s="1613" t="s">
        <v>24301</v>
      </c>
      <c r="C117" s="1613" t="s">
        <v>24302</v>
      </c>
      <c r="D117" s="1613" t="s">
        <v>24303</v>
      </c>
      <c r="E117" s="1613" t="s">
        <v>24304</v>
      </c>
      <c r="F117" s="1613" t="s">
        <v>24143</v>
      </c>
    </row>
    <row r="118" spans="1:14" ht="17" customHeight="1" x14ac:dyDescent="0.4">
      <c r="A118" s="1626" t="s">
        <v>24305</v>
      </c>
      <c r="B118" s="1625" t="s">
        <v>24306</v>
      </c>
      <c r="C118" s="1625" t="s">
        <v>24307</v>
      </c>
      <c r="D118" s="1625" t="s">
        <v>24308</v>
      </c>
      <c r="E118" s="1625" t="s">
        <v>24309</v>
      </c>
      <c r="F118" s="1625" t="s">
        <v>24310</v>
      </c>
    </row>
    <row r="119" spans="1:14" ht="17" customHeight="1" x14ac:dyDescent="0.4">
      <c r="A119" s="1614" t="s">
        <v>24311</v>
      </c>
      <c r="B119" s="1613" t="s">
        <v>24312</v>
      </c>
      <c r="C119" s="1613" t="s">
        <v>24313</v>
      </c>
      <c r="D119" s="1613" t="s">
        <v>24314</v>
      </c>
      <c r="E119" s="1613" t="s">
        <v>24315</v>
      </c>
      <c r="F119" s="1613" t="s">
        <v>24316</v>
      </c>
    </row>
    <row r="120" spans="1:14" ht="17" customHeight="1" x14ac:dyDescent="0.4">
      <c r="A120" s="1626" t="s">
        <v>24317</v>
      </c>
      <c r="B120" s="1625" t="s">
        <v>24318</v>
      </c>
      <c r="C120" s="1625" t="s">
        <v>24124</v>
      </c>
      <c r="D120" s="1625" t="s">
        <v>24319</v>
      </c>
      <c r="E120" s="1625" t="s">
        <v>24320</v>
      </c>
      <c r="F120" s="1625" t="s">
        <v>24143</v>
      </c>
    </row>
    <row r="121" spans="1:14" ht="17" customHeight="1" x14ac:dyDescent="0.4">
      <c r="A121" s="1614" t="s">
        <v>24321</v>
      </c>
      <c r="B121" s="1613" t="s">
        <v>24322</v>
      </c>
      <c r="C121" s="1613" t="s">
        <v>24323</v>
      </c>
      <c r="D121" s="1613" t="s">
        <v>24324</v>
      </c>
      <c r="E121" s="1613" t="s">
        <v>24325</v>
      </c>
      <c r="F121" s="1613" t="s">
        <v>24143</v>
      </c>
    </row>
    <row r="122" spans="1:14" ht="17" customHeight="1" x14ac:dyDescent="0.4">
      <c r="A122" s="1626" t="s">
        <v>24326</v>
      </c>
      <c r="B122" s="1625" t="s">
        <v>24327</v>
      </c>
      <c r="C122" s="1625" t="s">
        <v>24328</v>
      </c>
      <c r="D122" s="1625" t="s">
        <v>24329</v>
      </c>
      <c r="E122" s="1625" t="s">
        <v>24330</v>
      </c>
      <c r="F122" s="1625" t="s">
        <v>24143</v>
      </c>
    </row>
    <row r="123" spans="1:14" ht="17" customHeight="1" x14ac:dyDescent="0.4">
      <c r="A123" s="1614" t="s">
        <v>24331</v>
      </c>
      <c r="B123" s="1613" t="s">
        <v>24332</v>
      </c>
      <c r="C123" s="1613" t="s">
        <v>24333</v>
      </c>
      <c r="D123" s="1613" t="s">
        <v>24334</v>
      </c>
      <c r="E123" s="1613" t="s">
        <v>24335</v>
      </c>
      <c r="F123" s="1613" t="s">
        <v>24143</v>
      </c>
    </row>
    <row r="124" spans="1:14" ht="17" customHeight="1" x14ac:dyDescent="0.4">
      <c r="A124" s="1626" t="s">
        <v>24336</v>
      </c>
      <c r="B124" s="1625" t="s">
        <v>24337</v>
      </c>
      <c r="C124" s="1625" t="s">
        <v>24338</v>
      </c>
      <c r="D124" s="1625" t="s">
        <v>24339</v>
      </c>
      <c r="E124" s="1625" t="s">
        <v>24309</v>
      </c>
      <c r="F124" s="1625" t="s">
        <v>24143</v>
      </c>
    </row>
    <row r="125" spans="1:14" ht="17" customHeight="1" x14ac:dyDescent="0.4">
      <c r="A125" s="1614" t="s">
        <v>24340</v>
      </c>
      <c r="B125" s="1613" t="s">
        <v>24341</v>
      </c>
      <c r="C125" s="1613" t="s">
        <v>24342</v>
      </c>
      <c r="D125" s="1613" t="s">
        <v>24343</v>
      </c>
      <c r="E125" s="1613" t="s">
        <v>24344</v>
      </c>
      <c r="F125" s="1613" t="s">
        <v>24143</v>
      </c>
    </row>
    <row r="126" spans="1:14" ht="17" customHeight="1" x14ac:dyDescent="0.4">
      <c r="A126" s="1626" t="s">
        <v>24345</v>
      </c>
      <c r="B126" s="1625" t="s">
        <v>24346</v>
      </c>
      <c r="C126" s="1625" t="s">
        <v>24347</v>
      </c>
      <c r="D126" s="1625" t="s">
        <v>24348</v>
      </c>
      <c r="E126" s="1625" t="s">
        <v>24349</v>
      </c>
      <c r="F126" s="1625" t="s">
        <v>24143</v>
      </c>
    </row>
    <row r="127" spans="1:14" ht="17" customHeight="1" x14ac:dyDescent="0.4">
      <c r="A127" s="1614" t="s">
        <v>24350</v>
      </c>
      <c r="B127" s="1613" t="s">
        <v>24351</v>
      </c>
      <c r="C127" s="1613" t="s">
        <v>24352</v>
      </c>
      <c r="D127" s="1613" t="s">
        <v>24353</v>
      </c>
      <c r="E127" s="1613" t="s">
        <v>24309</v>
      </c>
      <c r="F127" s="1613" t="s">
        <v>24354</v>
      </c>
    </row>
    <row r="128" spans="1:14" ht="17" customHeight="1" x14ac:dyDescent="0.4">
      <c r="A128" s="1626" t="s">
        <v>24355</v>
      </c>
      <c r="B128" s="1625" t="s">
        <v>24356</v>
      </c>
      <c r="C128" s="1625" t="s">
        <v>24357</v>
      </c>
      <c r="D128" s="1625" t="s">
        <v>24357</v>
      </c>
      <c r="E128" s="1625" t="s">
        <v>24358</v>
      </c>
      <c r="F128" s="1625" t="s">
        <v>24359</v>
      </c>
    </row>
    <row r="130" spans="1:14" ht="8" customHeight="1" x14ac:dyDescent="0.35"/>
    <row r="131" spans="1:14" ht="24" customHeight="1" x14ac:dyDescent="0.45">
      <c r="A131" s="1627" t="s">
        <v>24360</v>
      </c>
      <c r="B131" s="1313"/>
      <c r="C131" s="1313"/>
      <c r="D131" s="1313"/>
      <c r="E131" s="1313"/>
      <c r="F131" s="1313"/>
      <c r="G131" s="1313"/>
      <c r="H131" s="1313"/>
      <c r="I131" s="1313"/>
      <c r="J131" s="1313"/>
      <c r="K131" s="1313"/>
      <c r="L131" s="1313"/>
      <c r="M131" s="1313"/>
      <c r="N131" s="1313"/>
    </row>
    <row r="132" spans="1:14" ht="22" customHeight="1" x14ac:dyDescent="0.45">
      <c r="A132" s="1612" t="s">
        <v>24361</v>
      </c>
      <c r="B132" s="1612" t="s">
        <v>24362</v>
      </c>
      <c r="C132" s="1612"/>
      <c r="D132" s="1612"/>
      <c r="E132" s="1612"/>
    </row>
    <row r="133" spans="1:14" ht="22" customHeight="1" x14ac:dyDescent="0.4">
      <c r="A133" s="1629" t="s">
        <v>24361</v>
      </c>
      <c r="B133" s="1629"/>
      <c r="C133" s="1613"/>
      <c r="D133" s="1613"/>
      <c r="E133" s="1613"/>
    </row>
    <row r="134" spans="1:14" ht="17" customHeight="1" x14ac:dyDescent="0.4">
      <c r="A134" s="1628"/>
      <c r="B134" s="1628"/>
      <c r="C134" s="1616"/>
      <c r="D134" s="1616"/>
      <c r="E134" s="1616"/>
    </row>
    <row r="135" spans="1:14" ht="17" customHeight="1" x14ac:dyDescent="0.4">
      <c r="A135" s="1630"/>
      <c r="B135" s="1630"/>
      <c r="C135" s="1613"/>
      <c r="D135" s="1613"/>
      <c r="E135" s="1613"/>
    </row>
    <row r="136" spans="1:14" ht="17" customHeight="1" x14ac:dyDescent="0.4">
      <c r="A136" s="1628"/>
      <c r="B136" s="1628"/>
      <c r="C136" s="1616"/>
      <c r="D136" s="1616"/>
      <c r="E136" s="1616"/>
    </row>
    <row r="137" spans="1:14" ht="17" customHeight="1" x14ac:dyDescent="0.4">
      <c r="A137" s="1630"/>
      <c r="B137" s="1630"/>
      <c r="C137" s="1613"/>
      <c r="D137" s="1613"/>
      <c r="E137" s="1613"/>
    </row>
    <row r="138" spans="1:14" ht="17" customHeight="1" x14ac:dyDescent="0.4">
      <c r="A138" s="1628"/>
      <c r="B138" s="1628"/>
      <c r="C138" s="1616"/>
      <c r="D138" s="1616"/>
      <c r="E138" s="1616"/>
    </row>
    <row r="139" spans="1:14" ht="17" customHeight="1" x14ac:dyDescent="0.4">
      <c r="A139" s="1630"/>
      <c r="B139" s="1630"/>
      <c r="C139" s="1613"/>
      <c r="D139" s="1613"/>
      <c r="E139" s="1613"/>
    </row>
    <row r="140" spans="1:14" ht="17" customHeight="1" x14ac:dyDescent="0.4">
      <c r="A140" s="1628"/>
      <c r="B140" s="1631"/>
      <c r="C140" s="1616"/>
      <c r="D140" s="1616"/>
      <c r="E140" s="1616"/>
    </row>
    <row r="141" spans="1:14" ht="17" customHeight="1" x14ac:dyDescent="0.4">
      <c r="A141" s="1630"/>
      <c r="B141" s="1631"/>
      <c r="C141" s="1613"/>
      <c r="D141" s="1613"/>
      <c r="E141" s="1613"/>
    </row>
    <row r="142" spans="1:14" ht="17" customHeight="1" x14ac:dyDescent="0.4">
      <c r="A142" s="1628"/>
      <c r="B142" s="1631"/>
      <c r="C142" s="1616"/>
      <c r="D142" s="1616"/>
      <c r="E142" s="1616"/>
    </row>
    <row r="143" spans="1:14" ht="17" customHeight="1" x14ac:dyDescent="0.4">
      <c r="A143" s="1618" t="s">
        <v>24363</v>
      </c>
      <c r="B143" s="1616" t="s">
        <v>24364</v>
      </c>
    </row>
  </sheetData>
  <mergeCells count="8">
    <mergeCell ref="A133:B142"/>
    <mergeCell ref="A131:N131"/>
    <mergeCell ref="A1:N1"/>
    <mergeCell ref="A2:N2"/>
    <mergeCell ref="A4:N4"/>
    <mergeCell ref="A47:N47"/>
    <mergeCell ref="A99:N99"/>
    <mergeCell ref="A115:N11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FC33D-A2CC-43BC-88A9-A116775A6D72}">
  <sheetPr>
    <tabColor rgb="FF1565C0"/>
  </sheetPr>
  <dimension ref="A1:M52"/>
  <sheetViews>
    <sheetView workbookViewId="0">
      <pane ySplit="4" topLeftCell="A5" activePane="bottomLeft" state="frozen"/>
      <selection pane="bottomLeft" sqref="A1:M1"/>
    </sheetView>
  </sheetViews>
  <sheetFormatPr defaultRowHeight="14.5" x14ac:dyDescent="0.35"/>
  <cols>
    <col min="1" max="1" width="32.7265625" customWidth="1"/>
    <col min="2" max="2" width="20" customWidth="1"/>
    <col min="3" max="10" width="10" customWidth="1"/>
    <col min="11" max="11" width="14.54296875" customWidth="1"/>
    <col min="12" max="12" width="8.1796875" customWidth="1"/>
    <col min="13" max="13" width="43.6328125" customWidth="1"/>
  </cols>
  <sheetData>
    <row r="1" spans="1:13" ht="28" customHeight="1" x14ac:dyDescent="0.55000000000000004">
      <c r="A1" s="1632" t="s">
        <v>24365</v>
      </c>
      <c r="B1" s="1313"/>
      <c r="C1" s="1313"/>
      <c r="D1" s="1313"/>
      <c r="E1" s="1313"/>
      <c r="F1" s="1313"/>
      <c r="G1" s="1313"/>
      <c r="H1" s="1313"/>
      <c r="I1" s="1313"/>
      <c r="J1" s="1313"/>
      <c r="K1" s="1313"/>
      <c r="L1" s="1313"/>
      <c r="M1" s="1313"/>
    </row>
    <row r="2" spans="1:13" ht="17" customHeight="1" x14ac:dyDescent="0.4">
      <c r="A2" s="1610" t="s">
        <v>24366</v>
      </c>
      <c r="B2" s="1313"/>
      <c r="C2" s="1313"/>
      <c r="D2" s="1313"/>
      <c r="E2" s="1313"/>
      <c r="F2" s="1313"/>
      <c r="G2" s="1313"/>
      <c r="H2" s="1313"/>
      <c r="I2" s="1313"/>
      <c r="J2" s="1313"/>
      <c r="K2" s="1313"/>
      <c r="L2" s="1313"/>
      <c r="M2" s="1313"/>
    </row>
    <row r="3" spans="1:13" ht="6" customHeight="1" x14ac:dyDescent="0.35"/>
    <row r="4" spans="1:13" ht="22" customHeight="1" x14ac:dyDescent="0.4">
      <c r="A4" s="1633" t="s">
        <v>24367</v>
      </c>
      <c r="B4" s="1633" t="s">
        <v>24368</v>
      </c>
      <c r="C4" s="1633" t="s">
        <v>24369</v>
      </c>
      <c r="D4" s="1633" t="s">
        <v>24370</v>
      </c>
      <c r="E4" s="1633" t="s">
        <v>24371</v>
      </c>
      <c r="F4" s="1633" t="s">
        <v>24372</v>
      </c>
      <c r="G4" s="1633" t="s">
        <v>24373</v>
      </c>
      <c r="H4" s="1633" t="s">
        <v>24374</v>
      </c>
      <c r="I4" s="1633" t="s">
        <v>24375</v>
      </c>
      <c r="J4" s="1633" t="s">
        <v>24376</v>
      </c>
      <c r="K4" s="1633" t="s">
        <v>24377</v>
      </c>
      <c r="L4" s="1633" t="s">
        <v>24378</v>
      </c>
      <c r="M4" s="1633" t="s">
        <v>24379</v>
      </c>
    </row>
    <row r="5" spans="1:13" ht="16" customHeight="1" x14ac:dyDescent="0.4">
      <c r="A5" s="1613" t="s">
        <v>16355</v>
      </c>
      <c r="B5" s="1613" t="s">
        <v>24143</v>
      </c>
      <c r="C5" s="1613">
        <v>5</v>
      </c>
      <c r="D5" s="1613" t="s">
        <v>24380</v>
      </c>
      <c r="E5" s="1613" t="s">
        <v>24381</v>
      </c>
      <c r="F5" s="1613" t="s">
        <v>24382</v>
      </c>
      <c r="G5" s="1613" t="s">
        <v>24383</v>
      </c>
      <c r="H5" s="1613" t="s">
        <v>24384</v>
      </c>
      <c r="I5" s="1613" t="s">
        <v>24385</v>
      </c>
      <c r="J5" s="1613" t="s">
        <v>24386</v>
      </c>
      <c r="K5" s="1613" t="s">
        <v>24075</v>
      </c>
      <c r="L5" s="1613" t="s">
        <v>24387</v>
      </c>
      <c r="M5" s="1613" t="s">
        <v>24388</v>
      </c>
    </row>
    <row r="6" spans="1:13" ht="16" customHeight="1" x14ac:dyDescent="0.4">
      <c r="A6" s="1616" t="s">
        <v>18419</v>
      </c>
      <c r="B6" s="1616" t="s">
        <v>24143</v>
      </c>
      <c r="C6" s="1616">
        <v>5</v>
      </c>
      <c r="D6" s="1616" t="s">
        <v>24380</v>
      </c>
      <c r="E6" s="1616" t="s">
        <v>24381</v>
      </c>
      <c r="F6" s="1616" t="s">
        <v>24383</v>
      </c>
      <c r="G6" s="1616" t="s">
        <v>24385</v>
      </c>
      <c r="H6" s="1616" t="s">
        <v>24386</v>
      </c>
      <c r="I6" s="1616" t="s">
        <v>24389</v>
      </c>
      <c r="J6" s="1616" t="s">
        <v>24383</v>
      </c>
      <c r="K6" s="1616" t="s">
        <v>24068</v>
      </c>
      <c r="L6" s="1616" t="s">
        <v>24387</v>
      </c>
      <c r="M6" s="1616" t="s">
        <v>24390</v>
      </c>
    </row>
    <row r="7" spans="1:13" ht="16" customHeight="1" x14ac:dyDescent="0.4">
      <c r="A7" s="1613" t="s">
        <v>16371</v>
      </c>
      <c r="B7" s="1613" t="s">
        <v>24143</v>
      </c>
      <c r="C7" s="1613">
        <v>5</v>
      </c>
      <c r="D7" s="1613" t="s">
        <v>24380</v>
      </c>
      <c r="E7" s="1613" t="s">
        <v>24382</v>
      </c>
      <c r="F7" s="1613" t="s">
        <v>24381</v>
      </c>
      <c r="G7" s="1613" t="s">
        <v>24391</v>
      </c>
      <c r="H7" s="1613" t="s">
        <v>24392</v>
      </c>
      <c r="I7" s="1613" t="s">
        <v>24386</v>
      </c>
      <c r="J7" s="1613" t="s">
        <v>24381</v>
      </c>
      <c r="K7" s="1613" t="s">
        <v>24072</v>
      </c>
      <c r="L7" s="1613" t="s">
        <v>24387</v>
      </c>
      <c r="M7" s="1613" t="s">
        <v>24393</v>
      </c>
    </row>
    <row r="8" spans="1:13" ht="16" customHeight="1" x14ac:dyDescent="0.4">
      <c r="A8" s="1616" t="s">
        <v>9786</v>
      </c>
      <c r="B8" s="1616" t="s">
        <v>24143</v>
      </c>
      <c r="C8" s="1616">
        <v>5</v>
      </c>
      <c r="D8" s="1616" t="s">
        <v>24380</v>
      </c>
      <c r="E8" s="1616" t="s">
        <v>24381</v>
      </c>
      <c r="F8" s="1616" t="s">
        <v>24389</v>
      </c>
      <c r="G8" s="1616" t="s">
        <v>24382</v>
      </c>
      <c r="H8" s="1616" t="s">
        <v>24392</v>
      </c>
      <c r="I8" s="1616" t="s">
        <v>24394</v>
      </c>
      <c r="J8" s="1616" t="s">
        <v>24389</v>
      </c>
      <c r="K8" s="1616" t="s">
        <v>24068</v>
      </c>
      <c r="L8" s="1616" t="s">
        <v>24387</v>
      </c>
      <c r="M8" s="1616" t="s">
        <v>24395</v>
      </c>
    </row>
    <row r="9" spans="1:13" ht="16" customHeight="1" x14ac:dyDescent="0.4">
      <c r="A9" s="1613" t="s">
        <v>16373</v>
      </c>
      <c r="B9" s="1613" t="s">
        <v>24143</v>
      </c>
      <c r="C9" s="1613">
        <v>5</v>
      </c>
      <c r="D9" s="1613" t="s">
        <v>24380</v>
      </c>
      <c r="E9" s="1613" t="s">
        <v>24381</v>
      </c>
      <c r="F9" s="1613" t="s">
        <v>3096</v>
      </c>
      <c r="G9" s="1613" t="s">
        <v>24382</v>
      </c>
      <c r="H9" s="1613" t="s">
        <v>3096</v>
      </c>
      <c r="I9" s="1613" t="s">
        <v>3096</v>
      </c>
      <c r="J9" s="1613" t="s">
        <v>24381</v>
      </c>
      <c r="K9" s="1613" t="s">
        <v>24072</v>
      </c>
      <c r="L9" s="1613" t="s">
        <v>24387</v>
      </c>
      <c r="M9" s="1613" t="s">
        <v>24396</v>
      </c>
    </row>
    <row r="10" spans="1:13" ht="16" customHeight="1" x14ac:dyDescent="0.4">
      <c r="A10" s="1616" t="s">
        <v>16393</v>
      </c>
      <c r="B10" s="1616" t="s">
        <v>24143</v>
      </c>
      <c r="C10" s="1616">
        <v>5</v>
      </c>
      <c r="D10" s="1616" t="s">
        <v>24380</v>
      </c>
      <c r="E10" s="1616" t="s">
        <v>24381</v>
      </c>
      <c r="F10" s="1616" t="s">
        <v>3096</v>
      </c>
      <c r="G10" s="1616" t="s">
        <v>24382</v>
      </c>
      <c r="H10" s="1616" t="s">
        <v>3096</v>
      </c>
      <c r="I10" s="1616" t="s">
        <v>3096</v>
      </c>
      <c r="J10" s="1616" t="s">
        <v>3096</v>
      </c>
      <c r="K10" s="1616" t="s">
        <v>3096</v>
      </c>
      <c r="L10" s="1616" t="s">
        <v>24387</v>
      </c>
      <c r="M10" s="1616" t="s">
        <v>24397</v>
      </c>
    </row>
    <row r="11" spans="1:13" ht="16" customHeight="1" x14ac:dyDescent="0.4">
      <c r="A11" s="1613" t="s">
        <v>16391</v>
      </c>
      <c r="B11" s="1613" t="s">
        <v>24143</v>
      </c>
      <c r="C11" s="1613">
        <v>5</v>
      </c>
      <c r="D11" s="1613" t="s">
        <v>24380</v>
      </c>
      <c r="E11" s="1613" t="s">
        <v>24381</v>
      </c>
      <c r="F11" s="1613" t="s">
        <v>3096</v>
      </c>
      <c r="G11" s="1613" t="s">
        <v>24382</v>
      </c>
      <c r="H11" s="1613" t="s">
        <v>3096</v>
      </c>
      <c r="I11" s="1613" t="s">
        <v>3096</v>
      </c>
      <c r="J11" s="1613" t="s">
        <v>3096</v>
      </c>
      <c r="K11" s="1613" t="s">
        <v>3096</v>
      </c>
      <c r="L11" s="1613" t="s">
        <v>24387</v>
      </c>
      <c r="M11" s="1613" t="s">
        <v>24397</v>
      </c>
    </row>
    <row r="12" spans="1:13" ht="16" customHeight="1" x14ac:dyDescent="0.4">
      <c r="A12" s="1616" t="s">
        <v>9788</v>
      </c>
      <c r="B12" s="1617" t="s">
        <v>24398</v>
      </c>
      <c r="C12" s="1616">
        <v>5</v>
      </c>
      <c r="D12" s="1616" t="s">
        <v>24380</v>
      </c>
      <c r="E12" s="1616" t="s">
        <v>3096</v>
      </c>
      <c r="F12" s="1616" t="s">
        <v>24389</v>
      </c>
      <c r="G12" s="1616" t="s">
        <v>24399</v>
      </c>
      <c r="H12" s="1616" t="s">
        <v>24394</v>
      </c>
      <c r="I12" s="1616" t="s">
        <v>3096</v>
      </c>
      <c r="J12" s="1616" t="s">
        <v>24382</v>
      </c>
      <c r="K12" s="1616" t="s">
        <v>24400</v>
      </c>
      <c r="L12" s="1616" t="s">
        <v>24387</v>
      </c>
      <c r="M12" s="1616" t="s">
        <v>24401</v>
      </c>
    </row>
    <row r="13" spans="1:13" ht="16" customHeight="1" x14ac:dyDescent="0.4">
      <c r="A13" s="1613" t="s">
        <v>18256</v>
      </c>
      <c r="B13" s="1614" t="s">
        <v>24398</v>
      </c>
      <c r="C13" s="1613">
        <v>5</v>
      </c>
      <c r="D13" s="1613" t="s">
        <v>24380</v>
      </c>
      <c r="E13" s="1613" t="s">
        <v>3096</v>
      </c>
      <c r="F13" s="1613" t="s">
        <v>24389</v>
      </c>
      <c r="G13" s="1613" t="s">
        <v>3096</v>
      </c>
      <c r="H13" s="1613" t="s">
        <v>24394</v>
      </c>
      <c r="I13" s="1613" t="s">
        <v>24386</v>
      </c>
      <c r="J13" s="1613" t="s">
        <v>24383</v>
      </c>
      <c r="K13" s="1613" t="s">
        <v>24402</v>
      </c>
      <c r="L13" s="1613" t="s">
        <v>24387</v>
      </c>
      <c r="M13" s="1613" t="s">
        <v>24403</v>
      </c>
    </row>
    <row r="14" spans="1:13" ht="16" customHeight="1" x14ac:dyDescent="0.4">
      <c r="A14" s="1616" t="s">
        <v>16364</v>
      </c>
      <c r="B14" s="1617" t="s">
        <v>24404</v>
      </c>
      <c r="C14" s="1616">
        <v>5</v>
      </c>
      <c r="D14" s="1616" t="s">
        <v>24380</v>
      </c>
      <c r="E14" s="1616" t="s">
        <v>24381</v>
      </c>
      <c r="F14" s="1616" t="s">
        <v>3096</v>
      </c>
      <c r="G14" s="1616" t="s">
        <v>3096</v>
      </c>
      <c r="H14" s="1616" t="s">
        <v>3096</v>
      </c>
      <c r="I14" s="1616" t="s">
        <v>3096</v>
      </c>
      <c r="J14" s="1616" t="s">
        <v>3096</v>
      </c>
      <c r="K14" s="1616" t="s">
        <v>3096</v>
      </c>
      <c r="L14" s="1616" t="s">
        <v>24387</v>
      </c>
      <c r="M14" s="1616" t="s">
        <v>24405</v>
      </c>
    </row>
    <row r="15" spans="1:13" ht="16" customHeight="1" x14ac:dyDescent="0.4">
      <c r="A15" s="1613" t="s">
        <v>16366</v>
      </c>
      <c r="B15" s="1614" t="s">
        <v>24404</v>
      </c>
      <c r="C15" s="1613">
        <v>5</v>
      </c>
      <c r="D15" s="1613" t="s">
        <v>24380</v>
      </c>
      <c r="E15" s="1613" t="s">
        <v>24381</v>
      </c>
      <c r="F15" s="1613" t="s">
        <v>3096</v>
      </c>
      <c r="G15" s="1613" t="s">
        <v>3096</v>
      </c>
      <c r="H15" s="1613" t="s">
        <v>3096</v>
      </c>
      <c r="I15" s="1613" t="s">
        <v>3096</v>
      </c>
      <c r="J15" s="1613" t="s">
        <v>3096</v>
      </c>
      <c r="K15" s="1613" t="s">
        <v>3096</v>
      </c>
      <c r="L15" s="1613" t="s">
        <v>24387</v>
      </c>
      <c r="M15" s="1613" t="s">
        <v>24405</v>
      </c>
    </row>
    <row r="16" spans="1:13" ht="16" customHeight="1" x14ac:dyDescent="0.4">
      <c r="A16" s="1616" t="s">
        <v>16370</v>
      </c>
      <c r="B16" s="1617" t="s">
        <v>24404</v>
      </c>
      <c r="C16" s="1616">
        <v>5</v>
      </c>
      <c r="D16" s="1616" t="s">
        <v>24380</v>
      </c>
      <c r="E16" s="1616" t="s">
        <v>24381</v>
      </c>
      <c r="F16" s="1616" t="s">
        <v>3096</v>
      </c>
      <c r="G16" s="1616" t="s">
        <v>3096</v>
      </c>
      <c r="H16" s="1616" t="s">
        <v>3096</v>
      </c>
      <c r="I16" s="1616" t="s">
        <v>3096</v>
      </c>
      <c r="J16" s="1616" t="s">
        <v>3096</v>
      </c>
      <c r="K16" s="1616" t="s">
        <v>3096</v>
      </c>
      <c r="L16" s="1616" t="s">
        <v>24387</v>
      </c>
      <c r="M16" s="1616" t="s">
        <v>24406</v>
      </c>
    </row>
    <row r="17" spans="1:13" ht="16" customHeight="1" x14ac:dyDescent="0.4">
      <c r="A17" s="1613" t="s">
        <v>16367</v>
      </c>
      <c r="B17" s="1613" t="s">
        <v>24143</v>
      </c>
      <c r="C17" s="1613">
        <v>5</v>
      </c>
      <c r="D17" s="1613" t="s">
        <v>24380</v>
      </c>
      <c r="E17" s="1613" t="s">
        <v>24381</v>
      </c>
      <c r="F17" s="1613" t="s">
        <v>3096</v>
      </c>
      <c r="G17" s="1613" t="s">
        <v>3096</v>
      </c>
      <c r="H17" s="1613" t="s">
        <v>3096</v>
      </c>
      <c r="I17" s="1613" t="s">
        <v>3096</v>
      </c>
      <c r="J17" s="1613" t="s">
        <v>3096</v>
      </c>
      <c r="K17" s="1613" t="s">
        <v>3096</v>
      </c>
      <c r="L17" s="1613" t="s">
        <v>24387</v>
      </c>
      <c r="M17" s="1613" t="s">
        <v>24397</v>
      </c>
    </row>
    <row r="18" spans="1:13" ht="16" customHeight="1" x14ac:dyDescent="0.4">
      <c r="A18" s="1616" t="s">
        <v>16368</v>
      </c>
      <c r="B18" s="1616" t="s">
        <v>24143</v>
      </c>
      <c r="C18" s="1616">
        <v>5</v>
      </c>
      <c r="D18" s="1616" t="s">
        <v>24380</v>
      </c>
      <c r="E18" s="1616" t="s">
        <v>24381</v>
      </c>
      <c r="F18" s="1616" t="s">
        <v>3096</v>
      </c>
      <c r="G18" s="1616" t="s">
        <v>3096</v>
      </c>
      <c r="H18" s="1616" t="s">
        <v>3096</v>
      </c>
      <c r="I18" s="1616" t="s">
        <v>3096</v>
      </c>
      <c r="J18" s="1616" t="s">
        <v>3096</v>
      </c>
      <c r="K18" s="1616" t="s">
        <v>3096</v>
      </c>
      <c r="L18" s="1616" t="s">
        <v>24387</v>
      </c>
      <c r="M18" s="1616" t="s">
        <v>24397</v>
      </c>
    </row>
    <row r="19" spans="1:13" ht="16" customHeight="1" x14ac:dyDescent="0.4">
      <c r="A19" s="1613" t="s">
        <v>18252</v>
      </c>
      <c r="B19" s="1614" t="s">
        <v>24167</v>
      </c>
      <c r="C19" s="1613">
        <v>5</v>
      </c>
      <c r="D19" s="1613" t="s">
        <v>24380</v>
      </c>
      <c r="E19" s="1613" t="s">
        <v>24381</v>
      </c>
      <c r="F19" s="1613" t="s">
        <v>3096</v>
      </c>
      <c r="G19" s="1613" t="s">
        <v>3096</v>
      </c>
      <c r="H19" s="1613" t="s">
        <v>3096</v>
      </c>
      <c r="I19" s="1613" t="s">
        <v>3096</v>
      </c>
      <c r="J19" s="1613" t="s">
        <v>3096</v>
      </c>
      <c r="K19" s="1613" t="s">
        <v>3096</v>
      </c>
      <c r="L19" s="1613" t="s">
        <v>24387</v>
      </c>
      <c r="M19" s="1613" t="s">
        <v>24407</v>
      </c>
    </row>
    <row r="20" spans="1:13" ht="16" customHeight="1" x14ac:dyDescent="0.4">
      <c r="A20" s="1616" t="s">
        <v>16389</v>
      </c>
      <c r="B20" s="1616" t="s">
        <v>24143</v>
      </c>
      <c r="C20" s="1616">
        <v>5</v>
      </c>
      <c r="D20" s="1616" t="s">
        <v>24380</v>
      </c>
      <c r="E20" s="1616" t="s">
        <v>24381</v>
      </c>
      <c r="F20" s="1616" t="s">
        <v>3096</v>
      </c>
      <c r="G20" s="1616" t="s">
        <v>3096</v>
      </c>
      <c r="H20" s="1616" t="s">
        <v>24386</v>
      </c>
      <c r="I20" s="1616" t="s">
        <v>3096</v>
      </c>
      <c r="J20" s="1616" t="s">
        <v>3096</v>
      </c>
      <c r="K20" s="1616" t="s">
        <v>3096</v>
      </c>
      <c r="L20" s="1616" t="s">
        <v>24387</v>
      </c>
      <c r="M20" s="1616" t="s">
        <v>24408</v>
      </c>
    </row>
    <row r="21" spans="1:13" ht="16" customHeight="1" x14ac:dyDescent="0.4">
      <c r="A21" s="1613" t="s">
        <v>16351</v>
      </c>
      <c r="B21" s="1613" t="s">
        <v>24143</v>
      </c>
      <c r="C21" s="1613">
        <v>5</v>
      </c>
      <c r="D21" s="1613" t="s">
        <v>24380</v>
      </c>
      <c r="E21" s="1613" t="s">
        <v>24381</v>
      </c>
      <c r="F21" s="1613" t="s">
        <v>3096</v>
      </c>
      <c r="G21" s="1613" t="s">
        <v>3096</v>
      </c>
      <c r="H21" s="1613" t="s">
        <v>3096</v>
      </c>
      <c r="I21" s="1613" t="s">
        <v>3096</v>
      </c>
      <c r="J21" s="1613" t="s">
        <v>3096</v>
      </c>
      <c r="K21" s="1613" t="s">
        <v>3096</v>
      </c>
      <c r="L21" s="1613" t="s">
        <v>24387</v>
      </c>
      <c r="M21" s="1613" t="s">
        <v>24409</v>
      </c>
    </row>
    <row r="22" spans="1:13" ht="16" customHeight="1" x14ac:dyDescent="0.4">
      <c r="A22" s="1616" t="s">
        <v>16395</v>
      </c>
      <c r="B22" s="1616" t="s">
        <v>24143</v>
      </c>
      <c r="C22" s="1616">
        <v>5</v>
      </c>
      <c r="D22" s="1616" t="s">
        <v>24380</v>
      </c>
      <c r="E22" s="1616" t="s">
        <v>24381</v>
      </c>
      <c r="F22" s="1616" t="s">
        <v>3096</v>
      </c>
      <c r="G22" s="1616" t="s">
        <v>3096</v>
      </c>
      <c r="H22" s="1616" t="s">
        <v>3096</v>
      </c>
      <c r="I22" s="1616" t="s">
        <v>3096</v>
      </c>
      <c r="J22" s="1616" t="s">
        <v>3096</v>
      </c>
      <c r="K22" s="1616" t="s">
        <v>3096</v>
      </c>
      <c r="L22" s="1616" t="s">
        <v>24387</v>
      </c>
      <c r="M22" s="1616" t="s">
        <v>24410</v>
      </c>
    </row>
    <row r="23" spans="1:13" ht="16" customHeight="1" x14ac:dyDescent="0.4">
      <c r="A23" s="1613" t="s">
        <v>16374</v>
      </c>
      <c r="B23" s="1613" t="s">
        <v>24143</v>
      </c>
      <c r="C23" s="1613">
        <v>5</v>
      </c>
      <c r="D23" s="1613" t="s">
        <v>24380</v>
      </c>
      <c r="E23" s="1613" t="s">
        <v>24381</v>
      </c>
      <c r="F23" s="1613" t="s">
        <v>3096</v>
      </c>
      <c r="G23" s="1613" t="s">
        <v>3096</v>
      </c>
      <c r="H23" s="1613" t="s">
        <v>3096</v>
      </c>
      <c r="I23" s="1613" t="s">
        <v>3096</v>
      </c>
      <c r="J23" s="1613" t="s">
        <v>3096</v>
      </c>
      <c r="K23" s="1613" t="s">
        <v>3096</v>
      </c>
      <c r="L23" s="1613" t="s">
        <v>24387</v>
      </c>
      <c r="M23" s="1613" t="s">
        <v>24411</v>
      </c>
    </row>
    <row r="24" spans="1:13" ht="16" customHeight="1" x14ac:dyDescent="0.4">
      <c r="A24" s="1616" t="s">
        <v>16376</v>
      </c>
      <c r="B24" s="1616" t="s">
        <v>24143</v>
      </c>
      <c r="C24" s="1616">
        <v>5</v>
      </c>
      <c r="D24" s="1616" t="s">
        <v>24380</v>
      </c>
      <c r="E24" s="1616" t="s">
        <v>24381</v>
      </c>
      <c r="F24" s="1616" t="s">
        <v>24391</v>
      </c>
      <c r="G24" s="1616" t="s">
        <v>3096</v>
      </c>
      <c r="H24" s="1616" t="s">
        <v>3096</v>
      </c>
      <c r="I24" s="1616" t="s">
        <v>3096</v>
      </c>
      <c r="J24" s="1616" t="s">
        <v>24391</v>
      </c>
      <c r="K24" s="1616" t="s">
        <v>24412</v>
      </c>
      <c r="L24" s="1616" t="s">
        <v>24387</v>
      </c>
      <c r="M24" s="1616" t="s">
        <v>24413</v>
      </c>
    </row>
    <row r="25" spans="1:13" ht="16" customHeight="1" x14ac:dyDescent="0.4">
      <c r="A25" s="1613" t="s">
        <v>21937</v>
      </c>
      <c r="B25" s="1613" t="s">
        <v>24143</v>
      </c>
      <c r="C25" s="1613">
        <v>6</v>
      </c>
      <c r="D25" s="1613" t="s">
        <v>24380</v>
      </c>
      <c r="E25" s="1613" t="s">
        <v>24381</v>
      </c>
      <c r="F25" s="1613" t="s">
        <v>24391</v>
      </c>
      <c r="G25" s="1613" t="s">
        <v>3096</v>
      </c>
      <c r="H25" s="1613" t="s">
        <v>24386</v>
      </c>
      <c r="I25" s="1613" t="s">
        <v>24385</v>
      </c>
      <c r="J25" s="1613" t="s">
        <v>24391</v>
      </c>
      <c r="K25" s="1613" t="s">
        <v>24412</v>
      </c>
      <c r="L25" s="1613" t="s">
        <v>24387</v>
      </c>
      <c r="M25" s="1613" t="s">
        <v>24414</v>
      </c>
    </row>
    <row r="26" spans="1:13" ht="16" customHeight="1" x14ac:dyDescent="0.4">
      <c r="A26" s="1616" t="s">
        <v>16385</v>
      </c>
      <c r="B26" s="1616" t="s">
        <v>24143</v>
      </c>
      <c r="C26" s="1616">
        <v>5</v>
      </c>
      <c r="D26" s="1616" t="s">
        <v>24380</v>
      </c>
      <c r="E26" s="1616" t="s">
        <v>24382</v>
      </c>
      <c r="F26" s="1616" t="s">
        <v>24381</v>
      </c>
      <c r="G26" s="1616" t="s">
        <v>24391</v>
      </c>
      <c r="H26" s="1616" t="s">
        <v>24394</v>
      </c>
      <c r="I26" s="1616" t="s">
        <v>24392</v>
      </c>
      <c r="J26" s="1616" t="s">
        <v>24389</v>
      </c>
      <c r="K26" s="1616" t="s">
        <v>24415</v>
      </c>
      <c r="L26" s="1616" t="s">
        <v>24387</v>
      </c>
      <c r="M26" s="1616" t="s">
        <v>24416</v>
      </c>
    </row>
    <row r="27" spans="1:13" ht="16" customHeight="1" x14ac:dyDescent="0.4">
      <c r="A27" s="1613" t="s">
        <v>16363</v>
      </c>
      <c r="B27" s="1613" t="s">
        <v>24143</v>
      </c>
      <c r="C27" s="1613">
        <v>5</v>
      </c>
      <c r="D27" s="1613" t="s">
        <v>24380</v>
      </c>
      <c r="E27" s="1613" t="s">
        <v>3096</v>
      </c>
      <c r="F27" s="1613" t="s">
        <v>3096</v>
      </c>
      <c r="G27" s="1613" t="s">
        <v>3096</v>
      </c>
      <c r="H27" s="1613" t="s">
        <v>3096</v>
      </c>
      <c r="I27" s="1613" t="s">
        <v>3096</v>
      </c>
      <c r="J27" s="1613" t="s">
        <v>3096</v>
      </c>
      <c r="K27" s="1613" t="s">
        <v>3096</v>
      </c>
      <c r="L27" s="1613" t="s">
        <v>24387</v>
      </c>
      <c r="M27" s="1613" t="s">
        <v>24417</v>
      </c>
    </row>
    <row r="28" spans="1:13" ht="16" customHeight="1" x14ac:dyDescent="0.4">
      <c r="A28" s="1616" t="s">
        <v>16361</v>
      </c>
      <c r="B28" s="1617" t="s">
        <v>24203</v>
      </c>
      <c r="C28" s="1616">
        <v>5</v>
      </c>
      <c r="D28" s="1616" t="s">
        <v>24380</v>
      </c>
      <c r="E28" s="1616" t="s">
        <v>3096</v>
      </c>
      <c r="F28" s="1616" t="s">
        <v>3096</v>
      </c>
      <c r="G28" s="1616" t="s">
        <v>3096</v>
      </c>
      <c r="H28" s="1616" t="s">
        <v>3096</v>
      </c>
      <c r="I28" s="1616" t="s">
        <v>3096</v>
      </c>
      <c r="J28" s="1616" t="s">
        <v>3096</v>
      </c>
      <c r="K28" s="1616" t="s">
        <v>3096</v>
      </c>
      <c r="L28" s="1616" t="s">
        <v>24387</v>
      </c>
      <c r="M28" s="1616" t="s">
        <v>24418</v>
      </c>
    </row>
    <row r="29" spans="1:13" ht="16" customHeight="1" x14ac:dyDescent="0.4">
      <c r="A29" s="1613" t="s">
        <v>21933</v>
      </c>
      <c r="B29" s="1614" t="s">
        <v>24191</v>
      </c>
      <c r="C29" s="1613">
        <v>5</v>
      </c>
      <c r="D29" s="1613" t="s">
        <v>24380</v>
      </c>
      <c r="E29" s="1613" t="s">
        <v>3096</v>
      </c>
      <c r="F29" s="1613" t="s">
        <v>3096</v>
      </c>
      <c r="G29" s="1613" t="s">
        <v>3096</v>
      </c>
      <c r="H29" s="1613" t="s">
        <v>3096</v>
      </c>
      <c r="I29" s="1613" t="s">
        <v>3096</v>
      </c>
      <c r="J29" s="1613" t="s">
        <v>3096</v>
      </c>
      <c r="K29" s="1613" t="s">
        <v>3096</v>
      </c>
      <c r="L29" s="1613" t="s">
        <v>24387</v>
      </c>
      <c r="M29" s="1613" t="s">
        <v>24419</v>
      </c>
    </row>
    <row r="30" spans="1:13" ht="16" customHeight="1" x14ac:dyDescent="0.4">
      <c r="A30" s="1616" t="s">
        <v>22448</v>
      </c>
      <c r="B30" s="1617" t="s">
        <v>24191</v>
      </c>
      <c r="C30" s="1616">
        <v>5</v>
      </c>
      <c r="D30" s="1616" t="s">
        <v>24380</v>
      </c>
      <c r="E30" s="1616" t="s">
        <v>3096</v>
      </c>
      <c r="F30" s="1616" t="s">
        <v>3096</v>
      </c>
      <c r="G30" s="1616" t="s">
        <v>3096</v>
      </c>
      <c r="H30" s="1616" t="s">
        <v>3096</v>
      </c>
      <c r="I30" s="1616" t="s">
        <v>3096</v>
      </c>
      <c r="J30" s="1616" t="s">
        <v>3096</v>
      </c>
      <c r="K30" s="1616" t="s">
        <v>3096</v>
      </c>
      <c r="L30" s="1616" t="s">
        <v>24387</v>
      </c>
      <c r="M30" s="1616" t="s">
        <v>24419</v>
      </c>
    </row>
    <row r="31" spans="1:13" ht="16" customHeight="1" x14ac:dyDescent="0.4">
      <c r="A31" s="1613" t="s">
        <v>21935</v>
      </c>
      <c r="B31" s="1614" t="s">
        <v>24191</v>
      </c>
      <c r="C31" s="1613">
        <v>5</v>
      </c>
      <c r="D31" s="1613" t="s">
        <v>24380</v>
      </c>
      <c r="E31" s="1613" t="s">
        <v>3096</v>
      </c>
      <c r="F31" s="1613" t="s">
        <v>3096</v>
      </c>
      <c r="G31" s="1613" t="s">
        <v>3096</v>
      </c>
      <c r="H31" s="1613" t="s">
        <v>3096</v>
      </c>
      <c r="I31" s="1613" t="s">
        <v>3096</v>
      </c>
      <c r="J31" s="1613" t="s">
        <v>3096</v>
      </c>
      <c r="K31" s="1613" t="s">
        <v>3096</v>
      </c>
      <c r="L31" s="1613" t="s">
        <v>24387</v>
      </c>
      <c r="M31" s="1613" t="s">
        <v>24419</v>
      </c>
    </row>
    <row r="32" spans="1:13" ht="16" customHeight="1" x14ac:dyDescent="0.4">
      <c r="A32" s="1616" t="s">
        <v>16377</v>
      </c>
      <c r="B32" s="1616" t="s">
        <v>24143</v>
      </c>
      <c r="C32" s="1616">
        <v>5</v>
      </c>
      <c r="D32" s="1616" t="s">
        <v>24380</v>
      </c>
      <c r="E32" s="1616" t="s">
        <v>24381</v>
      </c>
      <c r="F32" s="1616" t="s">
        <v>3096</v>
      </c>
      <c r="G32" s="1616" t="s">
        <v>3096</v>
      </c>
      <c r="H32" s="1616" t="s">
        <v>3096</v>
      </c>
      <c r="I32" s="1616" t="s">
        <v>3096</v>
      </c>
      <c r="J32" s="1616" t="s">
        <v>3096</v>
      </c>
      <c r="K32" s="1616" t="s">
        <v>3096</v>
      </c>
      <c r="L32" s="1616" t="s">
        <v>24387</v>
      </c>
      <c r="M32" s="1616" t="s">
        <v>24420</v>
      </c>
    </row>
    <row r="33" spans="1:13" ht="16" customHeight="1" x14ac:dyDescent="0.4">
      <c r="A33" s="1613" t="s">
        <v>9787</v>
      </c>
      <c r="B33" s="1614" t="s">
        <v>24203</v>
      </c>
      <c r="C33" s="1613">
        <v>5</v>
      </c>
      <c r="D33" s="1613" t="s">
        <v>24380</v>
      </c>
      <c r="E33" s="1613" t="s">
        <v>24381</v>
      </c>
      <c r="F33" s="1613" t="s">
        <v>3096</v>
      </c>
      <c r="G33" s="1613" t="s">
        <v>3096</v>
      </c>
      <c r="H33" s="1613" t="s">
        <v>3096</v>
      </c>
      <c r="I33" s="1613" t="s">
        <v>3096</v>
      </c>
      <c r="J33" s="1613" t="s">
        <v>3096</v>
      </c>
      <c r="K33" s="1613" t="s">
        <v>3096</v>
      </c>
      <c r="L33" s="1613" t="s">
        <v>24387</v>
      </c>
      <c r="M33" s="1613" t="s">
        <v>24421</v>
      </c>
    </row>
    <row r="34" spans="1:13" ht="16" customHeight="1" x14ac:dyDescent="0.4">
      <c r="A34" s="1616" t="s">
        <v>16353</v>
      </c>
      <c r="B34" s="1617" t="s">
        <v>24203</v>
      </c>
      <c r="C34" s="1616">
        <v>5</v>
      </c>
      <c r="D34" s="1616" t="s">
        <v>24380</v>
      </c>
      <c r="E34" s="1616" t="s">
        <v>24381</v>
      </c>
      <c r="F34" s="1616" t="s">
        <v>3096</v>
      </c>
      <c r="G34" s="1616" t="s">
        <v>3096</v>
      </c>
      <c r="H34" s="1616" t="s">
        <v>3096</v>
      </c>
      <c r="I34" s="1616" t="s">
        <v>3096</v>
      </c>
      <c r="J34" s="1616" t="s">
        <v>3096</v>
      </c>
      <c r="K34" s="1616" t="s">
        <v>3096</v>
      </c>
      <c r="L34" s="1616" t="s">
        <v>24387</v>
      </c>
      <c r="M34" s="1616" t="s">
        <v>24422</v>
      </c>
    </row>
    <row r="35" spans="1:13" ht="16" customHeight="1" x14ac:dyDescent="0.4">
      <c r="A35" s="1613" t="s">
        <v>16345</v>
      </c>
      <c r="B35" s="1614" t="s">
        <v>24206</v>
      </c>
      <c r="C35" s="1613">
        <v>5</v>
      </c>
      <c r="D35" s="1613" t="s">
        <v>24380</v>
      </c>
      <c r="E35" s="1613" t="s">
        <v>24381</v>
      </c>
      <c r="F35" s="1613" t="s">
        <v>3096</v>
      </c>
      <c r="G35" s="1613" t="s">
        <v>3096</v>
      </c>
      <c r="H35" s="1613" t="s">
        <v>3096</v>
      </c>
      <c r="I35" s="1613" t="s">
        <v>3096</v>
      </c>
      <c r="J35" s="1613" t="s">
        <v>3096</v>
      </c>
      <c r="K35" s="1613" t="s">
        <v>3096</v>
      </c>
      <c r="L35" s="1613" t="s">
        <v>24387</v>
      </c>
      <c r="M35" s="1613" t="s">
        <v>24423</v>
      </c>
    </row>
    <row r="36" spans="1:13" ht="16" customHeight="1" x14ac:dyDescent="0.4">
      <c r="A36" s="1616" t="s">
        <v>16359</v>
      </c>
      <c r="B36" s="1617" t="s">
        <v>24206</v>
      </c>
      <c r="C36" s="1616">
        <v>5</v>
      </c>
      <c r="D36" s="1616" t="s">
        <v>24380</v>
      </c>
      <c r="E36" s="1616" t="s">
        <v>24381</v>
      </c>
      <c r="F36" s="1616" t="s">
        <v>3096</v>
      </c>
      <c r="G36" s="1616" t="s">
        <v>3096</v>
      </c>
      <c r="H36" s="1616" t="s">
        <v>3096</v>
      </c>
      <c r="I36" s="1616" t="s">
        <v>3096</v>
      </c>
      <c r="J36" s="1616" t="s">
        <v>3096</v>
      </c>
      <c r="K36" s="1616" t="s">
        <v>3096</v>
      </c>
      <c r="L36" s="1616" t="s">
        <v>24387</v>
      </c>
      <c r="M36" s="1616" t="s">
        <v>24424</v>
      </c>
    </row>
    <row r="37" spans="1:13" ht="16" customHeight="1" x14ac:dyDescent="0.4">
      <c r="A37" s="1613" t="s">
        <v>16396</v>
      </c>
      <c r="B37" s="1613" t="s">
        <v>24143</v>
      </c>
      <c r="C37" s="1613">
        <v>5</v>
      </c>
      <c r="D37" s="1613" t="s">
        <v>24380</v>
      </c>
      <c r="E37" s="1613" t="s">
        <v>24381</v>
      </c>
      <c r="F37" s="1613" t="s">
        <v>3096</v>
      </c>
      <c r="G37" s="1613" t="s">
        <v>3096</v>
      </c>
      <c r="H37" s="1613" t="s">
        <v>3096</v>
      </c>
      <c r="I37" s="1613" t="s">
        <v>3096</v>
      </c>
      <c r="J37" s="1613" t="s">
        <v>3096</v>
      </c>
      <c r="K37" s="1613" t="s">
        <v>3096</v>
      </c>
      <c r="L37" s="1613" t="s">
        <v>24387</v>
      </c>
      <c r="M37" s="1613" t="s">
        <v>24425</v>
      </c>
    </row>
    <row r="38" spans="1:13" ht="16" customHeight="1" x14ac:dyDescent="0.4">
      <c r="A38" s="1616" t="s">
        <v>16398</v>
      </c>
      <c r="B38" s="1616" t="s">
        <v>24143</v>
      </c>
      <c r="C38" s="1616">
        <v>5</v>
      </c>
      <c r="D38" s="1616" t="s">
        <v>24380</v>
      </c>
      <c r="E38" s="1616" t="s">
        <v>24381</v>
      </c>
      <c r="F38" s="1616" t="s">
        <v>3096</v>
      </c>
      <c r="G38" s="1616" t="s">
        <v>3096</v>
      </c>
      <c r="H38" s="1616" t="s">
        <v>3096</v>
      </c>
      <c r="I38" s="1616" t="s">
        <v>3096</v>
      </c>
      <c r="J38" s="1616" t="s">
        <v>3096</v>
      </c>
      <c r="K38" s="1616" t="s">
        <v>3096</v>
      </c>
      <c r="L38" s="1616" t="s">
        <v>24387</v>
      </c>
      <c r="M38" s="1616" t="s">
        <v>24426</v>
      </c>
    </row>
    <row r="39" spans="1:13" ht="16" customHeight="1" x14ac:dyDescent="0.4">
      <c r="A39" s="1613" t="s">
        <v>9792</v>
      </c>
      <c r="B39" s="1614" t="s">
        <v>24217</v>
      </c>
      <c r="C39" s="1613">
        <v>5</v>
      </c>
      <c r="D39" s="1613" t="s">
        <v>24380</v>
      </c>
      <c r="E39" s="1613" t="s">
        <v>3096</v>
      </c>
      <c r="F39" s="1613" t="s">
        <v>3096</v>
      </c>
      <c r="G39" s="1613" t="s">
        <v>3096</v>
      </c>
      <c r="H39" s="1613" t="s">
        <v>3096</v>
      </c>
      <c r="I39" s="1613" t="s">
        <v>3096</v>
      </c>
      <c r="J39" s="1613" t="s">
        <v>3096</v>
      </c>
      <c r="K39" s="1613" t="s">
        <v>3096</v>
      </c>
      <c r="L39" s="1613" t="s">
        <v>24387</v>
      </c>
      <c r="M39" s="1613" t="s">
        <v>24427</v>
      </c>
    </row>
    <row r="40" spans="1:13" ht="16" customHeight="1" x14ac:dyDescent="0.4">
      <c r="A40" s="1616" t="s">
        <v>9793</v>
      </c>
      <c r="B40" s="1617" t="s">
        <v>24217</v>
      </c>
      <c r="C40" s="1616">
        <v>2</v>
      </c>
      <c r="D40" s="1616" t="s">
        <v>24380</v>
      </c>
      <c r="E40" s="1616" t="s">
        <v>3096</v>
      </c>
      <c r="F40" s="1616" t="s">
        <v>3096</v>
      </c>
      <c r="G40" s="1616" t="s">
        <v>3096</v>
      </c>
      <c r="H40" s="1616" t="s">
        <v>3096</v>
      </c>
      <c r="I40" s="1616" t="s">
        <v>3096</v>
      </c>
      <c r="J40" s="1616" t="s">
        <v>3096</v>
      </c>
      <c r="K40" s="1616" t="s">
        <v>3096</v>
      </c>
      <c r="L40" s="1616" t="s">
        <v>24387</v>
      </c>
      <c r="M40" s="1616" t="s">
        <v>24428</v>
      </c>
    </row>
    <row r="41" spans="1:13" ht="16" customHeight="1" x14ac:dyDescent="0.4">
      <c r="A41" s="1613" t="s">
        <v>9789</v>
      </c>
      <c r="B41" s="1613" t="s">
        <v>24143</v>
      </c>
      <c r="C41" s="1613">
        <v>5</v>
      </c>
      <c r="D41" s="1613" t="s">
        <v>24380</v>
      </c>
      <c r="E41" s="1613" t="s">
        <v>24381</v>
      </c>
      <c r="F41" s="1613" t="s">
        <v>3096</v>
      </c>
      <c r="G41" s="1613" t="s">
        <v>3096</v>
      </c>
      <c r="H41" s="1613" t="s">
        <v>3096</v>
      </c>
      <c r="I41" s="1613" t="s">
        <v>3096</v>
      </c>
      <c r="J41" s="1613" t="s">
        <v>3096</v>
      </c>
      <c r="K41" s="1613" t="s">
        <v>3096</v>
      </c>
      <c r="L41" s="1613" t="s">
        <v>24387</v>
      </c>
      <c r="M41" s="1613" t="s">
        <v>24429</v>
      </c>
    </row>
    <row r="42" spans="1:13" ht="16" customHeight="1" x14ac:dyDescent="0.4">
      <c r="A42" s="1616" t="s">
        <v>9791</v>
      </c>
      <c r="B42" s="1616" t="s">
        <v>24143</v>
      </c>
      <c r="C42" s="1616">
        <v>5</v>
      </c>
      <c r="D42" s="1616" t="s">
        <v>24380</v>
      </c>
      <c r="E42" s="1616" t="s">
        <v>24381</v>
      </c>
      <c r="F42" s="1616" t="s">
        <v>3096</v>
      </c>
      <c r="G42" s="1616" t="s">
        <v>3096</v>
      </c>
      <c r="H42" s="1616" t="s">
        <v>3096</v>
      </c>
      <c r="I42" s="1616" t="s">
        <v>3096</v>
      </c>
      <c r="J42" s="1616" t="s">
        <v>3096</v>
      </c>
      <c r="K42" s="1616" t="s">
        <v>3096</v>
      </c>
      <c r="L42" s="1616" t="s">
        <v>24387</v>
      </c>
      <c r="M42" s="1616" t="s">
        <v>24430</v>
      </c>
    </row>
    <row r="43" spans="1:13" ht="16" customHeight="1" x14ac:dyDescent="0.4">
      <c r="A43" s="1613" t="s">
        <v>16387</v>
      </c>
      <c r="B43" s="1613" t="s">
        <v>24143</v>
      </c>
      <c r="C43" s="1613">
        <v>5</v>
      </c>
      <c r="D43" s="1613" t="s">
        <v>24380</v>
      </c>
      <c r="E43" s="1613" t="s">
        <v>24381</v>
      </c>
      <c r="F43" s="1613" t="s">
        <v>3096</v>
      </c>
      <c r="G43" s="1613" t="s">
        <v>3096</v>
      </c>
      <c r="H43" s="1613" t="s">
        <v>3096</v>
      </c>
      <c r="I43" s="1613" t="s">
        <v>3096</v>
      </c>
      <c r="J43" s="1613" t="s">
        <v>3096</v>
      </c>
      <c r="K43" s="1613" t="s">
        <v>3096</v>
      </c>
      <c r="L43" s="1613" t="s">
        <v>24387</v>
      </c>
      <c r="M43" s="1613" t="s">
        <v>24431</v>
      </c>
    </row>
    <row r="44" spans="1:13" ht="16" customHeight="1" x14ac:dyDescent="0.4">
      <c r="A44" s="1616" t="s">
        <v>1496</v>
      </c>
      <c r="B44" s="1616" t="s">
        <v>24143</v>
      </c>
      <c r="C44" s="1616">
        <v>5</v>
      </c>
      <c r="D44" s="1616" t="s">
        <v>24380</v>
      </c>
      <c r="E44" s="1616" t="s">
        <v>24381</v>
      </c>
      <c r="F44" s="1616" t="s">
        <v>3096</v>
      </c>
      <c r="G44" s="1616" t="s">
        <v>3096</v>
      </c>
      <c r="H44" s="1616" t="s">
        <v>3096</v>
      </c>
      <c r="I44" s="1616" t="s">
        <v>3096</v>
      </c>
      <c r="J44" s="1616" t="s">
        <v>3096</v>
      </c>
      <c r="K44" s="1616" t="s">
        <v>3096</v>
      </c>
      <c r="L44" s="1616" t="s">
        <v>24387</v>
      </c>
      <c r="M44" s="1616" t="s">
        <v>24432</v>
      </c>
    </row>
    <row r="45" spans="1:13" ht="16" customHeight="1" x14ac:dyDescent="0.4">
      <c r="A45" s="1613" t="s">
        <v>18253</v>
      </c>
      <c r="B45" s="1613" t="s">
        <v>24143</v>
      </c>
      <c r="C45" s="1613">
        <v>5</v>
      </c>
      <c r="D45" s="1613" t="s">
        <v>24380</v>
      </c>
      <c r="E45" s="1613" t="s">
        <v>24381</v>
      </c>
      <c r="F45" s="1613" t="s">
        <v>3096</v>
      </c>
      <c r="G45" s="1613" t="s">
        <v>3096</v>
      </c>
      <c r="H45" s="1613" t="s">
        <v>3096</v>
      </c>
      <c r="I45" s="1613" t="s">
        <v>3096</v>
      </c>
      <c r="J45" s="1613" t="s">
        <v>3096</v>
      </c>
      <c r="K45" s="1613" t="s">
        <v>3096</v>
      </c>
      <c r="L45" s="1613" t="s">
        <v>24387</v>
      </c>
      <c r="M45" s="1613" t="s">
        <v>24433</v>
      </c>
    </row>
    <row r="46" spans="1:13" ht="16" customHeight="1" x14ac:dyDescent="0.4">
      <c r="A46" s="1616" t="s">
        <v>22446</v>
      </c>
      <c r="B46" s="1616" t="s">
        <v>24143</v>
      </c>
      <c r="C46" s="1616">
        <v>5</v>
      </c>
      <c r="D46" s="1616" t="s">
        <v>24380</v>
      </c>
      <c r="E46" s="1616" t="s">
        <v>24381</v>
      </c>
      <c r="F46" s="1616" t="s">
        <v>3096</v>
      </c>
      <c r="G46" s="1616" t="s">
        <v>3096</v>
      </c>
      <c r="H46" s="1616" t="s">
        <v>3096</v>
      </c>
      <c r="I46" s="1616" t="s">
        <v>3096</v>
      </c>
      <c r="J46" s="1616" t="s">
        <v>3096</v>
      </c>
      <c r="K46" s="1616" t="s">
        <v>3096</v>
      </c>
      <c r="L46" s="1616" t="s">
        <v>24387</v>
      </c>
      <c r="M46" s="1616" t="s">
        <v>24434</v>
      </c>
    </row>
    <row r="47" spans="1:13" ht="16" customHeight="1" x14ac:dyDescent="0.4">
      <c r="A47" s="1613" t="s">
        <v>16379</v>
      </c>
      <c r="B47" s="1614" t="s">
        <v>24239</v>
      </c>
      <c r="C47" s="1613">
        <v>5</v>
      </c>
      <c r="D47" s="1613" t="s">
        <v>24380</v>
      </c>
      <c r="E47" s="1613" t="s">
        <v>24381</v>
      </c>
      <c r="F47" s="1613" t="s">
        <v>3096</v>
      </c>
      <c r="G47" s="1613" t="s">
        <v>3096</v>
      </c>
      <c r="H47" s="1613" t="s">
        <v>3096</v>
      </c>
      <c r="I47" s="1613" t="s">
        <v>3096</v>
      </c>
      <c r="J47" s="1613" t="s">
        <v>3096</v>
      </c>
      <c r="K47" s="1613" t="s">
        <v>3096</v>
      </c>
      <c r="L47" s="1613" t="s">
        <v>24387</v>
      </c>
      <c r="M47" s="1613" t="s">
        <v>24435</v>
      </c>
    </row>
    <row r="48" spans="1:13" ht="16" customHeight="1" x14ac:dyDescent="0.4">
      <c r="A48" s="1616" t="s">
        <v>16386</v>
      </c>
      <c r="B48" s="1617" t="s">
        <v>24239</v>
      </c>
      <c r="C48" s="1616">
        <v>5</v>
      </c>
      <c r="D48" s="1616" t="s">
        <v>24380</v>
      </c>
      <c r="E48" s="1616" t="s">
        <v>24381</v>
      </c>
      <c r="F48" s="1616" t="s">
        <v>3096</v>
      </c>
      <c r="G48" s="1616" t="s">
        <v>3096</v>
      </c>
      <c r="H48" s="1616" t="s">
        <v>3096</v>
      </c>
      <c r="I48" s="1616" t="s">
        <v>3096</v>
      </c>
      <c r="J48" s="1616" t="s">
        <v>3096</v>
      </c>
      <c r="K48" s="1616" t="s">
        <v>3096</v>
      </c>
      <c r="L48" s="1616" t="s">
        <v>24387</v>
      </c>
      <c r="M48" s="1616" t="s">
        <v>24435</v>
      </c>
    </row>
    <row r="49" spans="1:13" ht="16" customHeight="1" x14ac:dyDescent="0.4">
      <c r="A49" s="1613" t="s">
        <v>16350</v>
      </c>
      <c r="B49" s="1613" t="s">
        <v>24143</v>
      </c>
      <c r="C49" s="1613">
        <v>5</v>
      </c>
      <c r="D49" s="1613" t="s">
        <v>24380</v>
      </c>
      <c r="E49" s="1613" t="s">
        <v>24381</v>
      </c>
      <c r="F49" s="1613" t="s">
        <v>3096</v>
      </c>
      <c r="G49" s="1613" t="s">
        <v>3096</v>
      </c>
      <c r="H49" s="1613" t="s">
        <v>3096</v>
      </c>
      <c r="I49" s="1613" t="s">
        <v>3096</v>
      </c>
      <c r="J49" s="1613" t="s">
        <v>3096</v>
      </c>
      <c r="K49" s="1613" t="s">
        <v>3096</v>
      </c>
      <c r="L49" s="1613" t="s">
        <v>24387</v>
      </c>
      <c r="M49" s="1613" t="s">
        <v>24436</v>
      </c>
    </row>
    <row r="50" spans="1:13" ht="16" customHeight="1" x14ac:dyDescent="0.4">
      <c r="A50" s="1616" t="s">
        <v>16347</v>
      </c>
      <c r="B50" s="1617" t="s">
        <v>24250</v>
      </c>
      <c r="C50" s="1616">
        <v>2</v>
      </c>
      <c r="D50" s="1616" t="s">
        <v>24380</v>
      </c>
      <c r="E50" s="1616" t="s">
        <v>3096</v>
      </c>
      <c r="F50" s="1616" t="s">
        <v>3096</v>
      </c>
      <c r="G50" s="1616" t="s">
        <v>3096</v>
      </c>
      <c r="H50" s="1616" t="s">
        <v>3096</v>
      </c>
      <c r="I50" s="1616" t="s">
        <v>3096</v>
      </c>
      <c r="J50" s="1616" t="s">
        <v>3096</v>
      </c>
      <c r="K50" s="1616" t="s">
        <v>3096</v>
      </c>
      <c r="L50" s="1616" t="s">
        <v>24387</v>
      </c>
      <c r="M50" s="1616" t="s">
        <v>24437</v>
      </c>
    </row>
    <row r="51" spans="1:13" ht="16" customHeight="1" x14ac:dyDescent="0.4">
      <c r="A51" s="1620" t="s">
        <v>24253</v>
      </c>
      <c r="B51" s="1620" t="s">
        <v>3096</v>
      </c>
      <c r="C51" s="1620">
        <v>0</v>
      </c>
      <c r="D51" s="1620" t="s">
        <v>3096</v>
      </c>
      <c r="E51" s="1620" t="s">
        <v>3096</v>
      </c>
      <c r="F51" s="1620" t="s">
        <v>3096</v>
      </c>
      <c r="G51" s="1620" t="s">
        <v>3096</v>
      </c>
      <c r="H51" s="1620" t="s">
        <v>3096</v>
      </c>
      <c r="I51" s="1620" t="s">
        <v>3096</v>
      </c>
      <c r="J51" s="1620" t="s">
        <v>3096</v>
      </c>
      <c r="K51" s="1620" t="s">
        <v>3096</v>
      </c>
      <c r="L51" s="1620" t="s">
        <v>24438</v>
      </c>
      <c r="M51" s="1620" t="s">
        <v>24439</v>
      </c>
    </row>
    <row r="52" spans="1:13" ht="16" customHeight="1" x14ac:dyDescent="0.4">
      <c r="A52" s="1616" t="s">
        <v>16381</v>
      </c>
      <c r="B52" s="1617" t="s">
        <v>24139</v>
      </c>
      <c r="C52" s="1616">
        <v>5</v>
      </c>
      <c r="D52" s="1616" t="s">
        <v>24380</v>
      </c>
      <c r="E52" s="1616" t="s">
        <v>3096</v>
      </c>
      <c r="F52" s="1616" t="s">
        <v>3096</v>
      </c>
      <c r="G52" s="1616" t="s">
        <v>3096</v>
      </c>
      <c r="H52" s="1616" t="s">
        <v>3096</v>
      </c>
      <c r="I52" s="1616" t="s">
        <v>24381</v>
      </c>
      <c r="J52" s="1616" t="s">
        <v>24382</v>
      </c>
      <c r="K52" s="1616" t="s">
        <v>24440</v>
      </c>
      <c r="L52" s="1616" t="s">
        <v>24387</v>
      </c>
      <c r="M52" s="1616" t="s">
        <v>24441</v>
      </c>
    </row>
  </sheetData>
  <mergeCells count="2">
    <mergeCell ref="A1:M1"/>
    <mergeCell ref="A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5165F-5CE4-433F-B992-557AB5F860ED}">
  <sheetPr>
    <tabColor rgb="FF1A3A5C"/>
  </sheetPr>
  <dimension ref="A1:G76"/>
  <sheetViews>
    <sheetView zoomScale="85" zoomScaleNormal="85" workbookViewId="0">
      <pane ySplit="4" topLeftCell="A17" activePane="bottomLeft" state="frozen"/>
      <selection pane="bottomLeft" activeCell="F29" sqref="F29"/>
    </sheetView>
  </sheetViews>
  <sheetFormatPr defaultRowHeight="14.5" x14ac:dyDescent="0.35"/>
  <cols>
    <col min="1" max="1" width="15.26953125" bestFit="1" customWidth="1"/>
    <col min="2" max="2" width="22.36328125" bestFit="1" customWidth="1"/>
    <col min="3" max="3" width="27.1796875" customWidth="1"/>
    <col min="4" max="4" width="70.26953125" bestFit="1" customWidth="1"/>
    <col min="5" max="5" width="49.7265625" bestFit="1" customWidth="1"/>
    <col min="6" max="6" width="10.26953125" bestFit="1" customWidth="1"/>
    <col min="7" max="7" width="96.7265625" customWidth="1"/>
    <col min="8" max="8" width="12.7265625" customWidth="1"/>
  </cols>
  <sheetData>
    <row r="1" spans="1:7" ht="28" customHeight="1" x14ac:dyDescent="0.45">
      <c r="A1" s="1285" t="s">
        <v>16339</v>
      </c>
      <c r="B1" s="1285"/>
      <c r="C1" s="1285"/>
      <c r="D1" s="1285"/>
      <c r="E1" s="1285"/>
      <c r="F1" s="1285"/>
      <c r="G1" s="1285"/>
    </row>
    <row r="2" spans="1:7" ht="22" customHeight="1" x14ac:dyDescent="0.35">
      <c r="A2" s="1286" t="s">
        <v>22456</v>
      </c>
      <c r="B2" s="1287"/>
      <c r="C2" s="1287"/>
      <c r="D2" s="1287"/>
      <c r="E2" s="1287"/>
      <c r="F2" s="1287"/>
      <c r="G2" s="1287"/>
    </row>
    <row r="3" spans="1:7" ht="8" customHeight="1" x14ac:dyDescent="0.35">
      <c r="A3" s="579"/>
      <c r="B3" s="579"/>
      <c r="C3" s="579"/>
      <c r="D3" s="579"/>
      <c r="E3" s="579"/>
      <c r="F3" s="579"/>
      <c r="G3" s="579"/>
    </row>
    <row r="4" spans="1:7" ht="22" customHeight="1" x14ac:dyDescent="0.35">
      <c r="A4" s="580" t="s">
        <v>141</v>
      </c>
      <c r="B4" s="580" t="s">
        <v>16340</v>
      </c>
      <c r="C4" s="580" t="s">
        <v>16341</v>
      </c>
      <c r="D4" s="580" t="s">
        <v>16342</v>
      </c>
      <c r="E4" s="580" t="s">
        <v>16343</v>
      </c>
      <c r="F4" s="580" t="s">
        <v>18416</v>
      </c>
      <c r="G4" s="580" t="s">
        <v>16344</v>
      </c>
    </row>
    <row r="5" spans="1:7" ht="18" customHeight="1" x14ac:dyDescent="0.35">
      <c r="A5" s="576">
        <v>1</v>
      </c>
      <c r="B5" s="575" t="s">
        <v>16345</v>
      </c>
      <c r="C5" s="575" t="s">
        <v>16346</v>
      </c>
      <c r="D5" s="582">
        <v>208</v>
      </c>
      <c r="E5" s="576">
        <v>7</v>
      </c>
      <c r="F5" s="576">
        <v>1</v>
      </c>
      <c r="G5" s="583" t="s">
        <v>18463</v>
      </c>
    </row>
    <row r="6" spans="1:7" ht="18" customHeight="1" x14ac:dyDescent="0.35">
      <c r="A6" s="565">
        <v>2</v>
      </c>
      <c r="B6" s="564" t="s">
        <v>16347</v>
      </c>
      <c r="C6" s="564" t="s">
        <v>16348</v>
      </c>
      <c r="D6" s="566">
        <v>73</v>
      </c>
      <c r="E6" s="565">
        <v>4</v>
      </c>
      <c r="F6" s="565">
        <v>0</v>
      </c>
      <c r="G6" s="573" t="s">
        <v>16349</v>
      </c>
    </row>
    <row r="7" spans="1:7" ht="18" customHeight="1" x14ac:dyDescent="0.35">
      <c r="A7" s="576">
        <v>3</v>
      </c>
      <c r="B7" s="575" t="s">
        <v>16350</v>
      </c>
      <c r="C7" s="575" t="s">
        <v>16348</v>
      </c>
      <c r="D7" s="582">
        <v>64</v>
      </c>
      <c r="E7" s="576">
        <v>7</v>
      </c>
      <c r="F7" s="576">
        <v>3</v>
      </c>
      <c r="G7" s="583" t="s">
        <v>18417</v>
      </c>
    </row>
    <row r="8" spans="1:7" ht="18" customHeight="1" x14ac:dyDescent="0.35">
      <c r="A8" s="565">
        <v>4</v>
      </c>
      <c r="B8" s="564" t="s">
        <v>16351</v>
      </c>
      <c r="C8" s="564" t="s">
        <v>16352</v>
      </c>
      <c r="D8" s="1186">
        <v>35</v>
      </c>
      <c r="E8" s="565">
        <v>12</v>
      </c>
      <c r="F8" s="1191">
        <v>3</v>
      </c>
      <c r="G8" s="573" t="s">
        <v>18454</v>
      </c>
    </row>
    <row r="9" spans="1:7" ht="18" customHeight="1" x14ac:dyDescent="0.35">
      <c r="A9" s="576">
        <v>5</v>
      </c>
      <c r="B9" s="575" t="s">
        <v>16353</v>
      </c>
      <c r="C9" s="575" t="s">
        <v>16354</v>
      </c>
      <c r="D9" s="582">
        <v>60</v>
      </c>
      <c r="E9" s="576">
        <v>13</v>
      </c>
      <c r="F9" s="576">
        <v>3</v>
      </c>
      <c r="G9" s="583" t="s">
        <v>18417</v>
      </c>
    </row>
    <row r="10" spans="1:7" ht="18" customHeight="1" x14ac:dyDescent="0.35">
      <c r="A10" s="565">
        <v>6</v>
      </c>
      <c r="B10" s="564" t="s">
        <v>16355</v>
      </c>
      <c r="C10" s="564" t="s">
        <v>16356</v>
      </c>
      <c r="D10" s="1186">
        <v>74</v>
      </c>
      <c r="E10" s="565">
        <v>15</v>
      </c>
      <c r="F10" s="1191">
        <v>4</v>
      </c>
      <c r="G10" s="573" t="s">
        <v>18455</v>
      </c>
    </row>
    <row r="11" spans="1:7" ht="18" customHeight="1" x14ac:dyDescent="0.35">
      <c r="A11" s="576">
        <v>7</v>
      </c>
      <c r="B11" s="575" t="s">
        <v>9787</v>
      </c>
      <c r="C11" s="575" t="s">
        <v>16357</v>
      </c>
      <c r="D11" s="582">
        <v>151</v>
      </c>
      <c r="E11" s="576">
        <v>10</v>
      </c>
      <c r="F11" s="576">
        <v>3</v>
      </c>
      <c r="G11" s="583" t="s">
        <v>18248</v>
      </c>
    </row>
    <row r="12" spans="1:7" ht="18" customHeight="1" x14ac:dyDescent="0.35">
      <c r="A12" s="565">
        <v>8</v>
      </c>
      <c r="B12" s="564" t="s">
        <v>9788</v>
      </c>
      <c r="C12" s="564" t="s">
        <v>16358</v>
      </c>
      <c r="D12" s="1186">
        <v>349</v>
      </c>
      <c r="E12" s="565">
        <v>13</v>
      </c>
      <c r="F12" s="565">
        <v>3</v>
      </c>
      <c r="G12" s="1188" t="s">
        <v>21930</v>
      </c>
    </row>
    <row r="13" spans="1:7" ht="18" customHeight="1" x14ac:dyDescent="0.35">
      <c r="A13" s="576">
        <v>9</v>
      </c>
      <c r="B13" s="575" t="s">
        <v>16359</v>
      </c>
      <c r="C13" s="575" t="s">
        <v>16360</v>
      </c>
      <c r="D13" s="582">
        <v>50</v>
      </c>
      <c r="E13" s="576">
        <v>11</v>
      </c>
      <c r="F13" s="576">
        <v>3</v>
      </c>
      <c r="G13" s="583" t="s">
        <v>18248</v>
      </c>
    </row>
    <row r="14" spans="1:7" ht="18" customHeight="1" x14ac:dyDescent="0.35">
      <c r="A14" s="565">
        <v>10</v>
      </c>
      <c r="B14" s="564" t="s">
        <v>16361</v>
      </c>
      <c r="C14" s="564" t="s">
        <v>16362</v>
      </c>
      <c r="D14" s="566">
        <v>240</v>
      </c>
      <c r="E14" s="565">
        <v>11</v>
      </c>
      <c r="F14" s="565">
        <v>3</v>
      </c>
      <c r="G14" s="573" t="s">
        <v>18249</v>
      </c>
    </row>
    <row r="15" spans="1:7" ht="18" customHeight="1" x14ac:dyDescent="0.35">
      <c r="A15" s="576">
        <v>11</v>
      </c>
      <c r="B15" s="575" t="s">
        <v>16363</v>
      </c>
      <c r="C15" s="575" t="s">
        <v>977</v>
      </c>
      <c r="D15" s="582">
        <v>133</v>
      </c>
      <c r="E15" s="576">
        <v>11</v>
      </c>
      <c r="F15" s="576">
        <v>3</v>
      </c>
      <c r="G15" s="583" t="s">
        <v>18248</v>
      </c>
    </row>
    <row r="16" spans="1:7" ht="18" customHeight="1" x14ac:dyDescent="0.35">
      <c r="A16" s="565">
        <v>12</v>
      </c>
      <c r="B16" s="564" t="s">
        <v>9786</v>
      </c>
      <c r="C16" s="564" t="s">
        <v>16360</v>
      </c>
      <c r="D16" s="566">
        <v>399</v>
      </c>
      <c r="E16" s="565">
        <v>12</v>
      </c>
      <c r="F16" s="565">
        <v>3</v>
      </c>
      <c r="G16" s="573" t="s">
        <v>18250</v>
      </c>
    </row>
    <row r="17" spans="1:7" ht="18" customHeight="1" x14ac:dyDescent="0.35">
      <c r="A17" s="576">
        <v>13</v>
      </c>
      <c r="B17" s="575" t="s">
        <v>16364</v>
      </c>
      <c r="C17" s="575" t="s">
        <v>16365</v>
      </c>
      <c r="D17" s="582">
        <v>103</v>
      </c>
      <c r="E17" s="576">
        <v>11</v>
      </c>
      <c r="F17" s="576">
        <v>3</v>
      </c>
      <c r="G17" s="583" t="s">
        <v>18456</v>
      </c>
    </row>
    <row r="18" spans="1:7" ht="18" customHeight="1" x14ac:dyDescent="0.35">
      <c r="A18" s="565">
        <v>14</v>
      </c>
      <c r="B18" s="564" t="s">
        <v>16366</v>
      </c>
      <c r="C18" s="564" t="s">
        <v>16365</v>
      </c>
      <c r="D18" s="566">
        <v>113</v>
      </c>
      <c r="E18" s="565">
        <v>11</v>
      </c>
      <c r="F18" s="565">
        <v>3</v>
      </c>
      <c r="G18" s="573" t="s">
        <v>18456</v>
      </c>
    </row>
    <row r="19" spans="1:7" ht="18" customHeight="1" x14ac:dyDescent="0.35">
      <c r="A19" s="576">
        <v>15</v>
      </c>
      <c r="B19" s="575" t="s">
        <v>16367</v>
      </c>
      <c r="C19" s="575" t="s">
        <v>16358</v>
      </c>
      <c r="D19" s="582">
        <v>175</v>
      </c>
      <c r="E19" s="576">
        <v>10</v>
      </c>
      <c r="F19" s="576">
        <v>3</v>
      </c>
      <c r="G19" s="583" t="s">
        <v>18248</v>
      </c>
    </row>
    <row r="20" spans="1:7" ht="18" customHeight="1" x14ac:dyDescent="0.35">
      <c r="A20" s="565">
        <v>16</v>
      </c>
      <c r="B20" s="564" t="s">
        <v>16368</v>
      </c>
      <c r="C20" s="564" t="s">
        <v>16369</v>
      </c>
      <c r="D20" s="566">
        <v>110</v>
      </c>
      <c r="E20" s="565">
        <v>10</v>
      </c>
      <c r="F20" s="565">
        <v>3</v>
      </c>
      <c r="G20" s="573" t="s">
        <v>18248</v>
      </c>
    </row>
    <row r="21" spans="1:7" ht="18" customHeight="1" x14ac:dyDescent="0.35">
      <c r="A21" s="576">
        <v>17</v>
      </c>
      <c r="B21" s="575" t="s">
        <v>16370</v>
      </c>
      <c r="C21" s="575" t="s">
        <v>16365</v>
      </c>
      <c r="D21" s="582">
        <v>101</v>
      </c>
      <c r="E21" s="576">
        <v>11</v>
      </c>
      <c r="F21" s="576">
        <v>3</v>
      </c>
      <c r="G21" s="583" t="s">
        <v>18248</v>
      </c>
    </row>
    <row r="22" spans="1:7" ht="18" customHeight="1" x14ac:dyDescent="0.35">
      <c r="A22" s="565">
        <v>18</v>
      </c>
      <c r="B22" s="564" t="s">
        <v>16371</v>
      </c>
      <c r="C22" s="564" t="s">
        <v>16372</v>
      </c>
      <c r="D22" s="566">
        <v>118</v>
      </c>
      <c r="E22" s="565">
        <v>11</v>
      </c>
      <c r="F22" s="565">
        <v>3</v>
      </c>
      <c r="G22" s="573" t="s">
        <v>18248</v>
      </c>
    </row>
    <row r="23" spans="1:7" ht="18" customHeight="1" x14ac:dyDescent="0.35">
      <c r="A23" s="576">
        <v>19</v>
      </c>
      <c r="B23" s="575" t="s">
        <v>16373</v>
      </c>
      <c r="C23" s="575" t="s">
        <v>16372</v>
      </c>
      <c r="D23" s="582">
        <v>192</v>
      </c>
      <c r="E23" s="576">
        <v>11</v>
      </c>
      <c r="F23" s="576">
        <v>3</v>
      </c>
      <c r="G23" s="583" t="s">
        <v>18248</v>
      </c>
    </row>
    <row r="24" spans="1:7" ht="18" customHeight="1" x14ac:dyDescent="0.35">
      <c r="A24" s="565">
        <v>20</v>
      </c>
      <c r="B24" s="564" t="s">
        <v>16374</v>
      </c>
      <c r="C24" s="564" t="s">
        <v>16375</v>
      </c>
      <c r="D24" s="566">
        <v>36</v>
      </c>
      <c r="E24" s="565">
        <v>10</v>
      </c>
      <c r="F24" s="565">
        <v>3</v>
      </c>
      <c r="G24" s="573" t="s">
        <v>18248</v>
      </c>
    </row>
    <row r="25" spans="1:7" ht="18" customHeight="1" x14ac:dyDescent="0.35">
      <c r="A25" s="576">
        <v>21</v>
      </c>
      <c r="B25" s="575" t="s">
        <v>16376</v>
      </c>
      <c r="C25" s="575" t="s">
        <v>16352</v>
      </c>
      <c r="D25" s="582">
        <v>179</v>
      </c>
      <c r="E25" s="576">
        <v>11</v>
      </c>
      <c r="F25" s="576">
        <v>3</v>
      </c>
      <c r="G25" s="583" t="s">
        <v>18248</v>
      </c>
    </row>
    <row r="26" spans="1:7" ht="18" customHeight="1" x14ac:dyDescent="0.35">
      <c r="A26" s="565">
        <v>22</v>
      </c>
      <c r="B26" s="564" t="s">
        <v>16377</v>
      </c>
      <c r="C26" s="564" t="s">
        <v>16378</v>
      </c>
      <c r="D26" s="1186">
        <v>176</v>
      </c>
      <c r="E26" s="565">
        <v>11</v>
      </c>
      <c r="F26" s="565">
        <v>3</v>
      </c>
      <c r="G26" s="573" t="s">
        <v>18418</v>
      </c>
    </row>
    <row r="27" spans="1:7" ht="18" customHeight="1" x14ac:dyDescent="0.35">
      <c r="A27" s="576">
        <v>23</v>
      </c>
      <c r="B27" s="575" t="s">
        <v>16379</v>
      </c>
      <c r="C27" s="575" t="s">
        <v>16380</v>
      </c>
      <c r="D27" s="582">
        <v>115</v>
      </c>
      <c r="E27" s="576">
        <v>12</v>
      </c>
      <c r="F27" s="576">
        <v>3</v>
      </c>
      <c r="G27" s="583" t="s">
        <v>18248</v>
      </c>
    </row>
    <row r="28" spans="1:7" ht="18" customHeight="1" x14ac:dyDescent="0.35">
      <c r="A28" s="565">
        <v>24</v>
      </c>
      <c r="B28" s="564" t="s">
        <v>9789</v>
      </c>
      <c r="C28" s="564" t="s">
        <v>9485</v>
      </c>
      <c r="D28" s="566">
        <v>82</v>
      </c>
      <c r="E28" s="565">
        <v>11</v>
      </c>
      <c r="F28" s="565">
        <v>3</v>
      </c>
      <c r="G28" s="573" t="s">
        <v>18248</v>
      </c>
    </row>
    <row r="29" spans="1:7" ht="18" customHeight="1" x14ac:dyDescent="0.35">
      <c r="A29" s="576">
        <v>25</v>
      </c>
      <c r="B29" s="575" t="s">
        <v>18419</v>
      </c>
      <c r="C29" s="575" t="s">
        <v>16382</v>
      </c>
      <c r="D29" s="1187">
        <v>90</v>
      </c>
      <c r="E29" s="576">
        <v>10</v>
      </c>
      <c r="F29" s="576">
        <v>3</v>
      </c>
      <c r="G29" s="1189" t="s">
        <v>21931</v>
      </c>
    </row>
    <row r="30" spans="1:7" ht="18" customHeight="1" x14ac:dyDescent="0.35">
      <c r="A30" s="565">
        <v>26</v>
      </c>
      <c r="B30" s="564" t="s">
        <v>9791</v>
      </c>
      <c r="C30" s="564" t="s">
        <v>9485</v>
      </c>
      <c r="D30" s="1186">
        <v>54</v>
      </c>
      <c r="E30" s="565">
        <v>12</v>
      </c>
      <c r="F30" s="565">
        <v>3</v>
      </c>
      <c r="G30" s="573" t="s">
        <v>18248</v>
      </c>
    </row>
    <row r="31" spans="1:7" ht="18" customHeight="1" x14ac:dyDescent="0.35">
      <c r="A31" s="576">
        <v>27</v>
      </c>
      <c r="B31" s="575" t="s">
        <v>9792</v>
      </c>
      <c r="C31" s="575" t="s">
        <v>16383</v>
      </c>
      <c r="D31" s="1187">
        <v>177</v>
      </c>
      <c r="E31" s="576">
        <v>10</v>
      </c>
      <c r="F31" s="576">
        <v>3</v>
      </c>
      <c r="G31" s="583" t="s">
        <v>18248</v>
      </c>
    </row>
    <row r="32" spans="1:7" ht="18" customHeight="1" x14ac:dyDescent="0.35">
      <c r="A32" s="565">
        <v>28</v>
      </c>
      <c r="B32" s="564" t="s">
        <v>9793</v>
      </c>
      <c r="C32" s="564" t="s">
        <v>16383</v>
      </c>
      <c r="D32" s="1186">
        <v>27</v>
      </c>
      <c r="E32" s="565">
        <v>8</v>
      </c>
      <c r="F32" s="565">
        <v>3</v>
      </c>
      <c r="G32" s="573" t="s">
        <v>16384</v>
      </c>
    </row>
    <row r="33" spans="1:7" ht="18" customHeight="1" x14ac:dyDescent="0.35">
      <c r="A33" s="576">
        <v>29</v>
      </c>
      <c r="B33" s="575" t="s">
        <v>16385</v>
      </c>
      <c r="C33" s="575" t="s">
        <v>977</v>
      </c>
      <c r="D33" s="582">
        <v>292</v>
      </c>
      <c r="E33" s="576">
        <v>12</v>
      </c>
      <c r="F33" s="576">
        <v>3</v>
      </c>
      <c r="G33" s="583" t="s">
        <v>18248</v>
      </c>
    </row>
    <row r="34" spans="1:7" ht="18" customHeight="1" x14ac:dyDescent="0.35">
      <c r="A34" s="565">
        <v>30</v>
      </c>
      <c r="B34" s="564" t="s">
        <v>16386</v>
      </c>
      <c r="C34" s="564" t="s">
        <v>16380</v>
      </c>
      <c r="D34" s="566">
        <v>64</v>
      </c>
      <c r="E34" s="565">
        <v>9</v>
      </c>
      <c r="F34" s="565">
        <v>3</v>
      </c>
      <c r="G34" s="573" t="s">
        <v>18251</v>
      </c>
    </row>
    <row r="35" spans="1:7" ht="18" customHeight="1" x14ac:dyDescent="0.35">
      <c r="A35" s="576">
        <v>31</v>
      </c>
      <c r="B35" s="575" t="s">
        <v>16387</v>
      </c>
      <c r="C35" s="575" t="s">
        <v>9485</v>
      </c>
      <c r="D35" s="582">
        <v>136</v>
      </c>
      <c r="E35" s="576">
        <v>11</v>
      </c>
      <c r="F35" s="576">
        <v>3</v>
      </c>
      <c r="G35" s="583" t="s">
        <v>18248</v>
      </c>
    </row>
    <row r="36" spans="1:7" ht="18" customHeight="1" x14ac:dyDescent="0.35">
      <c r="A36" s="565">
        <v>32</v>
      </c>
      <c r="B36" s="564" t="s">
        <v>18252</v>
      </c>
      <c r="C36" s="564" t="s">
        <v>16369</v>
      </c>
      <c r="D36" s="566">
        <v>34</v>
      </c>
      <c r="E36" s="565">
        <v>11</v>
      </c>
      <c r="F36" s="565">
        <v>3</v>
      </c>
      <c r="G36" s="573" t="s">
        <v>18462</v>
      </c>
    </row>
    <row r="37" spans="1:7" ht="18" customHeight="1" x14ac:dyDescent="0.35">
      <c r="A37" s="576">
        <v>33</v>
      </c>
      <c r="B37" s="575" t="s">
        <v>16389</v>
      </c>
      <c r="C37" s="575" t="s">
        <v>16390</v>
      </c>
      <c r="D37" s="582">
        <v>293</v>
      </c>
      <c r="E37" s="576">
        <v>10</v>
      </c>
      <c r="F37" s="576">
        <v>3</v>
      </c>
      <c r="G37" s="583" t="s">
        <v>18248</v>
      </c>
    </row>
    <row r="38" spans="1:7" ht="18" customHeight="1" x14ac:dyDescent="0.35">
      <c r="A38" s="565">
        <v>34</v>
      </c>
      <c r="B38" s="564" t="s">
        <v>16391</v>
      </c>
      <c r="C38" s="564" t="s">
        <v>16392</v>
      </c>
      <c r="D38" s="566">
        <v>212</v>
      </c>
      <c r="E38" s="565">
        <v>10</v>
      </c>
      <c r="F38" s="565">
        <v>3</v>
      </c>
      <c r="G38" s="573" t="s">
        <v>18248</v>
      </c>
    </row>
    <row r="39" spans="1:7" ht="18" customHeight="1" x14ac:dyDescent="0.35">
      <c r="A39" s="576">
        <v>35</v>
      </c>
      <c r="B39" s="575" t="s">
        <v>16393</v>
      </c>
      <c r="C39" s="575" t="s">
        <v>16394</v>
      </c>
      <c r="D39" s="582">
        <v>48</v>
      </c>
      <c r="E39" s="576">
        <v>10</v>
      </c>
      <c r="F39" s="576">
        <v>3</v>
      </c>
      <c r="G39" s="583" t="s">
        <v>18248</v>
      </c>
    </row>
    <row r="40" spans="1:7" ht="18" customHeight="1" x14ac:dyDescent="0.35">
      <c r="A40" s="565">
        <v>36</v>
      </c>
      <c r="B40" s="564" t="s">
        <v>16395</v>
      </c>
      <c r="C40" s="564" t="s">
        <v>16352</v>
      </c>
      <c r="D40" s="566">
        <v>100</v>
      </c>
      <c r="E40" s="565">
        <v>12</v>
      </c>
      <c r="F40" s="565">
        <v>3</v>
      </c>
      <c r="G40" s="573" t="s">
        <v>18420</v>
      </c>
    </row>
    <row r="41" spans="1:7" ht="18" customHeight="1" x14ac:dyDescent="0.35">
      <c r="A41" s="576">
        <v>37</v>
      </c>
      <c r="B41" s="575" t="s">
        <v>16396</v>
      </c>
      <c r="C41" s="575" t="s">
        <v>16397</v>
      </c>
      <c r="D41" s="582">
        <v>88</v>
      </c>
      <c r="E41" s="576">
        <v>11</v>
      </c>
      <c r="F41" s="576">
        <v>3</v>
      </c>
      <c r="G41" s="583" t="s">
        <v>18248</v>
      </c>
    </row>
    <row r="42" spans="1:7" ht="18" customHeight="1" x14ac:dyDescent="0.35">
      <c r="A42" s="565">
        <v>38</v>
      </c>
      <c r="B42" s="564" t="s">
        <v>16398</v>
      </c>
      <c r="C42" s="564" t="s">
        <v>16399</v>
      </c>
      <c r="D42" s="1186">
        <v>189</v>
      </c>
      <c r="E42" s="565">
        <v>10</v>
      </c>
      <c r="F42" s="565">
        <v>3</v>
      </c>
      <c r="G42" s="573" t="s">
        <v>18248</v>
      </c>
    </row>
    <row r="43" spans="1:7" ht="18" customHeight="1" x14ac:dyDescent="0.35">
      <c r="A43" s="576">
        <v>39</v>
      </c>
      <c r="B43" s="575" t="s">
        <v>18253</v>
      </c>
      <c r="C43" s="575" t="s">
        <v>18254</v>
      </c>
      <c r="D43" s="582">
        <v>49</v>
      </c>
      <c r="E43" s="576">
        <v>11</v>
      </c>
      <c r="F43" s="576">
        <v>3</v>
      </c>
      <c r="G43" s="583" t="s">
        <v>18248</v>
      </c>
    </row>
    <row r="44" spans="1:7" ht="18" customHeight="1" x14ac:dyDescent="0.35">
      <c r="A44" s="565">
        <v>40</v>
      </c>
      <c r="B44" s="564" t="s">
        <v>1496</v>
      </c>
      <c r="C44" s="564" t="s">
        <v>18255</v>
      </c>
      <c r="D44" s="1186">
        <v>50</v>
      </c>
      <c r="E44" s="565">
        <v>11</v>
      </c>
      <c r="F44" s="565">
        <v>3</v>
      </c>
      <c r="G44" s="1188" t="s">
        <v>21932</v>
      </c>
    </row>
    <row r="45" spans="1:7" ht="18" customHeight="1" x14ac:dyDescent="0.35">
      <c r="A45" s="576">
        <v>41</v>
      </c>
      <c r="B45" s="575" t="s">
        <v>18256</v>
      </c>
      <c r="C45" s="575" t="s">
        <v>16358</v>
      </c>
      <c r="D45" s="582">
        <v>288</v>
      </c>
      <c r="E45" s="576">
        <v>11</v>
      </c>
      <c r="F45" s="576">
        <v>3</v>
      </c>
      <c r="G45" s="583" t="s">
        <v>18257</v>
      </c>
    </row>
    <row r="46" spans="1:7" ht="18" customHeight="1" x14ac:dyDescent="0.35">
      <c r="A46" s="1191">
        <v>42</v>
      </c>
      <c r="B46" s="1193" t="s">
        <v>21933</v>
      </c>
      <c r="C46" s="1193" t="s">
        <v>977</v>
      </c>
      <c r="D46" s="1186">
        <v>140</v>
      </c>
      <c r="E46" s="1191">
        <v>11</v>
      </c>
      <c r="F46" s="1191">
        <v>3</v>
      </c>
      <c r="G46" s="1188" t="s">
        <v>21934</v>
      </c>
    </row>
    <row r="47" spans="1:7" ht="18" customHeight="1" x14ac:dyDescent="0.35">
      <c r="A47" s="1190">
        <v>43</v>
      </c>
      <c r="B47" s="1192" t="s">
        <v>21935</v>
      </c>
      <c r="C47" s="1192" t="s">
        <v>977</v>
      </c>
      <c r="D47" s="1187">
        <v>161</v>
      </c>
      <c r="E47" s="1190">
        <v>10</v>
      </c>
      <c r="F47" s="1190">
        <v>3</v>
      </c>
      <c r="G47" s="1189" t="s">
        <v>21936</v>
      </c>
    </row>
    <row r="48" spans="1:7" ht="18" customHeight="1" x14ac:dyDescent="0.35">
      <c r="A48">
        <v>44</v>
      </c>
      <c r="B48" t="s">
        <v>21937</v>
      </c>
      <c r="C48" t="s">
        <v>21938</v>
      </c>
      <c r="D48">
        <v>443</v>
      </c>
      <c r="E48">
        <v>10</v>
      </c>
      <c r="F48">
        <v>3</v>
      </c>
      <c r="G48" s="333" t="s">
        <v>21940</v>
      </c>
    </row>
    <row r="49" spans="1:7" ht="20" customHeight="1" x14ac:dyDescent="0.35">
      <c r="A49">
        <v>45</v>
      </c>
      <c r="B49" t="s">
        <v>22446</v>
      </c>
      <c r="C49" t="s">
        <v>18255</v>
      </c>
      <c r="D49">
        <v>53</v>
      </c>
      <c r="E49">
        <v>7</v>
      </c>
      <c r="F49">
        <v>2</v>
      </c>
      <c r="G49" s="333" t="s">
        <v>22447</v>
      </c>
    </row>
    <row r="50" spans="1:7" ht="12" customHeight="1" x14ac:dyDescent="0.35">
      <c r="A50">
        <v>46</v>
      </c>
      <c r="B50" t="s">
        <v>22448</v>
      </c>
      <c r="C50" t="s">
        <v>21943</v>
      </c>
      <c r="D50">
        <v>140</v>
      </c>
      <c r="E50">
        <v>7</v>
      </c>
      <c r="F50">
        <v>2</v>
      </c>
      <c r="G50" s="333" t="s">
        <v>22449</v>
      </c>
    </row>
    <row r="51" spans="1:7" ht="22" customHeight="1" x14ac:dyDescent="0.35">
      <c r="A51" s="1288" t="s">
        <v>16400</v>
      </c>
      <c r="B51" s="1288"/>
      <c r="C51" s="1288"/>
      <c r="D51" s="1288"/>
      <c r="E51" s="1288"/>
      <c r="F51" s="1288"/>
      <c r="G51" s="1289"/>
    </row>
    <row r="52" spans="1:7" ht="20" customHeight="1" x14ac:dyDescent="0.35">
      <c r="A52" s="537" t="s">
        <v>16401</v>
      </c>
      <c r="B52" s="1193">
        <v>46</v>
      </c>
      <c r="C52" s="564"/>
      <c r="D52" s="1194" t="s">
        <v>16402</v>
      </c>
      <c r="E52" s="1193">
        <v>46</v>
      </c>
      <c r="F52" s="564"/>
      <c r="G52" s="573"/>
    </row>
    <row r="53" spans="1:7" ht="20" customHeight="1" x14ac:dyDescent="0.35">
      <c r="A53" s="537" t="s">
        <v>18421</v>
      </c>
      <c r="B53" s="1194">
        <v>6516</v>
      </c>
      <c r="C53" s="564"/>
      <c r="D53" s="1194" t="s">
        <v>21946</v>
      </c>
      <c r="E53" s="1193">
        <v>0</v>
      </c>
      <c r="F53" s="564"/>
      <c r="G53" s="573"/>
    </row>
    <row r="54" spans="1:7" ht="20" customHeight="1" x14ac:dyDescent="0.35">
      <c r="A54" s="537" t="s">
        <v>16403</v>
      </c>
      <c r="B54" s="1193">
        <v>141</v>
      </c>
      <c r="C54" s="564"/>
      <c r="D54" s="1194" t="s">
        <v>16404</v>
      </c>
      <c r="E54" s="1193">
        <v>0</v>
      </c>
      <c r="F54" s="564"/>
      <c r="G54" s="573"/>
    </row>
    <row r="55" spans="1:7" ht="20" customHeight="1" x14ac:dyDescent="0.35">
      <c r="A55" s="537" t="s">
        <v>16405</v>
      </c>
      <c r="B55" s="1193" t="s">
        <v>21937</v>
      </c>
      <c r="C55" s="564"/>
      <c r="D55" s="1194" t="s">
        <v>16406</v>
      </c>
      <c r="E55" s="1193">
        <v>443</v>
      </c>
      <c r="F55" s="564"/>
      <c r="G55" s="573"/>
    </row>
    <row r="56" spans="1:7" ht="20" customHeight="1" x14ac:dyDescent="0.35">
      <c r="A56" s="537" t="s">
        <v>16407</v>
      </c>
      <c r="B56" s="1193" t="s">
        <v>9793</v>
      </c>
      <c r="C56" s="564"/>
      <c r="D56" s="1194" t="s">
        <v>16408</v>
      </c>
      <c r="E56" s="1193">
        <v>27</v>
      </c>
      <c r="F56" s="564"/>
      <c r="G56" s="573"/>
    </row>
    <row r="57" spans="1:7" ht="20" customHeight="1" x14ac:dyDescent="0.35">
      <c r="A57" s="537" t="s">
        <v>18258</v>
      </c>
      <c r="B57" s="1193" t="s">
        <v>21939</v>
      </c>
      <c r="C57" s="564"/>
      <c r="D57" s="1194" t="s">
        <v>18259</v>
      </c>
      <c r="E57" s="564"/>
      <c r="F57" s="564"/>
      <c r="G57" s="1188" t="s">
        <v>18260</v>
      </c>
    </row>
    <row r="58" spans="1:7" ht="28" customHeight="1" x14ac:dyDescent="0.35">
      <c r="G58" s="333"/>
    </row>
    <row r="59" spans="1:7" ht="12" customHeight="1" x14ac:dyDescent="0.35">
      <c r="G59" s="333"/>
    </row>
    <row r="60" spans="1:7" ht="22" customHeight="1" x14ac:dyDescent="0.35">
      <c r="A60" s="1290" t="s">
        <v>18422</v>
      </c>
      <c r="B60" s="1290"/>
      <c r="C60" s="1290"/>
      <c r="D60" s="1290"/>
      <c r="E60" s="1290"/>
      <c r="F60" s="1290"/>
      <c r="G60" s="1291"/>
    </row>
    <row r="61" spans="1:7" ht="20" customHeight="1" x14ac:dyDescent="0.35">
      <c r="A61" s="577" t="s">
        <v>141</v>
      </c>
      <c r="B61" s="577" t="s">
        <v>16409</v>
      </c>
      <c r="C61" s="577" t="s">
        <v>16410</v>
      </c>
      <c r="D61" s="577" t="s">
        <v>16411</v>
      </c>
      <c r="E61" s="577" t="s">
        <v>18423</v>
      </c>
      <c r="F61" s="577" t="s">
        <v>1330</v>
      </c>
      <c r="G61" s="584"/>
    </row>
    <row r="62" spans="1:7" ht="18" customHeight="1" x14ac:dyDescent="0.35">
      <c r="A62" s="578">
        <v>1</v>
      </c>
      <c r="B62" s="578" t="s">
        <v>18424</v>
      </c>
      <c r="C62" s="578" t="s">
        <v>16412</v>
      </c>
      <c r="D62" s="585" t="s">
        <v>16413</v>
      </c>
      <c r="E62" s="585" t="s">
        <v>16414</v>
      </c>
      <c r="F62" s="586" t="s">
        <v>16428</v>
      </c>
      <c r="G62" s="585"/>
    </row>
    <row r="63" spans="1:7" ht="18" customHeight="1" x14ac:dyDescent="0.35">
      <c r="A63" s="578">
        <v>2</v>
      </c>
      <c r="B63" s="578" t="s">
        <v>18424</v>
      </c>
      <c r="C63" s="578" t="s">
        <v>18425</v>
      </c>
      <c r="D63" s="585" t="s">
        <v>18261</v>
      </c>
      <c r="E63" s="585" t="s">
        <v>18426</v>
      </c>
      <c r="F63" s="586" t="s">
        <v>16428</v>
      </c>
      <c r="G63" s="585"/>
    </row>
    <row r="64" spans="1:7" ht="18" customHeight="1" x14ac:dyDescent="0.35">
      <c r="A64" s="578">
        <v>3</v>
      </c>
      <c r="B64" s="578" t="s">
        <v>18424</v>
      </c>
      <c r="C64" s="578" t="s">
        <v>16361</v>
      </c>
      <c r="D64" s="585" t="s">
        <v>18427</v>
      </c>
      <c r="E64" s="585" t="s">
        <v>18262</v>
      </c>
      <c r="F64" s="586" t="s">
        <v>16428</v>
      </c>
      <c r="G64" s="585"/>
    </row>
    <row r="65" spans="1:7" ht="18" customHeight="1" x14ac:dyDescent="0.35">
      <c r="A65" s="578">
        <v>4</v>
      </c>
      <c r="B65" s="578" t="s">
        <v>18424</v>
      </c>
      <c r="C65" s="578" t="s">
        <v>16395</v>
      </c>
      <c r="D65" s="585" t="s">
        <v>18428</v>
      </c>
      <c r="E65" s="585" t="s">
        <v>18262</v>
      </c>
      <c r="F65" s="586" t="s">
        <v>16428</v>
      </c>
      <c r="G65" s="585"/>
    </row>
    <row r="66" spans="1:7" ht="18" customHeight="1" x14ac:dyDescent="0.35">
      <c r="A66" s="578">
        <v>5</v>
      </c>
      <c r="B66" s="578" t="s">
        <v>18424</v>
      </c>
      <c r="C66" s="578" t="s">
        <v>9790</v>
      </c>
      <c r="D66" s="585" t="s">
        <v>18429</v>
      </c>
      <c r="E66" s="585" t="s">
        <v>18430</v>
      </c>
      <c r="F66" s="586" t="s">
        <v>16428</v>
      </c>
      <c r="G66" s="585"/>
    </row>
    <row r="67" spans="1:7" ht="18" customHeight="1" x14ac:dyDescent="0.35">
      <c r="A67" s="578">
        <v>6</v>
      </c>
      <c r="B67" s="578" t="s">
        <v>18424</v>
      </c>
      <c r="C67" s="578" t="s">
        <v>16377</v>
      </c>
      <c r="D67" s="585" t="s">
        <v>18431</v>
      </c>
      <c r="E67" s="585" t="s">
        <v>18432</v>
      </c>
      <c r="F67" s="586" t="s">
        <v>16428</v>
      </c>
      <c r="G67" s="585"/>
    </row>
    <row r="68" spans="1:7" ht="18" customHeight="1" x14ac:dyDescent="0.35">
      <c r="A68" s="578">
        <v>7</v>
      </c>
      <c r="B68" s="578" t="s">
        <v>18424</v>
      </c>
      <c r="C68" s="578" t="s">
        <v>16381</v>
      </c>
      <c r="D68" s="585" t="s">
        <v>18433</v>
      </c>
      <c r="E68" s="585" t="s">
        <v>18434</v>
      </c>
      <c r="F68" s="586" t="s">
        <v>18435</v>
      </c>
      <c r="G68" s="585"/>
    </row>
    <row r="69" spans="1:7" ht="18" customHeight="1" x14ac:dyDescent="0.35">
      <c r="A69" s="578">
        <v>8</v>
      </c>
      <c r="B69" s="578" t="s">
        <v>18424</v>
      </c>
      <c r="C69" s="578" t="s">
        <v>16415</v>
      </c>
      <c r="D69" s="585" t="s">
        <v>18436</v>
      </c>
      <c r="E69" s="585" t="s">
        <v>18450</v>
      </c>
      <c r="F69" s="586" t="s">
        <v>16428</v>
      </c>
      <c r="G69" s="585"/>
    </row>
    <row r="70" spans="1:7" ht="18" customHeight="1" x14ac:dyDescent="0.35">
      <c r="A70" s="578">
        <v>9</v>
      </c>
      <c r="B70" s="578" t="s">
        <v>18424</v>
      </c>
      <c r="C70" s="578" t="s">
        <v>18263</v>
      </c>
      <c r="D70" s="585" t="s">
        <v>18437</v>
      </c>
      <c r="E70" s="585" t="s">
        <v>18457</v>
      </c>
      <c r="F70" s="586" t="s">
        <v>16428</v>
      </c>
      <c r="G70" s="585"/>
    </row>
    <row r="71" spans="1:7" ht="18" customHeight="1" x14ac:dyDescent="0.35">
      <c r="A71" s="578">
        <v>10</v>
      </c>
      <c r="B71" s="578" t="s">
        <v>18424</v>
      </c>
      <c r="C71" s="578" t="s">
        <v>9789</v>
      </c>
      <c r="D71" s="585" t="s">
        <v>18438</v>
      </c>
      <c r="E71" s="585" t="s">
        <v>18451</v>
      </c>
      <c r="F71" s="586" t="s">
        <v>16428</v>
      </c>
      <c r="G71" s="585"/>
    </row>
    <row r="72" spans="1:7" ht="18" customHeight="1" x14ac:dyDescent="0.35">
      <c r="A72" s="578">
        <v>11</v>
      </c>
      <c r="B72" s="578" t="s">
        <v>18424</v>
      </c>
      <c r="C72" s="578" t="s">
        <v>9792</v>
      </c>
      <c r="D72" s="585" t="s">
        <v>18439</v>
      </c>
      <c r="E72" s="585" t="s">
        <v>18452</v>
      </c>
      <c r="F72" s="586" t="s">
        <v>16428</v>
      </c>
      <c r="G72" s="585"/>
    </row>
    <row r="73" spans="1:7" ht="18" customHeight="1" x14ac:dyDescent="0.35">
      <c r="A73" s="578">
        <v>12</v>
      </c>
      <c r="B73" s="578" t="s">
        <v>18424</v>
      </c>
      <c r="C73" s="578" t="s">
        <v>16379</v>
      </c>
      <c r="D73" s="585" t="s">
        <v>18440</v>
      </c>
      <c r="E73" s="585" t="s">
        <v>18453</v>
      </c>
      <c r="F73" s="586" t="s">
        <v>16428</v>
      </c>
      <c r="G73" s="585"/>
    </row>
    <row r="74" spans="1:7" ht="18" customHeight="1" x14ac:dyDescent="0.35">
      <c r="D74" s="333"/>
      <c r="E74" s="333"/>
      <c r="F74" s="333"/>
      <c r="G74" s="333"/>
    </row>
    <row r="75" spans="1:7" ht="28" customHeight="1" x14ac:dyDescent="0.35">
      <c r="A75" s="578">
        <v>13</v>
      </c>
      <c r="B75" s="578" t="s">
        <v>18424</v>
      </c>
      <c r="C75" s="578" t="s">
        <v>18464</v>
      </c>
      <c r="D75" s="578" t="s">
        <v>18465</v>
      </c>
      <c r="E75" s="578" t="s">
        <v>18466</v>
      </c>
      <c r="F75" s="581" t="s">
        <v>16428</v>
      </c>
      <c r="G75" s="578"/>
    </row>
    <row r="76" spans="1:7" ht="28" customHeight="1" x14ac:dyDescent="0.35">
      <c r="A76" s="578">
        <v>14</v>
      </c>
      <c r="B76" s="578" t="s">
        <v>18424</v>
      </c>
      <c r="C76" s="578" t="s">
        <v>18467</v>
      </c>
      <c r="D76" s="578" t="s">
        <v>18468</v>
      </c>
      <c r="E76" s="578" t="s">
        <v>18469</v>
      </c>
      <c r="F76" s="581" t="s">
        <v>16428</v>
      </c>
      <c r="G76" s="578"/>
    </row>
  </sheetData>
  <mergeCells count="4">
    <mergeCell ref="A1:G1"/>
    <mergeCell ref="A2:G2"/>
    <mergeCell ref="A51:G51"/>
    <mergeCell ref="A60:G6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506A-35EE-47E7-B161-18201DB1B75A}">
  <dimension ref="A1:E89"/>
  <sheetViews>
    <sheetView zoomScale="115" zoomScaleNormal="115" workbookViewId="0">
      <pane ySplit="2" topLeftCell="A49" activePane="bottomLeft" state="frozen"/>
      <selection pane="bottomLeft" activeCell="C81" sqref="C81"/>
    </sheetView>
  </sheetViews>
  <sheetFormatPr defaultRowHeight="14.5" x14ac:dyDescent="0.35"/>
  <cols>
    <col min="1" max="1" width="5.81640625" customWidth="1"/>
    <col min="2" max="2" width="31.54296875" bestFit="1" customWidth="1"/>
    <col min="3" max="3" width="39.08984375" customWidth="1"/>
    <col min="4" max="4" width="30" customWidth="1"/>
    <col min="5" max="5" width="13.08984375" customWidth="1"/>
  </cols>
  <sheetData>
    <row r="1" spans="1:5" ht="34" customHeight="1" x14ac:dyDescent="0.4">
      <c r="A1" s="1293" t="s">
        <v>22454</v>
      </c>
      <c r="B1" s="1294"/>
      <c r="C1" s="1294"/>
      <c r="D1" s="1294"/>
      <c r="E1" s="1294"/>
    </row>
    <row r="2" spans="1:5" ht="18" customHeight="1" x14ac:dyDescent="0.35">
      <c r="A2" s="1295" t="s">
        <v>21945</v>
      </c>
      <c r="B2" s="1296"/>
      <c r="C2" s="1296"/>
      <c r="D2" s="1296"/>
      <c r="E2" s="1296"/>
    </row>
    <row r="4" spans="1:5" ht="22" customHeight="1" x14ac:dyDescent="0.35">
      <c r="A4" s="621" t="s">
        <v>141</v>
      </c>
      <c r="B4" s="621" t="s">
        <v>1324</v>
      </c>
      <c r="C4" s="621" t="s">
        <v>8</v>
      </c>
      <c r="D4" s="621" t="s">
        <v>18551</v>
      </c>
      <c r="E4" s="621" t="s">
        <v>18552</v>
      </c>
    </row>
    <row r="5" spans="1:5" ht="20" customHeight="1" x14ac:dyDescent="0.35">
      <c r="A5" s="622">
        <v>1</v>
      </c>
      <c r="B5" s="623" t="s">
        <v>18553</v>
      </c>
      <c r="C5" s="624" t="s">
        <v>18554</v>
      </c>
      <c r="D5" s="1195">
        <v>15</v>
      </c>
      <c r="E5" s="1195">
        <v>2073</v>
      </c>
    </row>
    <row r="6" spans="1:5" ht="20" customHeight="1" x14ac:dyDescent="0.35">
      <c r="A6" s="625">
        <v>2</v>
      </c>
      <c r="B6" s="626" t="s">
        <v>18555</v>
      </c>
      <c r="C6" s="564" t="s">
        <v>18556</v>
      </c>
      <c r="D6" s="1196">
        <v>7</v>
      </c>
      <c r="E6" s="1196">
        <v>1107</v>
      </c>
    </row>
    <row r="7" spans="1:5" ht="20" customHeight="1" x14ac:dyDescent="0.35">
      <c r="A7" s="627">
        <v>3</v>
      </c>
      <c r="B7" s="623" t="s">
        <v>18557</v>
      </c>
      <c r="C7" s="624" t="s">
        <v>18558</v>
      </c>
      <c r="D7" s="1195">
        <v>8</v>
      </c>
      <c r="E7" s="1195">
        <v>1471</v>
      </c>
    </row>
    <row r="8" spans="1:5" ht="20" customHeight="1" x14ac:dyDescent="0.35">
      <c r="A8" s="628">
        <v>4</v>
      </c>
      <c r="B8" s="626" t="s">
        <v>18559</v>
      </c>
      <c r="C8" s="564" t="s">
        <v>18560</v>
      </c>
      <c r="D8" s="1196">
        <v>3</v>
      </c>
      <c r="E8" s="1196">
        <v>419</v>
      </c>
    </row>
    <row r="9" spans="1:5" ht="20" customHeight="1" x14ac:dyDescent="0.35">
      <c r="A9" s="629">
        <v>5</v>
      </c>
      <c r="B9" s="623" t="s">
        <v>18561</v>
      </c>
      <c r="C9" s="624" t="s">
        <v>18562</v>
      </c>
      <c r="D9" s="1195">
        <v>3</v>
      </c>
      <c r="E9" s="1195">
        <v>658</v>
      </c>
    </row>
    <row r="10" spans="1:5" ht="20" customHeight="1" x14ac:dyDescent="0.35">
      <c r="A10" s="630">
        <v>6</v>
      </c>
      <c r="B10" s="626" t="s">
        <v>18563</v>
      </c>
      <c r="C10" s="564" t="s">
        <v>18564</v>
      </c>
      <c r="D10" s="1196">
        <v>10</v>
      </c>
      <c r="E10" s="1196">
        <v>841</v>
      </c>
    </row>
    <row r="11" spans="1:5" ht="22" customHeight="1" x14ac:dyDescent="0.35">
      <c r="A11" s="620"/>
      <c r="B11" s="631" t="s">
        <v>18565</v>
      </c>
      <c r="C11" s="632" t="s">
        <v>22455</v>
      </c>
      <c r="D11" s="1197">
        <v>46</v>
      </c>
      <c r="E11" s="1197">
        <v>6516</v>
      </c>
    </row>
    <row r="13" spans="1:5" ht="26" customHeight="1" x14ac:dyDescent="0.35">
      <c r="A13" s="1297" t="s">
        <v>22452</v>
      </c>
      <c r="B13" s="1298"/>
      <c r="C13" s="1298"/>
      <c r="D13" s="1298"/>
      <c r="E13" s="1298"/>
    </row>
    <row r="14" spans="1:5" ht="17" customHeight="1" x14ac:dyDescent="0.35">
      <c r="A14" s="1299" t="s">
        <v>18566</v>
      </c>
      <c r="B14" s="1299"/>
      <c r="C14" s="1299"/>
      <c r="D14" s="1299"/>
      <c r="E14" s="1299"/>
    </row>
    <row r="15" spans="1:5" ht="17" customHeight="1" x14ac:dyDescent="0.35">
      <c r="A15" s="634" t="s">
        <v>141</v>
      </c>
      <c r="B15" s="634"/>
      <c r="C15" s="634" t="s">
        <v>18567</v>
      </c>
      <c r="D15" s="634" t="s">
        <v>18568</v>
      </c>
      <c r="E15" s="634" t="s">
        <v>18569</v>
      </c>
    </row>
    <row r="16" spans="1:5" ht="16" customHeight="1" x14ac:dyDescent="0.35">
      <c r="A16" s="636">
        <v>1</v>
      </c>
      <c r="B16" s="637" t="s">
        <v>18570</v>
      </c>
      <c r="C16" s="635" t="s">
        <v>9788</v>
      </c>
      <c r="D16" s="635" t="s">
        <v>16358</v>
      </c>
      <c r="E16" s="1198">
        <v>349</v>
      </c>
    </row>
    <row r="17" spans="1:5" ht="16" customHeight="1" x14ac:dyDescent="0.35">
      <c r="A17" s="565">
        <v>2</v>
      </c>
      <c r="B17" s="639" t="s">
        <v>18571</v>
      </c>
      <c r="C17" s="564" t="s">
        <v>16367</v>
      </c>
      <c r="D17" s="564" t="s">
        <v>16358</v>
      </c>
      <c r="E17" s="566">
        <v>175</v>
      </c>
    </row>
    <row r="18" spans="1:5" ht="16" customHeight="1" x14ac:dyDescent="0.35">
      <c r="A18" s="636">
        <v>3</v>
      </c>
      <c r="B18" s="637" t="s">
        <v>18572</v>
      </c>
      <c r="C18" s="635" t="s">
        <v>16368</v>
      </c>
      <c r="D18" s="635" t="s">
        <v>16369</v>
      </c>
      <c r="E18" s="638">
        <v>110</v>
      </c>
    </row>
    <row r="19" spans="1:5" ht="16" customHeight="1" x14ac:dyDescent="0.35">
      <c r="A19" s="565">
        <v>4</v>
      </c>
      <c r="B19" s="639" t="s">
        <v>1722</v>
      </c>
      <c r="C19" s="564" t="s">
        <v>16364</v>
      </c>
      <c r="D19" s="564" t="s">
        <v>16365</v>
      </c>
      <c r="E19" s="566">
        <v>103</v>
      </c>
    </row>
    <row r="20" spans="1:5" ht="16" customHeight="1" x14ac:dyDescent="0.35">
      <c r="A20" s="636">
        <v>5</v>
      </c>
      <c r="B20" s="637" t="s">
        <v>1337</v>
      </c>
      <c r="C20" s="635" t="s">
        <v>16366</v>
      </c>
      <c r="D20" s="635" t="s">
        <v>16365</v>
      </c>
      <c r="E20" s="638">
        <v>113</v>
      </c>
    </row>
    <row r="21" spans="1:5" ht="16" customHeight="1" x14ac:dyDescent="0.35">
      <c r="A21" s="565">
        <v>6</v>
      </c>
      <c r="B21" s="639" t="s">
        <v>18573</v>
      </c>
      <c r="C21" s="564" t="s">
        <v>16370</v>
      </c>
      <c r="D21" s="564" t="s">
        <v>16365</v>
      </c>
      <c r="E21" s="566">
        <v>101</v>
      </c>
    </row>
    <row r="22" spans="1:5" ht="16" customHeight="1" x14ac:dyDescent="0.35">
      <c r="A22" s="636">
        <v>7</v>
      </c>
      <c r="B22" s="637" t="s">
        <v>18574</v>
      </c>
      <c r="C22" s="635" t="s">
        <v>18252</v>
      </c>
      <c r="D22" s="635" t="s">
        <v>16369</v>
      </c>
      <c r="E22" s="638">
        <v>34</v>
      </c>
    </row>
    <row r="23" spans="1:5" ht="16" customHeight="1" x14ac:dyDescent="0.35">
      <c r="A23" s="565">
        <v>8</v>
      </c>
      <c r="B23" s="639" t="s">
        <v>18575</v>
      </c>
      <c r="C23" s="564" t="s">
        <v>16389</v>
      </c>
      <c r="D23" s="564" t="s">
        <v>16390</v>
      </c>
      <c r="E23" s="566">
        <v>293</v>
      </c>
    </row>
    <row r="24" spans="1:5" ht="16" customHeight="1" x14ac:dyDescent="0.35">
      <c r="A24" s="636">
        <v>9</v>
      </c>
      <c r="B24" s="637" t="s">
        <v>1737</v>
      </c>
      <c r="C24" s="635" t="s">
        <v>16351</v>
      </c>
      <c r="D24" s="635" t="s">
        <v>16352</v>
      </c>
      <c r="E24" s="1198">
        <v>35</v>
      </c>
    </row>
    <row r="25" spans="1:5" ht="16" customHeight="1" x14ac:dyDescent="0.35">
      <c r="A25" s="565">
        <v>10</v>
      </c>
      <c r="B25" s="639" t="s">
        <v>1486</v>
      </c>
      <c r="C25" s="564" t="s">
        <v>16395</v>
      </c>
      <c r="D25" s="564" t="s">
        <v>16352</v>
      </c>
      <c r="E25" s="566">
        <v>100</v>
      </c>
    </row>
    <row r="26" spans="1:5" ht="16" customHeight="1" x14ac:dyDescent="0.35">
      <c r="A26" s="636">
        <v>11</v>
      </c>
      <c r="B26" s="637" t="s">
        <v>18576</v>
      </c>
      <c r="C26" s="635" t="s">
        <v>16376</v>
      </c>
      <c r="D26" s="635" t="s">
        <v>16352</v>
      </c>
      <c r="E26" s="638">
        <v>179</v>
      </c>
    </row>
    <row r="27" spans="1:5" ht="16" customHeight="1" x14ac:dyDescent="0.35">
      <c r="A27" s="565">
        <v>12</v>
      </c>
      <c r="B27" s="639" t="s">
        <v>1702</v>
      </c>
      <c r="C27" s="564" t="s">
        <v>18419</v>
      </c>
      <c r="D27" s="564" t="s">
        <v>18577</v>
      </c>
      <c r="E27" s="1186">
        <v>90</v>
      </c>
    </row>
    <row r="28" spans="1:5" ht="16" customHeight="1" x14ac:dyDescent="0.35">
      <c r="A28" s="636">
        <v>13</v>
      </c>
      <c r="B28" s="637" t="s">
        <v>18578</v>
      </c>
      <c r="C28" s="635" t="s">
        <v>1496</v>
      </c>
      <c r="D28" s="635" t="s">
        <v>18255</v>
      </c>
      <c r="E28" s="1198">
        <v>50</v>
      </c>
    </row>
    <row r="29" spans="1:5" ht="16" customHeight="1" x14ac:dyDescent="0.35">
      <c r="A29" s="565">
        <v>14</v>
      </c>
      <c r="B29" s="639" t="s">
        <v>18579</v>
      </c>
      <c r="C29" s="564" t="s">
        <v>18256</v>
      </c>
      <c r="D29" s="564" t="s">
        <v>16358</v>
      </c>
      <c r="E29" s="566">
        <v>288</v>
      </c>
    </row>
    <row r="30" spans="1:5" ht="16" customHeight="1" x14ac:dyDescent="0.35">
      <c r="A30" s="565">
        <v>15</v>
      </c>
      <c r="B30" s="639" t="s">
        <v>22451</v>
      </c>
      <c r="C30" s="564" t="s">
        <v>22446</v>
      </c>
      <c r="D30" s="564" t="s">
        <v>18255</v>
      </c>
      <c r="E30" s="566">
        <v>53</v>
      </c>
    </row>
    <row r="31" spans="1:5" ht="18" customHeight="1" x14ac:dyDescent="0.35">
      <c r="A31" s="633"/>
      <c r="B31" s="633"/>
      <c r="C31" s="640" t="s">
        <v>18580</v>
      </c>
      <c r="D31" s="633"/>
      <c r="E31" s="1199">
        <f>SUM(E16:E30)</f>
        <v>2073</v>
      </c>
    </row>
    <row r="33" spans="1:5" ht="26" customHeight="1" x14ac:dyDescent="0.35">
      <c r="A33" s="1300" t="s">
        <v>18581</v>
      </c>
      <c r="B33" s="1300"/>
      <c r="C33" s="1300"/>
      <c r="D33" s="1300"/>
      <c r="E33" s="1300"/>
    </row>
    <row r="34" spans="1:5" ht="17" customHeight="1" x14ac:dyDescent="0.35">
      <c r="A34" s="1292" t="s">
        <v>18582</v>
      </c>
      <c r="B34" s="1292"/>
      <c r="C34" s="1292"/>
      <c r="D34" s="1292"/>
      <c r="E34" s="1292"/>
    </row>
    <row r="35" spans="1:5" ht="17" customHeight="1" x14ac:dyDescent="0.35">
      <c r="A35" s="634" t="s">
        <v>141</v>
      </c>
      <c r="B35" s="634"/>
      <c r="C35" s="634" t="s">
        <v>18567</v>
      </c>
      <c r="D35" s="634" t="s">
        <v>18568</v>
      </c>
      <c r="E35" s="634" t="s">
        <v>18569</v>
      </c>
    </row>
    <row r="36" spans="1:5" ht="16" customHeight="1" x14ac:dyDescent="0.35">
      <c r="A36" s="643">
        <v>1</v>
      </c>
      <c r="B36" s="644" t="s">
        <v>1393</v>
      </c>
      <c r="C36" s="642" t="s">
        <v>16371</v>
      </c>
      <c r="D36" s="642" t="s">
        <v>16372</v>
      </c>
      <c r="E36" s="645">
        <v>118</v>
      </c>
    </row>
    <row r="37" spans="1:5" ht="16" customHeight="1" x14ac:dyDescent="0.35">
      <c r="A37" s="565">
        <v>2</v>
      </c>
      <c r="B37" s="639" t="s">
        <v>18583</v>
      </c>
      <c r="C37" s="564" t="s">
        <v>16373</v>
      </c>
      <c r="D37" s="564" t="s">
        <v>16372</v>
      </c>
      <c r="E37" s="566">
        <v>192</v>
      </c>
    </row>
    <row r="38" spans="1:5" ht="16" customHeight="1" x14ac:dyDescent="0.35">
      <c r="A38" s="643">
        <v>3</v>
      </c>
      <c r="B38" s="644" t="s">
        <v>18584</v>
      </c>
      <c r="C38" s="642" t="s">
        <v>9786</v>
      </c>
      <c r="D38" s="642" t="s">
        <v>16360</v>
      </c>
      <c r="E38" s="645">
        <v>399</v>
      </c>
    </row>
    <row r="39" spans="1:5" ht="16" customHeight="1" x14ac:dyDescent="0.35">
      <c r="A39" s="565">
        <v>4</v>
      </c>
      <c r="B39" s="639" t="s">
        <v>18585</v>
      </c>
      <c r="C39" s="564" t="s">
        <v>16359</v>
      </c>
      <c r="D39" s="564" t="s">
        <v>16360</v>
      </c>
      <c r="E39" s="566">
        <v>50</v>
      </c>
    </row>
    <row r="40" spans="1:5" ht="16" customHeight="1" x14ac:dyDescent="0.35">
      <c r="A40" s="643">
        <v>5</v>
      </c>
      <c r="B40" s="644" t="s">
        <v>1460</v>
      </c>
      <c r="C40" s="642" t="s">
        <v>16396</v>
      </c>
      <c r="D40" s="642" t="s">
        <v>16397</v>
      </c>
      <c r="E40" s="645">
        <v>88</v>
      </c>
    </row>
    <row r="41" spans="1:5" ht="16" customHeight="1" x14ac:dyDescent="0.35">
      <c r="A41" s="565">
        <v>6</v>
      </c>
      <c r="B41" s="639" t="s">
        <v>18586</v>
      </c>
      <c r="C41" s="564" t="s">
        <v>16391</v>
      </c>
      <c r="D41" s="564" t="s">
        <v>16392</v>
      </c>
      <c r="E41" s="566">
        <v>212</v>
      </c>
    </row>
    <row r="42" spans="1:5" ht="16" customHeight="1" x14ac:dyDescent="0.35">
      <c r="A42" s="643">
        <v>7</v>
      </c>
      <c r="B42" s="644" t="s">
        <v>18587</v>
      </c>
      <c r="C42" s="642" t="s">
        <v>16393</v>
      </c>
      <c r="D42" s="642" t="s">
        <v>16394</v>
      </c>
      <c r="E42" s="645">
        <v>48</v>
      </c>
    </row>
    <row r="43" spans="1:5" ht="18" customHeight="1" x14ac:dyDescent="0.35">
      <c r="A43" s="641"/>
      <c r="B43" s="641"/>
      <c r="C43" s="646" t="s">
        <v>18588</v>
      </c>
      <c r="D43" s="641"/>
      <c r="E43" s="647">
        <v>1107</v>
      </c>
    </row>
    <row r="45" spans="1:5" ht="26" customHeight="1" x14ac:dyDescent="0.35">
      <c r="A45" s="1305" t="s">
        <v>22453</v>
      </c>
      <c r="B45" s="1306"/>
      <c r="C45" s="1306"/>
      <c r="D45" s="1306"/>
      <c r="E45" s="1306"/>
    </row>
    <row r="46" spans="1:5" ht="17" customHeight="1" x14ac:dyDescent="0.35">
      <c r="A46" s="1307" t="s">
        <v>18589</v>
      </c>
      <c r="B46" s="1307"/>
      <c r="C46" s="1307"/>
      <c r="D46" s="1307"/>
      <c r="E46" s="1307"/>
    </row>
    <row r="47" spans="1:5" ht="17" customHeight="1" x14ac:dyDescent="0.35">
      <c r="A47" s="634" t="s">
        <v>141</v>
      </c>
      <c r="B47" s="634"/>
      <c r="C47" s="634" t="s">
        <v>18567</v>
      </c>
      <c r="D47" s="634" t="s">
        <v>18568</v>
      </c>
      <c r="E47" s="634" t="s">
        <v>18569</v>
      </c>
    </row>
    <row r="48" spans="1:5" ht="16" customHeight="1" x14ac:dyDescent="0.35">
      <c r="A48" s="650">
        <v>1</v>
      </c>
      <c r="B48" s="651" t="s">
        <v>18590</v>
      </c>
      <c r="C48" s="649" t="s">
        <v>16385</v>
      </c>
      <c r="D48" s="649" t="s">
        <v>977</v>
      </c>
      <c r="E48" s="652">
        <v>292</v>
      </c>
    </row>
    <row r="49" spans="1:5" ht="16" customHeight="1" x14ac:dyDescent="0.35">
      <c r="A49" s="565">
        <v>2</v>
      </c>
      <c r="B49" s="639" t="s">
        <v>18591</v>
      </c>
      <c r="C49" s="564" t="s">
        <v>16363</v>
      </c>
      <c r="D49" s="564" t="s">
        <v>977</v>
      </c>
      <c r="E49" s="566">
        <v>133</v>
      </c>
    </row>
    <row r="50" spans="1:5" ht="16" customHeight="1" x14ac:dyDescent="0.35">
      <c r="A50" s="650">
        <v>3</v>
      </c>
      <c r="B50" s="651" t="s">
        <v>18592</v>
      </c>
      <c r="C50" s="649" t="s">
        <v>16361</v>
      </c>
      <c r="D50" s="649" t="s">
        <v>16362</v>
      </c>
      <c r="E50" s="652">
        <v>240</v>
      </c>
    </row>
    <row r="51" spans="1:5" ht="16" customHeight="1" x14ac:dyDescent="0.35">
      <c r="A51" s="565">
        <v>4</v>
      </c>
      <c r="B51" s="639" t="s">
        <v>18593</v>
      </c>
      <c r="C51" s="564" t="s">
        <v>16377</v>
      </c>
      <c r="D51" s="564" t="s">
        <v>16378</v>
      </c>
      <c r="E51" s="1200">
        <v>176</v>
      </c>
    </row>
    <row r="52" spans="1:5" ht="16" customHeight="1" x14ac:dyDescent="0.35">
      <c r="A52" s="650">
        <v>5</v>
      </c>
      <c r="B52" s="651" t="s">
        <v>18594</v>
      </c>
      <c r="C52" s="649" t="s">
        <v>16398</v>
      </c>
      <c r="D52" s="649" t="s">
        <v>16399</v>
      </c>
      <c r="E52" s="1186">
        <v>189</v>
      </c>
    </row>
    <row r="53" spans="1:5" ht="16" customHeight="1" x14ac:dyDescent="0.35">
      <c r="A53" s="1202">
        <v>6</v>
      </c>
      <c r="B53" s="1203" t="s">
        <v>18590</v>
      </c>
      <c r="C53" s="1204" t="s">
        <v>21933</v>
      </c>
      <c r="D53" s="1204" t="s">
        <v>21943</v>
      </c>
      <c r="E53" s="1200">
        <v>140</v>
      </c>
    </row>
    <row r="54" spans="1:5" ht="16" customHeight="1" x14ac:dyDescent="0.35">
      <c r="A54" s="1191">
        <v>7</v>
      </c>
      <c r="B54" s="1205" t="s">
        <v>21944</v>
      </c>
      <c r="C54" s="1193" t="s">
        <v>21935</v>
      </c>
      <c r="D54" s="1193" t="s">
        <v>21943</v>
      </c>
      <c r="E54" s="1186">
        <v>161</v>
      </c>
    </row>
    <row r="55" spans="1:5" ht="16" customHeight="1" x14ac:dyDescent="0.35">
      <c r="A55" s="1191">
        <v>8</v>
      </c>
      <c r="B55" s="1205" t="s">
        <v>22450</v>
      </c>
      <c r="C55" s="1193" t="s">
        <v>22448</v>
      </c>
      <c r="D55" s="1193" t="s">
        <v>21943</v>
      </c>
      <c r="E55" s="1186">
        <v>140</v>
      </c>
    </row>
    <row r="56" spans="1:5" ht="18" customHeight="1" x14ac:dyDescent="0.35">
      <c r="A56" s="648"/>
      <c r="B56" s="648"/>
      <c r="C56" s="577" t="s">
        <v>18595</v>
      </c>
      <c r="D56" s="648"/>
      <c r="E56" s="1201">
        <f>SUM(E48:E55)</f>
        <v>1471</v>
      </c>
    </row>
    <row r="58" spans="1:5" ht="26" customHeight="1" x14ac:dyDescent="0.35">
      <c r="A58" s="1308" t="s">
        <v>18596</v>
      </c>
      <c r="B58" s="1308"/>
      <c r="C58" s="1308"/>
      <c r="D58" s="1308"/>
      <c r="E58" s="1308"/>
    </row>
    <row r="59" spans="1:5" ht="17" customHeight="1" x14ac:dyDescent="0.35">
      <c r="A59" s="1309" t="s">
        <v>18597</v>
      </c>
      <c r="B59" s="1309"/>
      <c r="C59" s="1309"/>
      <c r="D59" s="1309"/>
      <c r="E59" s="1309"/>
    </row>
    <row r="60" spans="1:5" ht="17" customHeight="1" x14ac:dyDescent="0.35">
      <c r="A60" s="634" t="s">
        <v>141</v>
      </c>
      <c r="B60" s="634"/>
      <c r="C60" s="634" t="s">
        <v>18567</v>
      </c>
      <c r="D60" s="634" t="s">
        <v>18568</v>
      </c>
      <c r="E60" s="634" t="s">
        <v>18569</v>
      </c>
    </row>
    <row r="61" spans="1:5" ht="16" customHeight="1" x14ac:dyDescent="0.35">
      <c r="A61" s="655">
        <v>1</v>
      </c>
      <c r="B61" s="656" t="s">
        <v>18598</v>
      </c>
      <c r="C61" s="654" t="s">
        <v>16345</v>
      </c>
      <c r="D61" s="654" t="s">
        <v>16346</v>
      </c>
      <c r="E61" s="657">
        <v>208</v>
      </c>
    </row>
    <row r="62" spans="1:5" ht="16" customHeight="1" x14ac:dyDescent="0.35">
      <c r="A62" s="565">
        <v>2</v>
      </c>
      <c r="B62" s="639" t="s">
        <v>18599</v>
      </c>
      <c r="C62" s="564" t="s">
        <v>16353</v>
      </c>
      <c r="D62" s="564" t="s">
        <v>16354</v>
      </c>
      <c r="E62" s="566">
        <v>60</v>
      </c>
    </row>
    <row r="63" spans="1:5" ht="16" customHeight="1" x14ac:dyDescent="0.35">
      <c r="A63" s="655">
        <v>3</v>
      </c>
      <c r="B63" s="656" t="s">
        <v>18600</v>
      </c>
      <c r="C63" s="654" t="s">
        <v>9787</v>
      </c>
      <c r="D63" s="654" t="s">
        <v>16357</v>
      </c>
      <c r="E63" s="657">
        <v>151</v>
      </c>
    </row>
    <row r="64" spans="1:5" ht="18" customHeight="1" x14ac:dyDescent="0.35">
      <c r="A64" s="653"/>
      <c r="B64" s="653"/>
      <c r="C64" s="658" t="s">
        <v>18601</v>
      </c>
      <c r="D64" s="653"/>
      <c r="E64" s="659">
        <v>419</v>
      </c>
    </row>
    <row r="66" spans="1:5" ht="26" customHeight="1" x14ac:dyDescent="0.35">
      <c r="A66" s="1310" t="s">
        <v>21942</v>
      </c>
      <c r="B66" s="1311"/>
      <c r="C66" s="1311"/>
      <c r="D66" s="1311"/>
      <c r="E66" s="1311"/>
    </row>
    <row r="67" spans="1:5" ht="17" customHeight="1" x14ac:dyDescent="0.35">
      <c r="A67" s="1312" t="s">
        <v>18602</v>
      </c>
      <c r="B67" s="1312"/>
      <c r="C67" s="1312"/>
      <c r="D67" s="1312"/>
      <c r="E67" s="1312"/>
    </row>
    <row r="68" spans="1:5" ht="17" customHeight="1" x14ac:dyDescent="0.35">
      <c r="A68" s="634" t="s">
        <v>141</v>
      </c>
      <c r="B68" s="634"/>
      <c r="C68" s="634" t="s">
        <v>18567</v>
      </c>
      <c r="D68" s="634" t="s">
        <v>18568</v>
      </c>
      <c r="E68" s="634" t="s">
        <v>18569</v>
      </c>
    </row>
    <row r="69" spans="1:5" ht="16" customHeight="1" x14ac:dyDescent="0.35">
      <c r="A69" s="662">
        <v>1</v>
      </c>
      <c r="B69" s="663" t="s">
        <v>18603</v>
      </c>
      <c r="C69" s="661" t="s">
        <v>16374</v>
      </c>
      <c r="D69" s="661" t="s">
        <v>16375</v>
      </c>
      <c r="E69" s="664">
        <v>36</v>
      </c>
    </row>
    <row r="70" spans="1:5" ht="16" customHeight="1" x14ac:dyDescent="0.35">
      <c r="A70" s="565">
        <v>2</v>
      </c>
      <c r="B70" s="639" t="s">
        <v>18576</v>
      </c>
      <c r="C70" s="564" t="s">
        <v>16376</v>
      </c>
      <c r="D70" s="564" t="s">
        <v>16352</v>
      </c>
      <c r="E70" s="566">
        <v>179</v>
      </c>
    </row>
    <row r="71" spans="1:5" ht="16" customHeight="1" x14ac:dyDescent="0.35">
      <c r="A71" s="1206">
        <v>3</v>
      </c>
      <c r="B71" s="1207" t="s">
        <v>18576</v>
      </c>
      <c r="C71" s="1208" t="s">
        <v>21937</v>
      </c>
      <c r="D71" s="1208" t="s">
        <v>21938</v>
      </c>
      <c r="E71" s="1209">
        <v>443</v>
      </c>
    </row>
    <row r="72" spans="1:5" ht="18" customHeight="1" x14ac:dyDescent="0.35">
      <c r="A72" s="660"/>
      <c r="B72" s="660"/>
      <c r="C72" s="665" t="s">
        <v>18604</v>
      </c>
      <c r="D72" s="660"/>
      <c r="E72" s="1210">
        <v>658</v>
      </c>
    </row>
    <row r="74" spans="1:5" ht="26" customHeight="1" x14ac:dyDescent="0.35">
      <c r="A74" s="1301" t="s">
        <v>18605</v>
      </c>
      <c r="B74" s="1301"/>
      <c r="C74" s="1301"/>
      <c r="D74" s="1301"/>
      <c r="E74" s="1301"/>
    </row>
    <row r="75" spans="1:5" ht="17" customHeight="1" x14ac:dyDescent="0.35">
      <c r="A75" s="1302" t="s">
        <v>18606</v>
      </c>
      <c r="B75" s="1302"/>
      <c r="C75" s="1302"/>
      <c r="D75" s="1302"/>
      <c r="E75" s="1302"/>
    </row>
    <row r="76" spans="1:5" ht="17" customHeight="1" x14ac:dyDescent="0.35">
      <c r="A76" s="634" t="s">
        <v>141</v>
      </c>
      <c r="B76" s="634"/>
      <c r="C76" s="634" t="s">
        <v>18567</v>
      </c>
      <c r="D76" s="634" t="s">
        <v>18568</v>
      </c>
      <c r="E76" s="634" t="s">
        <v>18569</v>
      </c>
    </row>
    <row r="77" spans="1:5" ht="16" customHeight="1" x14ac:dyDescent="0.35">
      <c r="A77" s="668">
        <v>1</v>
      </c>
      <c r="B77" s="669" t="s">
        <v>18607</v>
      </c>
      <c r="C77" s="667" t="s">
        <v>9792</v>
      </c>
      <c r="D77" s="667" t="s">
        <v>16383</v>
      </c>
      <c r="E77" s="1211">
        <v>177</v>
      </c>
    </row>
    <row r="78" spans="1:5" ht="16" customHeight="1" x14ac:dyDescent="0.35">
      <c r="A78" s="565">
        <v>2</v>
      </c>
      <c r="B78" s="639" t="s">
        <v>18608</v>
      </c>
      <c r="C78" s="564" t="s">
        <v>9793</v>
      </c>
      <c r="D78" s="564" t="s">
        <v>16383</v>
      </c>
      <c r="E78" s="1186">
        <v>27</v>
      </c>
    </row>
    <row r="79" spans="1:5" ht="16" customHeight="1" x14ac:dyDescent="0.35">
      <c r="A79" s="668">
        <v>3</v>
      </c>
      <c r="B79" s="669" t="s">
        <v>18609</v>
      </c>
      <c r="C79" s="667" t="s">
        <v>18253</v>
      </c>
      <c r="D79" s="667" t="s">
        <v>18254</v>
      </c>
      <c r="E79" s="1211">
        <v>49</v>
      </c>
    </row>
    <row r="80" spans="1:5" ht="16" customHeight="1" x14ac:dyDescent="0.35">
      <c r="A80" s="565">
        <v>4</v>
      </c>
      <c r="B80" s="639" t="s">
        <v>18610</v>
      </c>
      <c r="C80" s="564" t="s">
        <v>16387</v>
      </c>
      <c r="D80" s="564" t="s">
        <v>9485</v>
      </c>
      <c r="E80" s="1186">
        <v>136</v>
      </c>
    </row>
    <row r="81" spans="1:5" ht="16" customHeight="1" x14ac:dyDescent="0.35">
      <c r="A81" s="668">
        <v>5</v>
      </c>
      <c r="B81" s="669" t="s">
        <v>18611</v>
      </c>
      <c r="C81" s="667" t="s">
        <v>9789</v>
      </c>
      <c r="D81" s="667" t="s">
        <v>9485</v>
      </c>
      <c r="E81" s="1211">
        <v>82</v>
      </c>
    </row>
    <row r="82" spans="1:5" ht="16" customHeight="1" x14ac:dyDescent="0.35">
      <c r="A82" s="565">
        <v>6</v>
      </c>
      <c r="B82" s="639" t="s">
        <v>18612</v>
      </c>
      <c r="C82" s="564" t="s">
        <v>9791</v>
      </c>
      <c r="D82" s="564" t="s">
        <v>9485</v>
      </c>
      <c r="E82" s="1186">
        <v>54</v>
      </c>
    </row>
    <row r="83" spans="1:5" ht="16" customHeight="1" x14ac:dyDescent="0.35">
      <c r="A83" s="668">
        <v>7</v>
      </c>
      <c r="B83" s="669" t="s">
        <v>18613</v>
      </c>
      <c r="C83" s="667" t="s">
        <v>16379</v>
      </c>
      <c r="D83" s="667" t="s">
        <v>16380</v>
      </c>
      <c r="E83" s="1211">
        <v>115</v>
      </c>
    </row>
    <row r="84" spans="1:5" ht="16" customHeight="1" x14ac:dyDescent="0.35">
      <c r="A84" s="565">
        <v>8</v>
      </c>
      <c r="B84" s="639" t="s">
        <v>18614</v>
      </c>
      <c r="C84" s="564" t="s">
        <v>16386</v>
      </c>
      <c r="D84" s="564" t="s">
        <v>16380</v>
      </c>
      <c r="E84" s="1186">
        <v>64</v>
      </c>
    </row>
    <row r="85" spans="1:5" ht="16" customHeight="1" x14ac:dyDescent="0.35">
      <c r="A85" s="668">
        <v>9</v>
      </c>
      <c r="B85" s="669" t="s">
        <v>18615</v>
      </c>
      <c r="C85" s="667" t="s">
        <v>16347</v>
      </c>
      <c r="D85" s="667" t="s">
        <v>16348</v>
      </c>
      <c r="E85" s="1211">
        <v>73</v>
      </c>
    </row>
    <row r="86" spans="1:5" ht="16" customHeight="1" x14ac:dyDescent="0.35">
      <c r="A86" s="565">
        <v>10</v>
      </c>
      <c r="B86" s="639" t="s">
        <v>18616</v>
      </c>
      <c r="C86" s="564" t="s">
        <v>16350</v>
      </c>
      <c r="D86" s="564" t="s">
        <v>16348</v>
      </c>
      <c r="E86" s="1186">
        <v>64</v>
      </c>
    </row>
    <row r="87" spans="1:5" ht="18" customHeight="1" x14ac:dyDescent="0.35">
      <c r="A87" s="666"/>
      <c r="B87" s="666"/>
      <c r="C87" s="670" t="s">
        <v>18617</v>
      </c>
      <c r="D87" s="666"/>
      <c r="E87" s="1212">
        <v>841</v>
      </c>
    </row>
    <row r="89" spans="1:5" ht="24" customHeight="1" x14ac:dyDescent="0.35">
      <c r="A89" s="1303" t="s">
        <v>21941</v>
      </c>
      <c r="B89" s="1304"/>
      <c r="C89" s="1304"/>
      <c r="D89" s="1304"/>
      <c r="E89" s="1304"/>
    </row>
  </sheetData>
  <mergeCells count="15">
    <mergeCell ref="A74:E74"/>
    <mergeCell ref="A75:E75"/>
    <mergeCell ref="A89:E89"/>
    <mergeCell ref="A45:E45"/>
    <mergeCell ref="A46:E46"/>
    <mergeCell ref="A58:E58"/>
    <mergeCell ref="A59:E59"/>
    <mergeCell ref="A66:E66"/>
    <mergeCell ref="A67:E67"/>
    <mergeCell ref="A34:E34"/>
    <mergeCell ref="A1:E1"/>
    <mergeCell ref="A2:E2"/>
    <mergeCell ref="A13:E13"/>
    <mergeCell ref="A14:E14"/>
    <mergeCell ref="A33:E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8"/>
  <sheetViews>
    <sheetView topLeftCell="F1" workbookViewId="0">
      <pane ySplit="4" topLeftCell="A21" activePane="bottomLeft" state="frozen"/>
      <selection activeCell="F1" sqref="F1"/>
      <selection pane="bottomLeft" sqref="A1:O1"/>
    </sheetView>
  </sheetViews>
  <sheetFormatPr defaultRowHeight="14.5" x14ac:dyDescent="0.35"/>
  <cols>
    <col min="1" max="1" width="12" customWidth="1"/>
    <col min="2" max="2" width="38" customWidth="1"/>
    <col min="3" max="3" width="22" customWidth="1"/>
    <col min="4" max="4" width="24" customWidth="1"/>
    <col min="5" max="5" width="22" customWidth="1"/>
    <col min="6" max="6" width="32" customWidth="1"/>
    <col min="7" max="7" width="20" customWidth="1"/>
    <col min="8" max="10" width="12" customWidth="1"/>
    <col min="11" max="11" width="8" customWidth="1"/>
    <col min="12" max="12" width="18" customWidth="1"/>
    <col min="13" max="13" width="14" customWidth="1"/>
    <col min="15" max="15" width="58" customWidth="1"/>
    <col min="16" max="16" width="18" customWidth="1"/>
  </cols>
  <sheetData>
    <row r="1" spans="1:15" ht="18.5" x14ac:dyDescent="0.45">
      <c r="A1" s="1285" t="s">
        <v>18448</v>
      </c>
      <c r="B1" s="1313"/>
      <c r="C1" s="1313"/>
      <c r="D1" s="1313"/>
      <c r="E1" s="1313"/>
      <c r="F1" s="1313"/>
      <c r="G1" s="1313"/>
      <c r="H1" s="1313"/>
      <c r="I1" s="1313"/>
      <c r="J1" s="1313"/>
      <c r="K1" s="1313"/>
      <c r="L1" s="1313"/>
      <c r="M1" s="1313"/>
      <c r="N1" s="1313"/>
      <c r="O1" s="1313"/>
    </row>
    <row r="2" spans="1:15" x14ac:dyDescent="0.35">
      <c r="A2" s="1314" t="s">
        <v>18449</v>
      </c>
      <c r="B2" s="1313"/>
      <c r="C2" s="1313"/>
      <c r="D2" s="1313"/>
      <c r="E2" s="1313"/>
      <c r="F2" s="1313"/>
      <c r="G2" s="1313"/>
      <c r="H2" s="1313"/>
      <c r="I2" s="1313"/>
      <c r="J2" s="1313"/>
      <c r="K2" s="1313"/>
      <c r="L2" s="1313"/>
      <c r="M2" s="1313"/>
      <c r="N2" s="1313"/>
      <c r="O2" s="1313"/>
    </row>
    <row r="4" spans="1:15" ht="30" customHeight="1" x14ac:dyDescent="0.35">
      <c r="A4" s="588" t="s">
        <v>1322</v>
      </c>
      <c r="B4" s="588" t="s">
        <v>1323</v>
      </c>
      <c r="C4" s="588" t="s">
        <v>619</v>
      </c>
      <c r="D4" s="588" t="s">
        <v>1324</v>
      </c>
      <c r="E4" s="588" t="s">
        <v>1325</v>
      </c>
      <c r="F4" s="588" t="s">
        <v>906</v>
      </c>
      <c r="G4" s="588" t="s">
        <v>539</v>
      </c>
      <c r="H4" s="588" t="s">
        <v>1326</v>
      </c>
      <c r="I4" s="588" t="s">
        <v>1327</v>
      </c>
      <c r="J4" s="588" t="s">
        <v>1328</v>
      </c>
      <c r="K4" s="588" t="s">
        <v>1329</v>
      </c>
      <c r="L4" s="588" t="s">
        <v>1330</v>
      </c>
      <c r="M4" s="589" t="s">
        <v>789</v>
      </c>
      <c r="N4" s="587"/>
      <c r="O4" s="590" t="s">
        <v>0</v>
      </c>
    </row>
    <row r="5" spans="1:15" ht="80" customHeight="1" x14ac:dyDescent="0.35">
      <c r="A5" s="18" t="s">
        <v>1331</v>
      </c>
      <c r="B5" s="19" t="s">
        <v>1332</v>
      </c>
      <c r="C5" s="18" t="s">
        <v>792</v>
      </c>
      <c r="D5" s="18" t="s">
        <v>1101</v>
      </c>
      <c r="E5" s="19" t="s">
        <v>1333</v>
      </c>
      <c r="F5" s="18" t="s">
        <v>1334</v>
      </c>
      <c r="G5" s="45" t="str">
        <f t="shared" ref="G5:G12" si="0">HYPERLINK("https://www.icnf.pt","icnf.pt")</f>
        <v>icnf.pt</v>
      </c>
      <c r="H5" s="325" t="s">
        <v>1335</v>
      </c>
      <c r="I5" s="18" t="s">
        <v>1336</v>
      </c>
      <c r="J5" s="18" t="s">
        <v>1337</v>
      </c>
      <c r="K5" s="18">
        <v>91</v>
      </c>
      <c r="L5" s="18" t="s">
        <v>1338</v>
      </c>
      <c r="M5" s="85" t="str">
        <f>HYPERLINK("https://www.google.com/maps/search/Parque%20Nacional%20Peneda-Ger%C3%AAs%20Natureza%20Portugal/@41.7333,-8.1667,17z","📍 Parque Nacional Peneda-Gerês")</f>
        <v>📍 Parque Nacional Peneda-Gerês</v>
      </c>
      <c r="O5" s="300" t="s">
        <v>1339</v>
      </c>
    </row>
    <row r="6" spans="1:15" ht="80" customHeight="1" x14ac:dyDescent="0.35">
      <c r="A6" s="10" t="s">
        <v>1340</v>
      </c>
      <c r="B6" s="11" t="s">
        <v>1341</v>
      </c>
      <c r="C6" s="10" t="s">
        <v>836</v>
      </c>
      <c r="D6" s="10" t="s">
        <v>1101</v>
      </c>
      <c r="E6" s="11" t="s">
        <v>1342</v>
      </c>
      <c r="F6" s="10" t="s">
        <v>1343</v>
      </c>
      <c r="G6" s="46" t="str">
        <f t="shared" si="0"/>
        <v>icnf.pt</v>
      </c>
      <c r="H6" s="326" t="s">
        <v>1344</v>
      </c>
      <c r="I6" s="10" t="s">
        <v>1336</v>
      </c>
      <c r="J6" s="10" t="s">
        <v>1337</v>
      </c>
      <c r="K6" s="10">
        <v>95</v>
      </c>
      <c r="L6" s="10" t="s">
        <v>1338</v>
      </c>
      <c r="M6" s="86" t="str">
        <f>HYPERLINK("https://www.google.com/maps/search/Parque%20Natural%20da%20Serra%20da%20Estrela%20Natureza%20Portugal/@40.3167,-7.6167,17z","📍 Parque Natural da Serra da …")</f>
        <v>📍 Parque Natural da Serra da …</v>
      </c>
      <c r="O6" s="301" t="s">
        <v>799</v>
      </c>
    </row>
    <row r="7" spans="1:15" ht="110" customHeight="1" x14ac:dyDescent="0.35">
      <c r="A7" s="12" t="s">
        <v>1345</v>
      </c>
      <c r="B7" s="13" t="s">
        <v>1346</v>
      </c>
      <c r="C7" s="12" t="s">
        <v>913</v>
      </c>
      <c r="D7" s="12" t="s">
        <v>1101</v>
      </c>
      <c r="E7" s="13" t="s">
        <v>1342</v>
      </c>
      <c r="F7" s="12" t="s">
        <v>1347</v>
      </c>
      <c r="G7" s="47" t="str">
        <f t="shared" si="0"/>
        <v>icnf.pt</v>
      </c>
      <c r="H7" s="327" t="s">
        <v>1348</v>
      </c>
      <c r="I7" s="12" t="s">
        <v>1336</v>
      </c>
      <c r="J7" s="12" t="s">
        <v>1337</v>
      </c>
      <c r="K7" s="12">
        <v>103</v>
      </c>
      <c r="L7" s="12" t="s">
        <v>1338</v>
      </c>
      <c r="M7" s="87" t="str">
        <f>HYPERLINK("https://www.google.com/maps/search/Parque%20Natural%20da%20Arr%C3%A1bida%20Natureza%20Portugal/@38.4833,-8.9833,17z","📍 Parque Natural da Arrábida")</f>
        <v>📍 Parque Natural da Arrábida</v>
      </c>
      <c r="O7" s="302" t="s">
        <v>1349</v>
      </c>
    </row>
    <row r="8" spans="1:15" ht="110" customHeight="1" x14ac:dyDescent="0.35">
      <c r="A8" s="14" t="s">
        <v>1350</v>
      </c>
      <c r="B8" s="15" t="s">
        <v>1351</v>
      </c>
      <c r="C8" s="14" t="s">
        <v>853</v>
      </c>
      <c r="D8" s="14" t="s">
        <v>1101</v>
      </c>
      <c r="E8" s="15" t="s">
        <v>1342</v>
      </c>
      <c r="F8" s="14" t="s">
        <v>1352</v>
      </c>
      <c r="G8" s="48" t="str">
        <f t="shared" si="0"/>
        <v>icnf.pt</v>
      </c>
      <c r="H8" s="328" t="s">
        <v>1353</v>
      </c>
      <c r="I8" s="14" t="s">
        <v>1336</v>
      </c>
      <c r="J8" s="14" t="s">
        <v>1337</v>
      </c>
      <c r="K8" s="14">
        <v>104</v>
      </c>
      <c r="L8" s="14" t="s">
        <v>1338</v>
      </c>
      <c r="M8" s="88" t="str">
        <f>HYPERLINK("https://www.google.com/maps/search/Parque%20Natural%20do%20Sudoeste%20Alentejano%20e%20Costa%20Vicentina%20Natureza%20Portugal/@37.55,-8.7833,17z","📍 Parque Natural do Sudoeste …")</f>
        <v>📍 Parque Natural do Sudoeste …</v>
      </c>
      <c r="O8" s="302" t="s">
        <v>1354</v>
      </c>
    </row>
    <row r="9" spans="1:15" ht="110" customHeight="1" x14ac:dyDescent="0.35">
      <c r="A9" s="12" t="s">
        <v>1355</v>
      </c>
      <c r="B9" s="13" t="s">
        <v>1356</v>
      </c>
      <c r="C9" s="12" t="s">
        <v>913</v>
      </c>
      <c r="D9" s="12" t="s">
        <v>1101</v>
      </c>
      <c r="E9" s="13" t="s">
        <v>1357</v>
      </c>
      <c r="F9" s="12" t="s">
        <v>1358</v>
      </c>
      <c r="G9" s="47" t="str">
        <f t="shared" si="0"/>
        <v>icnf.pt</v>
      </c>
      <c r="H9" s="327" t="s">
        <v>1359</v>
      </c>
      <c r="I9" s="12" t="s">
        <v>1336</v>
      </c>
      <c r="J9" s="12" t="s">
        <v>1337</v>
      </c>
      <c r="K9" s="12">
        <v>122</v>
      </c>
      <c r="L9" s="12" t="s">
        <v>1338</v>
      </c>
      <c r="M9" s="87" t="str">
        <f>HYPERLINK("https://www.google.com/maps/search/Reserva%20Natural%20das%20Berlengas%20Natureza%20Portugal/@39.4082,-9.5115,17z","📍 Reserva Natural das Berlengas")</f>
        <v>📍 Reserva Natural das Berlengas</v>
      </c>
      <c r="O9" s="302" t="s">
        <v>1360</v>
      </c>
    </row>
    <row r="10" spans="1:15" ht="110" customHeight="1" x14ac:dyDescent="0.35">
      <c r="A10" s="10" t="s">
        <v>1361</v>
      </c>
      <c r="B10" s="11" t="s">
        <v>1362</v>
      </c>
      <c r="C10" s="10" t="s">
        <v>836</v>
      </c>
      <c r="D10" s="10" t="s">
        <v>1101</v>
      </c>
      <c r="E10" s="11" t="s">
        <v>1357</v>
      </c>
      <c r="F10" s="10" t="s">
        <v>1363</v>
      </c>
      <c r="G10" s="46" t="str">
        <f t="shared" si="0"/>
        <v>icnf.pt</v>
      </c>
      <c r="H10" s="326" t="s">
        <v>1364</v>
      </c>
      <c r="I10" s="10" t="s">
        <v>1336</v>
      </c>
      <c r="J10" s="10" t="s">
        <v>1337</v>
      </c>
      <c r="K10" s="10">
        <v>128</v>
      </c>
      <c r="L10" s="10" t="s">
        <v>1338</v>
      </c>
      <c r="M10" s="86" t="str">
        <f>HYPERLINK("https://www.google.com/maps/search/Reserva%20Natural%20das%20Dunas%20de%20S.%20Jacinto%20Natureza%20Portugal/@40.6908,-8.7234,17z","📍 Reserva Natural das Dunas d…")</f>
        <v>📍 Reserva Natural das Dunas d…</v>
      </c>
      <c r="O10" s="302" t="s">
        <v>1365</v>
      </c>
    </row>
    <row r="11" spans="1:15" ht="110" customHeight="1" x14ac:dyDescent="0.35">
      <c r="A11" s="18" t="s">
        <v>1366</v>
      </c>
      <c r="B11" s="19" t="s">
        <v>1367</v>
      </c>
      <c r="C11" s="18" t="s">
        <v>792</v>
      </c>
      <c r="D11" s="18" t="s">
        <v>1101</v>
      </c>
      <c r="E11" s="19" t="s">
        <v>1357</v>
      </c>
      <c r="F11" s="18" t="s">
        <v>1149</v>
      </c>
      <c r="G11" s="45" t="str">
        <f t="shared" si="0"/>
        <v>icnf.pt</v>
      </c>
      <c r="H11" s="325" t="s">
        <v>1368</v>
      </c>
      <c r="I11" s="18" t="s">
        <v>1336</v>
      </c>
      <c r="J11" s="18" t="s">
        <v>1337</v>
      </c>
      <c r="K11" s="18">
        <v>91</v>
      </c>
      <c r="L11" s="18" t="s">
        <v>1338</v>
      </c>
      <c r="M11" s="85" t="str">
        <f>HYPERLINK("https://www.google.com/maps/search/Reserva%20Natural%20do%20Litoral%20Norte%20Natureza%20Portugal/@41.6833,-8.8333,17z","📍 Reserva Natural do Litoral …")</f>
        <v>📍 Reserva Natural do Litoral …</v>
      </c>
      <c r="O11" s="302" t="s">
        <v>1369</v>
      </c>
    </row>
    <row r="12" spans="1:15" ht="110" customHeight="1" x14ac:dyDescent="0.35">
      <c r="A12" s="10" t="s">
        <v>1370</v>
      </c>
      <c r="B12" s="11" t="s">
        <v>1371</v>
      </c>
      <c r="C12" s="10" t="s">
        <v>836</v>
      </c>
      <c r="D12" s="10" t="s">
        <v>1101</v>
      </c>
      <c r="E12" s="11" t="s">
        <v>1372</v>
      </c>
      <c r="F12" s="10" t="s">
        <v>1373</v>
      </c>
      <c r="G12" s="46" t="str">
        <f t="shared" si="0"/>
        <v>icnf.pt</v>
      </c>
      <c r="H12" s="326" t="s">
        <v>1374</v>
      </c>
      <c r="I12" s="10" t="s">
        <v>1336</v>
      </c>
      <c r="J12" s="10" t="s">
        <v>1337</v>
      </c>
      <c r="K12" s="10">
        <v>125</v>
      </c>
      <c r="L12" s="10" t="s">
        <v>1338</v>
      </c>
      <c r="M12" s="86" t="str">
        <f>HYPERLINK("https://www.google.com/maps/search/Monumento%20Natural%20do%20Cabo%20Mondego%20Natureza%20Portugal/@40.1833,-8.9,17z","📍 Monumento Natural do Cabo M…")</f>
        <v>📍 Monumento Natural do Cabo M…</v>
      </c>
      <c r="O12" s="302" t="s">
        <v>1375</v>
      </c>
    </row>
    <row r="13" spans="1:15" ht="110" customHeight="1" x14ac:dyDescent="0.35">
      <c r="A13" s="10" t="s">
        <v>1376</v>
      </c>
      <c r="B13" s="11" t="s">
        <v>1377</v>
      </c>
      <c r="C13" s="10" t="s">
        <v>836</v>
      </c>
      <c r="D13" s="10" t="s">
        <v>1101</v>
      </c>
      <c r="E13" s="11" t="s">
        <v>1378</v>
      </c>
      <c r="F13" s="10" t="s">
        <v>1379</v>
      </c>
      <c r="G13" s="46" t="str">
        <f>HYPERLINK("https://www.naturtejo.com","naturtejo.com")</f>
        <v>naturtejo.com</v>
      </c>
      <c r="H13" s="326" t="s">
        <v>1380</v>
      </c>
      <c r="I13" s="10" t="s">
        <v>1336</v>
      </c>
      <c r="J13" s="10" t="s">
        <v>1337</v>
      </c>
      <c r="K13" s="10">
        <v>102</v>
      </c>
      <c r="L13" s="10" t="s">
        <v>1338</v>
      </c>
      <c r="M13" s="86" t="str">
        <f>HYPERLINK("https://www.google.com/maps/search/Geoparque%20Naturtejo%20-%20Meseta%20Meridional%20Natureza%20Portugal/@39.9167,-7.4167,17z","📍 Geoparque Naturtejo - Meset…")</f>
        <v>📍 Geoparque Naturtejo - Meset…</v>
      </c>
      <c r="O13" s="302" t="s">
        <v>1381</v>
      </c>
    </row>
    <row r="14" spans="1:15" ht="110" customHeight="1" x14ac:dyDescent="0.35">
      <c r="A14" s="20" t="s">
        <v>1382</v>
      </c>
      <c r="B14" s="21" t="s">
        <v>1383</v>
      </c>
      <c r="C14" s="20" t="s">
        <v>522</v>
      </c>
      <c r="D14" s="20" t="s">
        <v>1101</v>
      </c>
      <c r="E14" s="21" t="s">
        <v>1378</v>
      </c>
      <c r="F14" s="20" t="s">
        <v>1384</v>
      </c>
      <c r="G14" s="49" t="str">
        <f>HYPERLINK("https://www.azoresgeopark.com","azoresgeopark.com")</f>
        <v>azoresgeopark.com</v>
      </c>
      <c r="H14" s="329" t="s">
        <v>1380</v>
      </c>
      <c r="I14" s="20" t="s">
        <v>1336</v>
      </c>
      <c r="J14" s="20" t="s">
        <v>1337</v>
      </c>
      <c r="K14" s="20">
        <v>135</v>
      </c>
      <c r="L14" s="20" t="s">
        <v>1338</v>
      </c>
      <c r="M14" s="90" t="str">
        <f>HYPERLINK("https://www.google.com/maps/search/Geoparque%20A%C3%A7ores%20Natureza%20Portugal/@37.7412,-25.6756,17z","📍 Geoparque Açores")</f>
        <v>📍 Geoparque Açores</v>
      </c>
      <c r="O14" s="302" t="s">
        <v>1385</v>
      </c>
    </row>
    <row r="15" spans="1:15" ht="110" customHeight="1" x14ac:dyDescent="0.35">
      <c r="A15" s="12" t="s">
        <v>1386</v>
      </c>
      <c r="B15" s="13" t="s">
        <v>1387</v>
      </c>
      <c r="C15" s="12" t="s">
        <v>913</v>
      </c>
      <c r="D15" s="12" t="s">
        <v>1388</v>
      </c>
      <c r="E15" s="13" t="s">
        <v>1389</v>
      </c>
      <c r="F15" s="12" t="s">
        <v>1390</v>
      </c>
      <c r="G15" s="47" t="str">
        <f>HYPERLINK("https://www.torrebelem.gov.pt","torrebelem.gov.pt")</f>
        <v>torrebelem.gov.pt</v>
      </c>
      <c r="H15" s="327" t="s">
        <v>1391</v>
      </c>
      <c r="I15" s="12" t="s">
        <v>1392</v>
      </c>
      <c r="J15" s="12" t="s">
        <v>1393</v>
      </c>
      <c r="K15" s="12">
        <v>161</v>
      </c>
      <c r="L15" s="12" t="s">
        <v>1338</v>
      </c>
      <c r="M15" s="87" t="str">
        <f>HYPERLINK("https://www.google.com/maps/search/Torre%20de%20Bel%C3%A9m%20Monumentos%20e%20Patrim%C3%B3nio%20Portugal/@38.6916,-9.216,17z","📍 Torre de Belém")</f>
        <v>📍 Torre de Belém</v>
      </c>
      <c r="O15" s="302" t="s">
        <v>1394</v>
      </c>
    </row>
    <row r="16" spans="1:15" ht="110" customHeight="1" x14ac:dyDescent="0.35">
      <c r="A16" s="12" t="s">
        <v>1395</v>
      </c>
      <c r="B16" s="13" t="s">
        <v>1396</v>
      </c>
      <c r="C16" s="12" t="s">
        <v>913</v>
      </c>
      <c r="D16" s="12" t="s">
        <v>1388</v>
      </c>
      <c r="E16" s="13" t="s">
        <v>1389</v>
      </c>
      <c r="F16" s="12" t="s">
        <v>1397</v>
      </c>
      <c r="G16" s="47" t="str">
        <f>HYPERLINK("https://www.mosteirojeronimos.gov.pt","mosteirojeronimos.gov.pt")</f>
        <v>mosteirojeronimos.gov.pt</v>
      </c>
      <c r="H16" s="327" t="s">
        <v>1398</v>
      </c>
      <c r="I16" s="12" t="s">
        <v>1392</v>
      </c>
      <c r="J16" s="12" t="s">
        <v>1393</v>
      </c>
      <c r="K16" s="12">
        <v>164</v>
      </c>
      <c r="L16" s="12" t="s">
        <v>1338</v>
      </c>
      <c r="M16" s="87" t="str">
        <f>HYPERLINK("https://www.google.com/maps/search/Mosteiro%20dos%20Jer%C3%B3nimos%20Monumentos%20e%20Patrim%C3%B3nio%20Portugal/@38.6979,-9.2068,17z","📍 Mosteiro dos Jerónimos")</f>
        <v>📍 Mosteiro dos Jerónimos</v>
      </c>
      <c r="O16" s="302" t="s">
        <v>1399</v>
      </c>
    </row>
    <row r="17" spans="1:15" ht="110" customHeight="1" x14ac:dyDescent="0.35">
      <c r="A17" s="10" t="s">
        <v>1400</v>
      </c>
      <c r="B17" s="11" t="s">
        <v>1401</v>
      </c>
      <c r="C17" s="10" t="s">
        <v>836</v>
      </c>
      <c r="D17" s="10" t="s">
        <v>1388</v>
      </c>
      <c r="E17" s="11" t="s">
        <v>1389</v>
      </c>
      <c r="F17" s="10" t="s">
        <v>1402</v>
      </c>
      <c r="G17" s="46" t="str">
        <f>HYPERLINK("https://www.mosteirobatalha.gov.pt","mosteirobatalha.gov.pt")</f>
        <v>mosteirobatalha.gov.pt</v>
      </c>
      <c r="H17" s="326" t="s">
        <v>1403</v>
      </c>
      <c r="I17" s="10" t="s">
        <v>1392</v>
      </c>
      <c r="J17" s="10" t="s">
        <v>1393</v>
      </c>
      <c r="K17" s="10">
        <v>154</v>
      </c>
      <c r="L17" s="10" t="s">
        <v>1338</v>
      </c>
      <c r="M17" s="86" t="str">
        <f>HYPERLINK("https://www.google.com/maps/search/Mosteiro%20da%20Batalha%20Monumentos%20e%20Patrim%C3%B3nio%20Portugal/@39.6611,-8.8264,17z","📍 Mosteiro da Batalha")</f>
        <v>📍 Mosteiro da Batalha</v>
      </c>
      <c r="O17" s="302" t="s">
        <v>1404</v>
      </c>
    </row>
    <row r="18" spans="1:15" ht="110" customHeight="1" x14ac:dyDescent="0.35">
      <c r="A18" s="10" t="s">
        <v>1405</v>
      </c>
      <c r="B18" s="11" t="s">
        <v>1406</v>
      </c>
      <c r="C18" s="10" t="s">
        <v>836</v>
      </c>
      <c r="D18" s="10" t="s">
        <v>1388</v>
      </c>
      <c r="E18" s="11" t="s">
        <v>1389</v>
      </c>
      <c r="F18" s="10" t="s">
        <v>1407</v>
      </c>
      <c r="G18" s="46" t="str">
        <f>HYPERLINK("https://www.conventocristo.gov.pt","conventocristo.gov.pt")</f>
        <v>conventocristo.gov.pt</v>
      </c>
      <c r="H18" s="326" t="s">
        <v>1408</v>
      </c>
      <c r="I18" s="10" t="s">
        <v>1392</v>
      </c>
      <c r="J18" s="10" t="s">
        <v>1393</v>
      </c>
      <c r="K18" s="10">
        <v>146</v>
      </c>
      <c r="L18" s="10" t="s">
        <v>1338</v>
      </c>
      <c r="M18" s="86" t="str">
        <f>HYPERLINK("https://www.google.com/maps/search/Convento%20de%20Cristo%2C%20Tomar%20Monumentos%20e%20Patrim%C3%B3nio%20Portugal/@39.6033,-8.4192,17z","📍 Convento de Cristo, Tomar")</f>
        <v>📍 Convento de Cristo, Tomar</v>
      </c>
      <c r="O18" s="302" t="s">
        <v>1409</v>
      </c>
    </row>
    <row r="19" spans="1:15" ht="110" customHeight="1" x14ac:dyDescent="0.35">
      <c r="A19" s="14" t="s">
        <v>1410</v>
      </c>
      <c r="B19" s="15" t="s">
        <v>1411</v>
      </c>
      <c r="C19" s="14" t="s">
        <v>853</v>
      </c>
      <c r="D19" s="14" t="s">
        <v>1388</v>
      </c>
      <c r="E19" s="15" t="s">
        <v>1389</v>
      </c>
      <c r="F19" s="14" t="s">
        <v>1412</v>
      </c>
      <c r="G19" s="48" t="str">
        <f>HYPERLINK("https://www.cm-evora.pt","cm-evora.pt")</f>
        <v>cm-evora.pt</v>
      </c>
      <c r="H19" s="328" t="s">
        <v>1413</v>
      </c>
      <c r="I19" s="14" t="s">
        <v>1392</v>
      </c>
      <c r="J19" s="14" t="s">
        <v>1393</v>
      </c>
      <c r="K19" s="14">
        <v>134</v>
      </c>
      <c r="L19" s="14" t="s">
        <v>1338</v>
      </c>
      <c r="M19" s="88" t="str">
        <f>HYPERLINK("https://www.google.com/maps/search/Centro%20Hist%C3%B3rico%20de%20%C3%89vora%20Monumentos%20e%20Patrim%C3%B3nio%20Portugal/@38.5714,-7.9086,17z","📍 Centro Histórico de Évora")</f>
        <v>📍 Centro Histórico de Évora</v>
      </c>
      <c r="O19" s="302" t="s">
        <v>1414</v>
      </c>
    </row>
    <row r="20" spans="1:15" ht="110" customHeight="1" x14ac:dyDescent="0.35">
      <c r="A20" s="12" t="s">
        <v>1415</v>
      </c>
      <c r="B20" s="13" t="s">
        <v>1416</v>
      </c>
      <c r="C20" s="12" t="s">
        <v>913</v>
      </c>
      <c r="D20" s="12" t="s">
        <v>1388</v>
      </c>
      <c r="E20" s="13" t="s">
        <v>1417</v>
      </c>
      <c r="F20" s="12" t="s">
        <v>1418</v>
      </c>
      <c r="G20" s="47" t="str">
        <f>HYPERLINK("https://www.parquesdesintra.pt","parquesdesintra.pt")</f>
        <v>parquesdesintra.pt</v>
      </c>
      <c r="H20" s="327" t="s">
        <v>1419</v>
      </c>
      <c r="I20" s="12" t="s">
        <v>1392</v>
      </c>
      <c r="J20" s="12" t="s">
        <v>1393</v>
      </c>
      <c r="K20" s="12">
        <v>148</v>
      </c>
      <c r="L20" s="12" t="s">
        <v>1338</v>
      </c>
      <c r="M20" s="87" t="str">
        <f>HYPERLINK("https://www.google.com/maps/search/Pal%C3%A1cio%20Nacional%20de%20Sintra%20Monumentos%20e%20Patrim%C3%B3nio%20Portugal/@38.7976,-9.3903,17z","📍 Palácio Nacional de Sintra")</f>
        <v>📍 Palácio Nacional de Sintra</v>
      </c>
      <c r="O20" s="302" t="s">
        <v>1420</v>
      </c>
    </row>
    <row r="21" spans="1:15" ht="110" customHeight="1" x14ac:dyDescent="0.35">
      <c r="A21" s="18" t="s">
        <v>1421</v>
      </c>
      <c r="B21" s="19" t="s">
        <v>1422</v>
      </c>
      <c r="C21" s="18" t="s">
        <v>792</v>
      </c>
      <c r="D21" s="18" t="s">
        <v>1388</v>
      </c>
      <c r="E21" s="19" t="s">
        <v>1423</v>
      </c>
      <c r="F21" s="18" t="s">
        <v>1424</v>
      </c>
      <c r="G21" s="45" t="str">
        <f>HYPERLINK("https://www.palaciodavilanova.pt","palaciodavilanova.pt")</f>
        <v>palaciodavilanova.pt</v>
      </c>
      <c r="H21" s="325" t="s">
        <v>1425</v>
      </c>
      <c r="I21" s="18" t="s">
        <v>1392</v>
      </c>
      <c r="J21" s="18" t="s">
        <v>1393</v>
      </c>
      <c r="K21" s="18">
        <v>157</v>
      </c>
      <c r="L21" s="18" t="s">
        <v>1338</v>
      </c>
      <c r="M21" s="85" t="str">
        <f>HYPERLINK("https://www.google.com/maps/search/Castelo%20de%20Guimar%C3%A3es%20Monumentos%20e%20Patrim%C3%B3nio%20Portugal/@41.4437,-8.294,17z","📍 Castelo de Guimarães")</f>
        <v>📍 Castelo de Guimarães</v>
      </c>
      <c r="O21" s="302" t="s">
        <v>1426</v>
      </c>
    </row>
    <row r="22" spans="1:15" ht="110" customHeight="1" x14ac:dyDescent="0.35">
      <c r="A22" s="10" t="s">
        <v>1427</v>
      </c>
      <c r="B22" s="11" t="s">
        <v>1428</v>
      </c>
      <c r="C22" s="10" t="s">
        <v>836</v>
      </c>
      <c r="D22" s="10" t="s">
        <v>1388</v>
      </c>
      <c r="E22" s="11" t="s">
        <v>1423</v>
      </c>
      <c r="F22" s="10" t="s">
        <v>1429</v>
      </c>
      <c r="G22" s="10"/>
      <c r="H22" s="11" t="s">
        <v>1430</v>
      </c>
      <c r="I22" s="10" t="s">
        <v>1392</v>
      </c>
      <c r="J22" s="10" t="s">
        <v>1393</v>
      </c>
      <c r="K22" s="10">
        <v>137</v>
      </c>
      <c r="L22" s="10" t="s">
        <v>1338</v>
      </c>
      <c r="M22" s="86" t="str">
        <f>HYPERLINK("https://www.google.com/maps/search/Castelo%20de%20Almourol%20Monumentos%20e%20Patrim%C3%B3nio%20Portugal/@39.4567,-8.3858,17z","📍 Castelo de Almourol")</f>
        <v>📍 Castelo de Almourol</v>
      </c>
      <c r="O22" s="302" t="s">
        <v>1431</v>
      </c>
    </row>
    <row r="23" spans="1:15" ht="110" customHeight="1" x14ac:dyDescent="0.35">
      <c r="A23" s="14" t="s">
        <v>1432</v>
      </c>
      <c r="B23" s="15" t="s">
        <v>1433</v>
      </c>
      <c r="C23" s="14" t="s">
        <v>853</v>
      </c>
      <c r="D23" s="14" t="s">
        <v>1388</v>
      </c>
      <c r="E23" s="15" t="s">
        <v>1423</v>
      </c>
      <c r="F23" s="14" t="s">
        <v>1434</v>
      </c>
      <c r="G23" s="14"/>
      <c r="H23" s="328" t="s">
        <v>1435</v>
      </c>
      <c r="I23" s="14" t="s">
        <v>1392</v>
      </c>
      <c r="J23" s="14" t="s">
        <v>1393</v>
      </c>
      <c r="K23" s="14">
        <v>171</v>
      </c>
      <c r="L23" s="14" t="s">
        <v>1338</v>
      </c>
      <c r="M23" s="88" t="str">
        <f>HYPERLINK("https://www.google.com/maps/search/Castelo%20de%20Marv%C3%A3o%20Monumentos%20e%20Patrim%C3%B3nio%20Portugal/@39.3953,-7.3706,17z","📍 Castelo de Marvão")</f>
        <v>📍 Castelo de Marvão</v>
      </c>
      <c r="O23" s="302" t="s">
        <v>1436</v>
      </c>
    </row>
    <row r="24" spans="1:15" ht="110" customHeight="1" x14ac:dyDescent="0.35">
      <c r="A24" s="10" t="s">
        <v>1437</v>
      </c>
      <c r="B24" s="11" t="s">
        <v>1438</v>
      </c>
      <c r="C24" s="10" t="s">
        <v>836</v>
      </c>
      <c r="D24" s="10" t="s">
        <v>1439</v>
      </c>
      <c r="E24" s="11" t="s">
        <v>1440</v>
      </c>
      <c r="F24" s="10" t="s">
        <v>1441</v>
      </c>
      <c r="G24" s="10"/>
      <c r="H24" s="326" t="s">
        <v>1442</v>
      </c>
      <c r="I24" s="10" t="s">
        <v>1392</v>
      </c>
      <c r="J24" s="10" t="s">
        <v>1443</v>
      </c>
      <c r="K24" s="10">
        <v>175</v>
      </c>
      <c r="L24" s="10" t="s">
        <v>1338</v>
      </c>
      <c r="M24" s="86" t="str">
        <f>HYPERLINK("https://www.google.com/maps/search/Aldeia%20Hist%C3%B3rica%20de%20Monsanto%20Aldeias%20Hist%C3%B3ricas%20Portugal/@40.0393,-7.1142,17z","📍 Aldeia Histórica de Monsanto")</f>
        <v>📍 Aldeia Histórica de Monsanto</v>
      </c>
      <c r="O24" s="302" t="s">
        <v>1444</v>
      </c>
    </row>
    <row r="25" spans="1:15" ht="110" customHeight="1" x14ac:dyDescent="0.35">
      <c r="A25" s="10" t="s">
        <v>1445</v>
      </c>
      <c r="B25" s="11" t="s">
        <v>1446</v>
      </c>
      <c r="C25" s="10" t="s">
        <v>836</v>
      </c>
      <c r="D25" s="10" t="s">
        <v>1439</v>
      </c>
      <c r="E25" s="11" t="s">
        <v>1440</v>
      </c>
      <c r="F25" s="10" t="s">
        <v>1447</v>
      </c>
      <c r="G25" s="10"/>
      <c r="H25" s="326" t="s">
        <v>1448</v>
      </c>
      <c r="I25" s="10" t="s">
        <v>1392</v>
      </c>
      <c r="J25" s="10" t="s">
        <v>1443</v>
      </c>
      <c r="K25" s="10">
        <v>120</v>
      </c>
      <c r="L25" s="10" t="s">
        <v>1338</v>
      </c>
      <c r="M25" s="86" t="str">
        <f>HYPERLINK("https://www.google.com/maps/search/Aldeia%20Hist%C3%B3rica%20de%20Pi%C3%B3d%C3%A3o%20Aldeias%20Hist%C3%B3ricas%20Portugal/@40.2364,-7.9447,17z","📍 Aldeia Histórica de Piódão")</f>
        <v>📍 Aldeia Histórica de Piódão</v>
      </c>
      <c r="O25" s="302" t="s">
        <v>1449</v>
      </c>
    </row>
    <row r="26" spans="1:15" ht="110" customHeight="1" x14ac:dyDescent="0.35">
      <c r="A26" s="10" t="s">
        <v>1450</v>
      </c>
      <c r="B26" s="11" t="s">
        <v>1451</v>
      </c>
      <c r="C26" s="10" t="s">
        <v>836</v>
      </c>
      <c r="D26" s="10" t="s">
        <v>1439</v>
      </c>
      <c r="E26" s="11" t="s">
        <v>1440</v>
      </c>
      <c r="F26" s="10" t="s">
        <v>1452</v>
      </c>
      <c r="G26" s="10"/>
      <c r="H26" s="326" t="s">
        <v>1453</v>
      </c>
      <c r="I26" s="10" t="s">
        <v>1392</v>
      </c>
      <c r="J26" s="10" t="s">
        <v>1443</v>
      </c>
      <c r="K26" s="10">
        <v>168</v>
      </c>
      <c r="L26" s="10" t="s">
        <v>1338</v>
      </c>
      <c r="M26" s="86" t="str">
        <f>HYPERLINK("https://www.google.com/maps/search/Aldeia%20Hist%C3%B3rica%20de%20Sortelha%20Aldeias%20Hist%C3%B3ricas%20Portugal/@40.3386,-7.1581,17z","📍 Aldeia Histórica de Sortelha")</f>
        <v>📍 Aldeia Histórica de Sortelha</v>
      </c>
      <c r="O26" s="302" t="s">
        <v>1454</v>
      </c>
    </row>
    <row r="27" spans="1:15" ht="110" customHeight="1" x14ac:dyDescent="0.35">
      <c r="A27" s="18" t="s">
        <v>1455</v>
      </c>
      <c r="B27" s="19" t="s">
        <v>1456</v>
      </c>
      <c r="C27" s="18" t="s">
        <v>792</v>
      </c>
      <c r="D27" s="18" t="s">
        <v>1457</v>
      </c>
      <c r="E27" s="19" t="s">
        <v>1457</v>
      </c>
      <c r="F27" s="18" t="s">
        <v>1458</v>
      </c>
      <c r="G27" s="45" t="str">
        <f>HYPERLINK("https://www.termasdechaves.com","termasdechaves.com")</f>
        <v>termasdechaves.com</v>
      </c>
      <c r="H27" s="325" t="s">
        <v>1459</v>
      </c>
      <c r="I27" s="18" t="s">
        <v>1392</v>
      </c>
      <c r="J27" s="18" t="s">
        <v>1460</v>
      </c>
      <c r="K27" s="18">
        <v>125</v>
      </c>
      <c r="L27" s="18" t="s">
        <v>1461</v>
      </c>
      <c r="M27" s="85" t="str">
        <f>HYPERLINK("https://www.google.com/maps/search/Termas%20de%20Chaves%20Portugal/@41.7383,-7.4693,17z","📍 Termas de Chaves")</f>
        <v>📍 Termas de Chaves</v>
      </c>
      <c r="O27" s="302" t="s">
        <v>1462</v>
      </c>
    </row>
    <row r="28" spans="1:15" ht="110" customHeight="1" x14ac:dyDescent="0.35">
      <c r="A28" s="12" t="s">
        <v>1463</v>
      </c>
      <c r="B28" s="13" t="s">
        <v>1464</v>
      </c>
      <c r="C28" s="12" t="s">
        <v>913</v>
      </c>
      <c r="D28" s="12" t="s">
        <v>1457</v>
      </c>
      <c r="E28" s="13" t="s">
        <v>1457</v>
      </c>
      <c r="F28" s="12" t="s">
        <v>1465</v>
      </c>
      <c r="G28" s="47" t="str">
        <f>HYPERLINK("https://www.termasdoestoril.pt","termasdoestoril.pt")</f>
        <v>termasdoestoril.pt</v>
      </c>
      <c r="H28" s="327" t="s">
        <v>1466</v>
      </c>
      <c r="I28" s="12" t="s">
        <v>1392</v>
      </c>
      <c r="J28" s="12" t="s">
        <v>1460</v>
      </c>
      <c r="K28" s="12">
        <v>174</v>
      </c>
      <c r="L28" s="12" t="s">
        <v>1338</v>
      </c>
      <c r="M28" s="87" t="str">
        <f>HYPERLINK("https://www.google.com/maps/search/Termas%20do%20Estoril%20Portugal/@38.7073,-9.3947,17z","📍 Termas do Estoril")</f>
        <v>📍 Termas do Estoril</v>
      </c>
      <c r="O28" s="302" t="s">
        <v>1467</v>
      </c>
    </row>
    <row r="29" spans="1:15" ht="110" customHeight="1" x14ac:dyDescent="0.35">
      <c r="A29" s="18" t="s">
        <v>1468</v>
      </c>
      <c r="B29" s="19" t="s">
        <v>1469</v>
      </c>
      <c r="C29" s="18" t="s">
        <v>792</v>
      </c>
      <c r="D29" s="18" t="s">
        <v>1101</v>
      </c>
      <c r="E29" s="19" t="s">
        <v>1470</v>
      </c>
      <c r="F29" s="18" t="s">
        <v>1471</v>
      </c>
      <c r="G29" s="18"/>
      <c r="H29" s="325" t="s">
        <v>1472</v>
      </c>
      <c r="I29" s="18" t="s">
        <v>1336</v>
      </c>
      <c r="J29" s="18" t="s">
        <v>1337</v>
      </c>
      <c r="K29" s="18">
        <v>112</v>
      </c>
      <c r="L29" s="18" t="s">
        <v>1338</v>
      </c>
      <c r="M29" s="85" t="str">
        <f>HYPERLINK("https://www.google.com/maps/search/Cascata%20do%20Arado%20Natureza%20Portugal/@41.7225,-8.1847,17z","📍 Cascata do Arado")</f>
        <v>📍 Cascata do Arado</v>
      </c>
      <c r="O29" s="302" t="s">
        <v>1473</v>
      </c>
    </row>
    <row r="30" spans="1:15" ht="110" customHeight="1" x14ac:dyDescent="0.35">
      <c r="A30" s="10" t="s">
        <v>1474</v>
      </c>
      <c r="B30" s="11" t="s">
        <v>1475</v>
      </c>
      <c r="C30" s="10" t="s">
        <v>836</v>
      </c>
      <c r="D30" s="10" t="s">
        <v>1101</v>
      </c>
      <c r="E30" s="11" t="s">
        <v>1470</v>
      </c>
      <c r="F30" s="10" t="s">
        <v>1476</v>
      </c>
      <c r="G30" s="10"/>
      <c r="H30" s="326" t="s">
        <v>1477</v>
      </c>
      <c r="I30" s="10" t="s">
        <v>1336</v>
      </c>
      <c r="J30" s="10" t="s">
        <v>1337</v>
      </c>
      <c r="K30" s="10">
        <v>128</v>
      </c>
      <c r="L30" s="10" t="s">
        <v>1338</v>
      </c>
      <c r="M30" s="86" t="str">
        <f>HYPERLINK("https://www.google.com/maps/search/Fraga%20da%20Pena%20Natureza%20Portugal/@40.2528,-7.9528,17z","📍 Fraga da Pena")</f>
        <v>📍 Fraga da Pena</v>
      </c>
      <c r="O30" s="302" t="s">
        <v>1478</v>
      </c>
    </row>
    <row r="31" spans="1:15" ht="110" customHeight="1" x14ac:dyDescent="0.35">
      <c r="A31" s="12" t="s">
        <v>1479</v>
      </c>
      <c r="B31" s="13" t="s">
        <v>1480</v>
      </c>
      <c r="C31" s="12" t="s">
        <v>913</v>
      </c>
      <c r="D31" s="12" t="s">
        <v>1481</v>
      </c>
      <c r="E31" s="13" t="s">
        <v>1482</v>
      </c>
      <c r="F31" s="12" t="s">
        <v>1483</v>
      </c>
      <c r="G31" s="12"/>
      <c r="H31" s="327" t="s">
        <v>1484</v>
      </c>
      <c r="I31" s="12" t="s">
        <v>1485</v>
      </c>
      <c r="J31" s="12" t="s">
        <v>1486</v>
      </c>
      <c r="K31" s="12">
        <v>76</v>
      </c>
      <c r="L31" s="12" t="s">
        <v>1338</v>
      </c>
      <c r="M31" s="87" t="str">
        <f>HYPERLINK("https://www.google.com/maps/search/Praia%20Fluvial%20de%20Monsanto%20Rios%20e%20Ribeiras%20Portugal/@38.7193,-9.2014,17z","📍 Praia Fluvial de Monsanto")</f>
        <v>📍 Praia Fluvial de Monsanto</v>
      </c>
      <c r="O31" s="302" t="s">
        <v>1487</v>
      </c>
    </row>
    <row r="32" spans="1:15" ht="110" customHeight="1" x14ac:dyDescent="0.35">
      <c r="A32" s="10" t="s">
        <v>1488</v>
      </c>
      <c r="B32" s="11" t="s">
        <v>1489</v>
      </c>
      <c r="C32" s="10" t="s">
        <v>836</v>
      </c>
      <c r="D32" s="10" t="s">
        <v>1481</v>
      </c>
      <c r="E32" s="11" t="s">
        <v>1482</v>
      </c>
      <c r="F32" s="10" t="s">
        <v>1490</v>
      </c>
      <c r="G32" s="10"/>
      <c r="H32" s="326" t="s">
        <v>1491</v>
      </c>
      <c r="I32" s="10" t="s">
        <v>1485</v>
      </c>
      <c r="J32" s="10" t="s">
        <v>1486</v>
      </c>
      <c r="K32" s="10">
        <v>62</v>
      </c>
      <c r="L32" s="10" t="s">
        <v>1338</v>
      </c>
      <c r="M32" s="86" t="str">
        <f>HYPERLINK("https://www.google.com/maps/search/Praia%20Fluvial%20do%20Peneireiro%20Rios%20e%20Ribeiras%20Portugal/@40.2608,-8.2769,17z","📍 Praia Fluvial do Peneireiro")</f>
        <v>📍 Praia Fluvial do Peneireiro</v>
      </c>
      <c r="O32" s="302" t="s">
        <v>1492</v>
      </c>
    </row>
    <row r="33" spans="1:15" ht="110" customHeight="1" x14ac:dyDescent="0.35">
      <c r="A33" s="12" t="s">
        <v>1493</v>
      </c>
      <c r="B33" s="13" t="s">
        <v>1494</v>
      </c>
      <c r="C33" s="12" t="s">
        <v>913</v>
      </c>
      <c r="D33" s="12" t="s">
        <v>1495</v>
      </c>
      <c r="E33" s="13" t="s">
        <v>1496</v>
      </c>
      <c r="F33" s="12" t="s">
        <v>1418</v>
      </c>
      <c r="G33" s="12"/>
      <c r="H33" s="327" t="s">
        <v>1497</v>
      </c>
      <c r="I33" s="12" t="s">
        <v>1392</v>
      </c>
      <c r="J33" s="12" t="s">
        <v>1498</v>
      </c>
      <c r="K33" s="12">
        <v>166</v>
      </c>
      <c r="L33" s="12" t="s">
        <v>1338</v>
      </c>
      <c r="M33" s="87" t="str">
        <f>HYPERLINK("https://www.google.com/maps/search/Azenhas%20do%20Mar%20Patrim%C3%B3nio%20Portugal/@38.8638,-9.4641,17z","📍 Azenhas do Mar")</f>
        <v>📍 Azenhas do Mar</v>
      </c>
      <c r="O33" s="302" t="s">
        <v>1499</v>
      </c>
    </row>
    <row r="34" spans="1:15" ht="110" customHeight="1" x14ac:dyDescent="0.35">
      <c r="A34" s="12" t="s">
        <v>1500</v>
      </c>
      <c r="B34" s="13" t="s">
        <v>1501</v>
      </c>
      <c r="C34" s="12" t="s">
        <v>913</v>
      </c>
      <c r="D34" s="12" t="s">
        <v>1495</v>
      </c>
      <c r="E34" s="13" t="s">
        <v>1496</v>
      </c>
      <c r="F34" s="12" t="s">
        <v>1502</v>
      </c>
      <c r="G34" s="12"/>
      <c r="H34" s="327" t="s">
        <v>1503</v>
      </c>
      <c r="I34" s="12" t="s">
        <v>1392</v>
      </c>
      <c r="J34" s="12" t="s">
        <v>1498</v>
      </c>
      <c r="K34" s="12">
        <v>149</v>
      </c>
      <c r="L34" s="12" t="s">
        <v>1338</v>
      </c>
      <c r="M34" s="87" t="str">
        <f>HYPERLINK("https://www.google.com/maps/search/Moinho%20de%20Vento%20do%20Forno%20do%20Telha%20Patrim%C3%B3nio%20Portugal/@38.7011,-8.9726,17z","📍 Moinho de Vento do Forno do…")</f>
        <v>📍 Moinho de Vento do Forno do…</v>
      </c>
      <c r="O34" s="302" t="s">
        <v>1504</v>
      </c>
    </row>
    <row r="35" spans="1:15" ht="110" customHeight="1" x14ac:dyDescent="0.35">
      <c r="A35" s="12" t="s">
        <v>1505</v>
      </c>
      <c r="B35" s="13" t="s">
        <v>1506</v>
      </c>
      <c r="C35" s="12" t="s">
        <v>913</v>
      </c>
      <c r="D35" s="12" t="s">
        <v>1507</v>
      </c>
      <c r="E35" s="13" t="s">
        <v>1508</v>
      </c>
      <c r="F35" s="12" t="s">
        <v>1509</v>
      </c>
      <c r="G35" s="47" t="str">
        <f>HYPERLINK("https://www.jf-olivais.pt","jf-olivais.pt")</f>
        <v>jf-olivais.pt</v>
      </c>
      <c r="H35" s="327" t="s">
        <v>1510</v>
      </c>
      <c r="I35" s="12" t="s">
        <v>1485</v>
      </c>
      <c r="J35" s="12" t="s">
        <v>1511</v>
      </c>
      <c r="K35" s="12">
        <v>94</v>
      </c>
      <c r="L35" s="12" t="s">
        <v>1338</v>
      </c>
      <c r="M35" s="87" t="str">
        <f>HYPERLINK("https://www.google.com/maps/search/Quinta%20Pedag%C3%B3gica%20dos%20Olivais%20Turismo%20Rural%20Portugal/@38.76,-9.11,17z","📍 Quinta Pedagógica dos Olivais")</f>
        <v>📍 Quinta Pedagógica dos Olivais</v>
      </c>
      <c r="O35" s="302" t="s">
        <v>1512</v>
      </c>
    </row>
    <row r="36" spans="1:15" ht="110" customHeight="1" x14ac:dyDescent="0.35">
      <c r="A36" s="12" t="s">
        <v>1513</v>
      </c>
      <c r="B36" s="13" t="s">
        <v>1514</v>
      </c>
      <c r="C36" s="12" t="s">
        <v>913</v>
      </c>
      <c r="D36" s="12" t="s">
        <v>1515</v>
      </c>
      <c r="E36" s="13" t="s">
        <v>1516</v>
      </c>
      <c r="F36" s="12" t="s">
        <v>1517</v>
      </c>
      <c r="G36" s="12"/>
      <c r="H36" s="327" t="s">
        <v>1518</v>
      </c>
      <c r="I36" s="12" t="s">
        <v>1336</v>
      </c>
      <c r="J36" s="12" t="s">
        <v>1519</v>
      </c>
      <c r="K36" s="12">
        <v>114</v>
      </c>
      <c r="L36" s="12" t="s">
        <v>1338</v>
      </c>
      <c r="M36" s="87" t="str">
        <f>HYPERLINK("https://www.google.com/maps/search/Peninha%20-%20Lenda%20da%20Moura%20Encantada%20Lendas%20e%20Mitos%20Portugal/@38.7833,-9.4333,17z","📍 Peninha - Lenda da Moura En…")</f>
        <v>📍 Peninha - Lenda da Moura En…</v>
      </c>
      <c r="O36" s="302" t="s">
        <v>1520</v>
      </c>
    </row>
    <row r="37" spans="1:15" ht="110" customHeight="1" x14ac:dyDescent="0.35">
      <c r="A37" s="10" t="s">
        <v>1521</v>
      </c>
      <c r="B37" s="11" t="s">
        <v>1522</v>
      </c>
      <c r="C37" s="10" t="s">
        <v>836</v>
      </c>
      <c r="D37" s="10" t="s">
        <v>1523</v>
      </c>
      <c r="E37" s="11" t="s">
        <v>1524</v>
      </c>
      <c r="F37" s="10" t="s">
        <v>1525</v>
      </c>
      <c r="G37" s="46" t="str">
        <f>HYPERLINK("https://www.aldeiasdoxisto.pt","aldeiasdoxisto.pt")</f>
        <v>aldeiasdoxisto.pt</v>
      </c>
      <c r="H37" s="326" t="s">
        <v>1526</v>
      </c>
      <c r="I37" s="10" t="s">
        <v>1527</v>
      </c>
      <c r="J37" s="10" t="s">
        <v>1528</v>
      </c>
      <c r="K37" s="10">
        <v>185</v>
      </c>
      <c r="L37" s="10" t="s">
        <v>1338</v>
      </c>
      <c r="M37" s="86" t="str">
        <f>HYPERLINK("https://www.google.com/maps/search/Dark%20Sky%20Aldeias%20do%20Xisto%20Astronomia%20Portugal/@39.9333,-7.9167,17z","📍 Dark Sky Aldeias do Xisto")</f>
        <v>📍 Dark Sky Aldeias do Xisto</v>
      </c>
      <c r="O37" s="302" t="s">
        <v>1529</v>
      </c>
    </row>
    <row r="38" spans="1:15" ht="110" customHeight="1" x14ac:dyDescent="0.35">
      <c r="A38" s="12" t="s">
        <v>1530</v>
      </c>
      <c r="B38" s="13" t="s">
        <v>1531</v>
      </c>
      <c r="C38" s="12" t="s">
        <v>913</v>
      </c>
      <c r="D38" s="12" t="s">
        <v>1523</v>
      </c>
      <c r="E38" s="13" t="s">
        <v>1532</v>
      </c>
      <c r="F38" s="12" t="s">
        <v>1533</v>
      </c>
      <c r="G38" s="47" t="str">
        <f>HYPERLINK("https://www.oal.ul.pt","oal.ul.pt")</f>
        <v>oal.ul.pt</v>
      </c>
      <c r="H38" s="327" t="s">
        <v>1534</v>
      </c>
      <c r="I38" s="12" t="s">
        <v>1527</v>
      </c>
      <c r="J38" s="12" t="s">
        <v>1528</v>
      </c>
      <c r="K38" s="12">
        <v>215</v>
      </c>
      <c r="L38" s="12" t="s">
        <v>1338</v>
      </c>
      <c r="M38" s="87" t="str">
        <f>HYPERLINK("https://www.google.com/maps/search/Observat%C3%B3rio%20Astron%C3%B3mico%20de%20Lisboa%20Astronomia%20Portugal/@38.7072,-9.1952,17z","📍 Observatório Astronómico de…")</f>
        <v>📍 Observatório Astronómico de…</v>
      </c>
      <c r="O38" s="302" t="s">
        <v>1535</v>
      </c>
    </row>
    <row r="39" spans="1:15" ht="110" customHeight="1" x14ac:dyDescent="0.35">
      <c r="A39" s="18" t="s">
        <v>1536</v>
      </c>
      <c r="B39" s="19" t="s">
        <v>1537</v>
      </c>
      <c r="C39" s="18" t="s">
        <v>792</v>
      </c>
      <c r="D39" s="18" t="s">
        <v>1101</v>
      </c>
      <c r="E39" s="19" t="s">
        <v>1538</v>
      </c>
      <c r="F39" s="18" t="s">
        <v>1539</v>
      </c>
      <c r="G39" s="18"/>
      <c r="H39" s="325" t="s">
        <v>1540</v>
      </c>
      <c r="I39" s="18" t="s">
        <v>1336</v>
      </c>
      <c r="J39" s="18" t="s">
        <v>1337</v>
      </c>
      <c r="K39" s="18">
        <v>129</v>
      </c>
      <c r="L39" s="18" t="s">
        <v>1338</v>
      </c>
      <c r="M39" s="85" t="str">
        <f>HYPERLINK("https://www.google.com/maps/search/Serra%20de%20Montemuro%20-%20Cogumelos%20Natureza%20Portugal/@40.9667,-7.95,17z","📍 Serra de Montemuro - Cogume…")</f>
        <v>📍 Serra de Montemuro - Cogume…</v>
      </c>
      <c r="O39" s="302" t="s">
        <v>1541</v>
      </c>
    </row>
    <row r="40" spans="1:15" ht="110" customHeight="1" x14ac:dyDescent="0.35">
      <c r="A40" s="10" t="s">
        <v>1542</v>
      </c>
      <c r="B40" s="11" t="s">
        <v>1543</v>
      </c>
      <c r="C40" s="10" t="s">
        <v>836</v>
      </c>
      <c r="D40" s="10" t="s">
        <v>1544</v>
      </c>
      <c r="E40" s="11" t="s">
        <v>1545</v>
      </c>
      <c r="F40" s="10" t="s">
        <v>1546</v>
      </c>
      <c r="G40" s="46" t="str">
        <f>HYPERLINK("https://www.fatima.pt","fatima.pt")</f>
        <v>fatima.pt</v>
      </c>
      <c r="H40" s="326" t="s">
        <v>1547</v>
      </c>
      <c r="I40" s="10" t="s">
        <v>1336</v>
      </c>
      <c r="J40" s="10" t="s">
        <v>1548</v>
      </c>
      <c r="K40" s="10">
        <v>102</v>
      </c>
      <c r="L40" s="10" t="s">
        <v>1338</v>
      </c>
      <c r="M40" s="86" t="str">
        <f>HYPERLINK("https://www.google.com/maps/search/Santu%C3%A1rio%20de%20F%C3%A1tima%20Turismo%20Religioso%20Portugal/@39.6327,-8.6733,17z","📍 Santuário de Fátima")</f>
        <v>📍 Santuário de Fátima</v>
      </c>
      <c r="O40" s="302" t="s">
        <v>1549</v>
      </c>
    </row>
    <row r="41" spans="1:15" ht="110" customHeight="1" x14ac:dyDescent="0.35">
      <c r="A41" s="18" t="s">
        <v>1550</v>
      </c>
      <c r="B41" s="19" t="s">
        <v>1551</v>
      </c>
      <c r="C41" s="18" t="s">
        <v>792</v>
      </c>
      <c r="D41" s="18" t="s">
        <v>1544</v>
      </c>
      <c r="E41" s="19" t="s">
        <v>1545</v>
      </c>
      <c r="F41" s="18" t="s">
        <v>1552</v>
      </c>
      <c r="G41" s="45" t="str">
        <f>HYPERLINK("https://www.bomjesus.pt","bomjesus.pt")</f>
        <v>bomjesus.pt</v>
      </c>
      <c r="H41" s="325" t="s">
        <v>1553</v>
      </c>
      <c r="I41" s="18" t="s">
        <v>1336</v>
      </c>
      <c r="J41" s="18" t="s">
        <v>1548</v>
      </c>
      <c r="K41" s="18">
        <v>135</v>
      </c>
      <c r="L41" s="18" t="s">
        <v>1338</v>
      </c>
      <c r="M41" s="85" t="str">
        <f>HYPERLINK("https://www.google.com/maps/search/Bom%20Jesus%20do%20Monte%20Turismo%20Religioso%20Portugal/@41.5514,-8.3864,17z","📍 Bom Jesus do Monte")</f>
        <v>📍 Bom Jesus do Monte</v>
      </c>
      <c r="O41" s="302" t="s">
        <v>1554</v>
      </c>
    </row>
    <row r="42" spans="1:15" ht="110" customHeight="1" x14ac:dyDescent="0.35">
      <c r="A42" s="10" t="s">
        <v>1555</v>
      </c>
      <c r="B42" s="11" t="s">
        <v>1556</v>
      </c>
      <c r="C42" s="10" t="s">
        <v>836</v>
      </c>
      <c r="D42" s="10" t="s">
        <v>1515</v>
      </c>
      <c r="E42" s="11" t="s">
        <v>1516</v>
      </c>
      <c r="F42" s="10" t="s">
        <v>1557</v>
      </c>
      <c r="G42" s="10"/>
      <c r="H42" s="326" t="s">
        <v>1558</v>
      </c>
      <c r="I42" s="10" t="s">
        <v>1336</v>
      </c>
      <c r="J42" s="10" t="s">
        <v>1519</v>
      </c>
      <c r="K42" s="10">
        <v>120</v>
      </c>
      <c r="L42" s="10" t="s">
        <v>1338</v>
      </c>
      <c r="M42" s="86" t="str">
        <f>HYPERLINK("https://www.google.com/maps/search/Moura%20Encantada%20do%20Castelo%20de%20Leiria%20Lendas%20e%20Mitos%20Portugal/@39.7436,-8.8071,17z","📍 Moura Encantada do Castelo …")</f>
        <v>📍 Moura Encantada do Castelo …</v>
      </c>
      <c r="O42" s="302" t="s">
        <v>1559</v>
      </c>
    </row>
    <row r="43" spans="1:15" ht="110" customHeight="1" x14ac:dyDescent="0.35">
      <c r="A43" s="20" t="s">
        <v>1560</v>
      </c>
      <c r="B43" s="21" t="s">
        <v>886</v>
      </c>
      <c r="C43" s="20" t="s">
        <v>522</v>
      </c>
      <c r="D43" s="20" t="s">
        <v>1515</v>
      </c>
      <c r="E43" s="21" t="s">
        <v>1516</v>
      </c>
      <c r="F43" s="20" t="s">
        <v>1561</v>
      </c>
      <c r="G43" s="20"/>
      <c r="H43" s="329" t="s">
        <v>1562</v>
      </c>
      <c r="I43" s="20" t="s">
        <v>1336</v>
      </c>
      <c r="J43" s="20" t="s">
        <v>1519</v>
      </c>
      <c r="K43" s="20">
        <v>125</v>
      </c>
      <c r="L43" s="20" t="s">
        <v>1338</v>
      </c>
      <c r="M43" s="90" t="str">
        <f>HYPERLINK("https://www.google.com/maps/search/Lagoa%20das%20Sete%20Cidades%20Lendas%20e%20Mitos%20Portugal/@37.8571,-25.7887,17z","📍 Lagoa das Sete Cidades")</f>
        <v>📍 Lagoa das Sete Cidades</v>
      </c>
      <c r="O43" s="302" t="s">
        <v>890</v>
      </c>
    </row>
    <row r="44" spans="1:15" ht="110" customHeight="1" x14ac:dyDescent="0.35">
      <c r="A44" s="12" t="s">
        <v>1563</v>
      </c>
      <c r="B44" s="13" t="s">
        <v>1564</v>
      </c>
      <c r="C44" s="12" t="s">
        <v>913</v>
      </c>
      <c r="D44" s="12" t="s">
        <v>1515</v>
      </c>
      <c r="E44" s="13" t="s">
        <v>1516</v>
      </c>
      <c r="F44" s="12" t="s">
        <v>1565</v>
      </c>
      <c r="G44" s="12"/>
      <c r="H44" s="327" t="s">
        <v>1566</v>
      </c>
      <c r="I44" s="12" t="s">
        <v>1336</v>
      </c>
      <c r="J44" s="12" t="s">
        <v>1519</v>
      </c>
      <c r="K44" s="12">
        <v>100</v>
      </c>
      <c r="L44" s="12" t="s">
        <v>1338</v>
      </c>
      <c r="M44" s="87" t="str">
        <f>HYPERLINK("https://www.google.com/maps/search/Gigante%20Adamastor%20/%20Cabo%20da%20Roca%20Lendas%20e%20Mitos%20Portugal/@38.7803,-9.4989,17z","📍 Gigante Adamastor / Cabo da…")</f>
        <v>📍 Gigante Adamastor / Cabo da…</v>
      </c>
      <c r="O44" s="302" t="s">
        <v>1567</v>
      </c>
    </row>
    <row r="45" spans="1:15" ht="110" customHeight="1" x14ac:dyDescent="0.35">
      <c r="A45" s="18" t="s">
        <v>1568</v>
      </c>
      <c r="B45" s="19" t="s">
        <v>1569</v>
      </c>
      <c r="C45" s="18" t="s">
        <v>792</v>
      </c>
      <c r="D45" s="18" t="s">
        <v>1515</v>
      </c>
      <c r="E45" s="19" t="s">
        <v>1516</v>
      </c>
      <c r="F45" s="18" t="s">
        <v>1570</v>
      </c>
      <c r="G45" s="18"/>
      <c r="H45" s="325" t="s">
        <v>1571</v>
      </c>
      <c r="I45" s="18" t="s">
        <v>1336</v>
      </c>
      <c r="J45" s="18" t="s">
        <v>1519</v>
      </c>
      <c r="K45" s="18">
        <v>106</v>
      </c>
      <c r="L45" s="18" t="s">
        <v>1338</v>
      </c>
      <c r="M45" s="85" t="str">
        <f>HYPERLINK("https://www.google.com/maps/search/Moura%20do%20Santu%C3%A1rio%20da%20Peneda%20Lendas%20e%20Mitos%20Portugal/@41.8844,-8.2653,17z","📍 Moura do Santuário da Peneda")</f>
        <v>📍 Moura do Santuário da Peneda</v>
      </c>
      <c r="O45" s="302" t="s">
        <v>1572</v>
      </c>
    </row>
    <row r="46" spans="1:15" ht="110" customHeight="1" x14ac:dyDescent="0.35">
      <c r="A46" s="10" t="s">
        <v>1573</v>
      </c>
      <c r="B46" s="11" t="s">
        <v>1574</v>
      </c>
      <c r="C46" s="10" t="s">
        <v>836</v>
      </c>
      <c r="D46" s="10" t="s">
        <v>1515</v>
      </c>
      <c r="E46" s="11" t="s">
        <v>1516</v>
      </c>
      <c r="F46" s="10" t="s">
        <v>1575</v>
      </c>
      <c r="G46" s="10"/>
      <c r="H46" s="326" t="s">
        <v>1576</v>
      </c>
      <c r="I46" s="10" t="s">
        <v>1336</v>
      </c>
      <c r="J46" s="10" t="s">
        <v>1519</v>
      </c>
      <c r="K46" s="10">
        <v>123</v>
      </c>
      <c r="L46" s="10" t="s">
        <v>1338</v>
      </c>
      <c r="M46" s="86" t="str">
        <f>HYPERLINK("https://www.google.com/maps/search/In%C3%AAs%20de%20Castro%20-%20Mosteiro%20de%20Alcoba%C3%A7a%20Lendas%20e%20Mitos%20Portugal/@39.5481,-8.9783,17z","📍 Inês de Castro - Mosteiro d…")</f>
        <v>📍 Inês de Castro - Mosteiro d…</v>
      </c>
      <c r="O46" s="302" t="s">
        <v>1577</v>
      </c>
    </row>
    <row r="47" spans="1:15" ht="110" customHeight="1" x14ac:dyDescent="0.35">
      <c r="A47" s="18" t="s">
        <v>1578</v>
      </c>
      <c r="B47" s="19" t="s">
        <v>1579</v>
      </c>
      <c r="C47" s="18" t="s">
        <v>792</v>
      </c>
      <c r="D47" s="18" t="s">
        <v>1515</v>
      </c>
      <c r="E47" s="19" t="s">
        <v>1516</v>
      </c>
      <c r="F47" s="18" t="s">
        <v>1580</v>
      </c>
      <c r="G47" s="18"/>
      <c r="H47" s="325" t="s">
        <v>1581</v>
      </c>
      <c r="I47" s="18" t="s">
        <v>1485</v>
      </c>
      <c r="J47" s="18" t="s">
        <v>1582</v>
      </c>
      <c r="K47" s="18">
        <v>92</v>
      </c>
      <c r="L47" s="18" t="s">
        <v>1461</v>
      </c>
      <c r="M47" s="85" t="str">
        <f>HYPERLINK("https://www.google.com/maps/search/Galo%20de%20Barcelos%20-%20Local%20da%20Lenda%20Lendas%20e%20Mitos%20Portugal/@41.5311,-8.6177,17z","📍 Galo de Barcelos - Local da…")</f>
        <v>📍 Galo de Barcelos - Local da…</v>
      </c>
      <c r="O47" s="302" t="s">
        <v>1583</v>
      </c>
    </row>
    <row r="48" spans="1:15" ht="110" customHeight="1" x14ac:dyDescent="0.35">
      <c r="A48" s="10" t="s">
        <v>1584</v>
      </c>
      <c r="B48" s="11" t="s">
        <v>1585</v>
      </c>
      <c r="C48" s="10" t="s">
        <v>836</v>
      </c>
      <c r="D48" s="10" t="s">
        <v>1515</v>
      </c>
      <c r="E48" s="11" t="s">
        <v>1516</v>
      </c>
      <c r="F48" s="10" t="s">
        <v>1586</v>
      </c>
      <c r="G48" s="10"/>
      <c r="H48" s="326" t="s">
        <v>1587</v>
      </c>
      <c r="I48" s="10" t="s">
        <v>1336</v>
      </c>
      <c r="J48" s="10" t="s">
        <v>1519</v>
      </c>
      <c r="K48" s="10">
        <v>117</v>
      </c>
      <c r="L48" s="10" t="s">
        <v>1338</v>
      </c>
      <c r="M48" s="86" t="str">
        <f>HYPERLINK("https://www.google.com/maps/search/Mouros%20do%20Castelo%20de%20Almourol%20Lendas%20e%20Mitos%20Portugal/@39.4611,-8.3858,17z","📍 Mouros do Castelo de Almourol")</f>
        <v>📍 Mouros do Castelo de Almourol</v>
      </c>
      <c r="O48" s="302" t="s">
        <v>1588</v>
      </c>
    </row>
    <row r="49" spans="1:15" ht="110" customHeight="1" x14ac:dyDescent="0.35">
      <c r="A49" s="10" t="s">
        <v>1589</v>
      </c>
      <c r="B49" s="11" t="s">
        <v>1590</v>
      </c>
      <c r="C49" s="10" t="s">
        <v>836</v>
      </c>
      <c r="D49" s="10" t="s">
        <v>1515</v>
      </c>
      <c r="E49" s="11" t="s">
        <v>1516</v>
      </c>
      <c r="F49" s="10" t="s">
        <v>1591</v>
      </c>
      <c r="G49" s="10"/>
      <c r="H49" s="326" t="s">
        <v>1592</v>
      </c>
      <c r="I49" s="10" t="s">
        <v>1336</v>
      </c>
      <c r="J49" s="10" t="s">
        <v>1519</v>
      </c>
      <c r="K49" s="10">
        <v>103</v>
      </c>
      <c r="L49" s="10" t="s">
        <v>1338</v>
      </c>
      <c r="M49" s="86" t="str">
        <f>HYPERLINK("https://www.google.com/maps/search/Sereia%20da%20Nazar%C3%A9%20Lendas%20e%20Mitos%20Portugal/@39.6011,-9.0709,17z","📍 Sereia da Nazaré")</f>
        <v>📍 Sereia da Nazaré</v>
      </c>
      <c r="O49" s="302" t="s">
        <v>1593</v>
      </c>
    </row>
    <row r="50" spans="1:15" ht="110" customHeight="1" x14ac:dyDescent="0.35">
      <c r="A50" s="12" t="s">
        <v>1594</v>
      </c>
      <c r="B50" s="13" t="s">
        <v>1595</v>
      </c>
      <c r="C50" s="12" t="s">
        <v>913</v>
      </c>
      <c r="D50" s="12" t="s">
        <v>1515</v>
      </c>
      <c r="E50" s="13" t="s">
        <v>1516</v>
      </c>
      <c r="F50" s="12" t="s">
        <v>1596</v>
      </c>
      <c r="G50" s="12"/>
      <c r="H50" s="327" t="s">
        <v>1597</v>
      </c>
      <c r="I50" s="12" t="s">
        <v>1336</v>
      </c>
      <c r="J50" s="12" t="s">
        <v>1519</v>
      </c>
      <c r="K50" s="12">
        <v>124</v>
      </c>
      <c r="L50" s="12" t="s">
        <v>1338</v>
      </c>
      <c r="M50" s="87" t="str">
        <f>HYPERLINK("https://www.google.com/maps/search/Sebastianismo%20-%20D.%20Sebasti%C3%A3o%20Lendas%20e%20Mitos%20Portugal/@39.6541,-8.8131,17z","📍 Sebastianismo - D. Sebastião")</f>
        <v>📍 Sebastianismo - D. Sebastião</v>
      </c>
      <c r="O50" s="302" t="s">
        <v>1598</v>
      </c>
    </row>
    <row r="51" spans="1:15" ht="110" customHeight="1" x14ac:dyDescent="0.35">
      <c r="A51" s="18" t="s">
        <v>1599</v>
      </c>
      <c r="B51" s="19" t="s">
        <v>1600</v>
      </c>
      <c r="C51" s="18" t="s">
        <v>792</v>
      </c>
      <c r="D51" s="18" t="s">
        <v>1515</v>
      </c>
      <c r="E51" s="19" t="s">
        <v>1516</v>
      </c>
      <c r="F51" s="18" t="s">
        <v>1601</v>
      </c>
      <c r="G51" s="18"/>
      <c r="H51" s="325" t="s">
        <v>1602</v>
      </c>
      <c r="I51" s="18" t="s">
        <v>1336</v>
      </c>
      <c r="J51" s="18" t="s">
        <v>1519</v>
      </c>
      <c r="K51" s="18">
        <v>134</v>
      </c>
      <c r="L51" s="18" t="s">
        <v>1338</v>
      </c>
      <c r="M51" s="85" t="str">
        <f>HYPERLINK("https://www.google.com/maps/search/Lobisomem%20de%20Tr%C3%A1s-os-Montes%20Lendas%20e%20Mitos%20Portugal/@41.8056,-6.7572,17z","📍 Lobisomem de Trás-os-Montes")</f>
        <v>📍 Lobisomem de Trás-os-Montes</v>
      </c>
      <c r="O51" s="302" t="s">
        <v>1603</v>
      </c>
    </row>
    <row r="52" spans="1:15" ht="110" customHeight="1" x14ac:dyDescent="0.35">
      <c r="A52" s="10" t="s">
        <v>1604</v>
      </c>
      <c r="B52" s="11" t="s">
        <v>1605</v>
      </c>
      <c r="C52" s="10" t="s">
        <v>836</v>
      </c>
      <c r="D52" s="10" t="s">
        <v>1515</v>
      </c>
      <c r="E52" s="11" t="s">
        <v>1516</v>
      </c>
      <c r="F52" s="10" t="s">
        <v>1606</v>
      </c>
      <c r="G52" s="10"/>
      <c r="H52" s="326" t="s">
        <v>1607</v>
      </c>
      <c r="I52" s="10" t="s">
        <v>1336</v>
      </c>
      <c r="J52" s="10" t="s">
        <v>1519</v>
      </c>
      <c r="K52" s="10">
        <v>102</v>
      </c>
      <c r="L52" s="10" t="s">
        <v>1338</v>
      </c>
      <c r="M52" s="86" t="str">
        <f>HYPERLINK("https://www.google.com/maps/search/Rainha%20Santa%20Isabel%20-%20Milagre%20das%20Rosas%20Lendas%20e%20Mitos%20Portugal/@40.2087,-8.4291,17z","📍 Rainha Santa Isabel - Milag…")</f>
        <v>📍 Rainha Santa Isabel - Milag…</v>
      </c>
      <c r="O52" s="302" t="s">
        <v>1608</v>
      </c>
    </row>
    <row r="53" spans="1:15" ht="110" customHeight="1" x14ac:dyDescent="0.35">
      <c r="A53" s="10" t="s">
        <v>1609</v>
      </c>
      <c r="B53" s="11" t="s">
        <v>1610</v>
      </c>
      <c r="C53" s="10" t="s">
        <v>836</v>
      </c>
      <c r="D53" s="10" t="s">
        <v>1515</v>
      </c>
      <c r="E53" s="11" t="s">
        <v>1516</v>
      </c>
      <c r="F53" s="10" t="s">
        <v>1611</v>
      </c>
      <c r="G53" s="10"/>
      <c r="H53" s="326" t="s">
        <v>1612</v>
      </c>
      <c r="I53" s="10" t="s">
        <v>1336</v>
      </c>
      <c r="J53" s="10" t="s">
        <v>1519</v>
      </c>
      <c r="K53" s="10">
        <v>135</v>
      </c>
      <c r="L53" s="10" t="s">
        <v>1338</v>
      </c>
      <c r="M53" s="86" t="str">
        <f>HYPERLINK("https://www.google.com/maps/search/Cavaleiro%20de%20%C3%93bidos%20Lendas%20e%20Mitos%20Portugal/@39.3606,-9.1578,17z","📍 Cavaleiro de Óbidos")</f>
        <v>📍 Cavaleiro de Óbidos</v>
      </c>
      <c r="O53" s="302" t="s">
        <v>1613</v>
      </c>
    </row>
    <row r="54" spans="1:15" ht="110" customHeight="1" x14ac:dyDescent="0.35">
      <c r="A54" s="10" t="s">
        <v>1614</v>
      </c>
      <c r="B54" s="11" t="s">
        <v>1615</v>
      </c>
      <c r="C54" s="10" t="s">
        <v>836</v>
      </c>
      <c r="D54" s="10" t="s">
        <v>1515</v>
      </c>
      <c r="E54" s="11" t="s">
        <v>1516</v>
      </c>
      <c r="F54" s="10" t="s">
        <v>1441</v>
      </c>
      <c r="G54" s="10"/>
      <c r="H54" s="326" t="s">
        <v>1616</v>
      </c>
      <c r="I54" s="10" t="s">
        <v>1336</v>
      </c>
      <c r="J54" s="10" t="s">
        <v>1519</v>
      </c>
      <c r="K54" s="10">
        <v>109</v>
      </c>
      <c r="L54" s="10" t="s">
        <v>1338</v>
      </c>
      <c r="M54" s="86" t="str">
        <f>HYPERLINK("https://www.google.com/maps/search/Gigantes%20de%20Monsanto%20Lendas%20e%20Mitos%20Portugal/@40.0375,-7.1139,17z","📍 Gigantes de Monsanto")</f>
        <v>📍 Gigantes de Monsanto</v>
      </c>
      <c r="O54" s="302" t="s">
        <v>1617</v>
      </c>
    </row>
    <row r="55" spans="1:15" ht="110" customHeight="1" x14ac:dyDescent="0.35">
      <c r="A55" s="18" t="s">
        <v>1618</v>
      </c>
      <c r="B55" s="19" t="s">
        <v>1619</v>
      </c>
      <c r="C55" s="18" t="s">
        <v>792</v>
      </c>
      <c r="D55" s="18" t="s">
        <v>1515</v>
      </c>
      <c r="E55" s="19" t="s">
        <v>1516</v>
      </c>
      <c r="F55" s="18" t="s">
        <v>1620</v>
      </c>
      <c r="G55" s="18"/>
      <c r="H55" s="325" t="s">
        <v>1621</v>
      </c>
      <c r="I55" s="18" t="s">
        <v>1336</v>
      </c>
      <c r="J55" s="18" t="s">
        <v>1519</v>
      </c>
      <c r="K55" s="18">
        <v>115</v>
      </c>
      <c r="L55" s="18" t="s">
        <v>1338</v>
      </c>
      <c r="M55" s="85" t="str">
        <f>HYPERLINK("https://www.google.com/maps/search/Dama%20P%C3%A9-de-Cabra%20-%20Entre%20Douro%20e%20Minho%20Lendas%20e%20Mitos%20Portugal/@41.3084,-8.7372,17z","📍 Dama Pé-de-Cabra - Entre Do…")</f>
        <v>📍 Dama Pé-de-Cabra - Entre Do…</v>
      </c>
      <c r="O55" s="302" t="s">
        <v>1622</v>
      </c>
    </row>
    <row r="56" spans="1:15" ht="110" customHeight="1" x14ac:dyDescent="0.35">
      <c r="A56" s="12" t="s">
        <v>1623</v>
      </c>
      <c r="B56" s="13" t="s">
        <v>1624</v>
      </c>
      <c r="C56" s="12" t="s">
        <v>913</v>
      </c>
      <c r="D56" s="12" t="s">
        <v>1515</v>
      </c>
      <c r="E56" s="13" t="s">
        <v>1516</v>
      </c>
      <c r="F56" s="12" t="s">
        <v>1625</v>
      </c>
      <c r="G56" s="12"/>
      <c r="H56" s="327" t="s">
        <v>1626</v>
      </c>
      <c r="I56" s="12" t="s">
        <v>1336</v>
      </c>
      <c r="J56" s="12" t="s">
        <v>1519</v>
      </c>
      <c r="K56" s="12">
        <v>132</v>
      </c>
      <c r="L56" s="12" t="s">
        <v>1338</v>
      </c>
      <c r="M56" s="87" t="str">
        <f>HYPERLINK("https://www.google.com/maps/search/Fantamas%20do%20Convento%20do%20Carmo%20Lendas%20e%20Mitos%20Portugal/@38.7122,-9.1403,17z","📍 Fantamas do Convento do Carmo")</f>
        <v>📍 Fantamas do Convento do Carmo</v>
      </c>
      <c r="O56" s="302" t="s">
        <v>1627</v>
      </c>
    </row>
    <row r="57" spans="1:15" ht="110" customHeight="1" x14ac:dyDescent="0.35">
      <c r="A57" s="16" t="s">
        <v>1628</v>
      </c>
      <c r="B57" s="17" t="s">
        <v>1629</v>
      </c>
      <c r="C57" s="16" t="s">
        <v>767</v>
      </c>
      <c r="D57" s="16" t="s">
        <v>1515</v>
      </c>
      <c r="E57" s="17" t="s">
        <v>1516</v>
      </c>
      <c r="F57" s="16" t="s">
        <v>1630</v>
      </c>
      <c r="G57" s="16"/>
      <c r="H57" s="330" t="s">
        <v>1631</v>
      </c>
      <c r="I57" s="16" t="s">
        <v>1336</v>
      </c>
      <c r="J57" s="16" t="s">
        <v>1519</v>
      </c>
      <c r="K57" s="16">
        <v>131</v>
      </c>
      <c r="L57" s="16" t="s">
        <v>1338</v>
      </c>
      <c r="M57" s="89" t="str">
        <f>HYPERLINK("https://www.google.com/maps/search/Tesouro%20dos%20Mouros%20de%20Silves%20Lendas%20e%20Mitos%20Portugal/@37.191,-8.4384,17z","📍 Tesouro dos Mouros de Silves")</f>
        <v>📍 Tesouro dos Mouros de Silves</v>
      </c>
      <c r="O57" s="302" t="s">
        <v>1632</v>
      </c>
    </row>
    <row r="58" spans="1:15" ht="110" customHeight="1" x14ac:dyDescent="0.35">
      <c r="A58" s="18" t="s">
        <v>1633</v>
      </c>
      <c r="B58" s="19" t="s">
        <v>1634</v>
      </c>
      <c r="C58" s="18" t="s">
        <v>792</v>
      </c>
      <c r="D58" s="18" t="s">
        <v>1515</v>
      </c>
      <c r="E58" s="19" t="s">
        <v>1516</v>
      </c>
      <c r="F58" s="18" t="s">
        <v>1635</v>
      </c>
      <c r="G58" s="18"/>
      <c r="H58" s="325" t="s">
        <v>1636</v>
      </c>
      <c r="I58" s="18" t="s">
        <v>1336</v>
      </c>
      <c r="J58" s="18" t="s">
        <v>1519</v>
      </c>
      <c r="K58" s="18">
        <v>113</v>
      </c>
      <c r="L58" s="18" t="s">
        <v>1338</v>
      </c>
      <c r="M58" s="85" t="str">
        <f>HYPERLINK("https://www.google.com/maps/search/Coca%20de%20Mon%C3%A7%C3%A3o%20-%20Drag%C3%A3o%20do%20Minho%20Lendas%20e%20Mitos%20Portugal/@42.0794,-8.4817,17z","📍 Coca de Monção - Dragão do …")</f>
        <v>📍 Coca de Monção - Dragão do …</v>
      </c>
      <c r="O58" s="302" t="s">
        <v>1637</v>
      </c>
    </row>
    <row r="59" spans="1:15" ht="110" customHeight="1" x14ac:dyDescent="0.35">
      <c r="A59" s="14" t="s">
        <v>1638</v>
      </c>
      <c r="B59" s="15" t="s">
        <v>1639</v>
      </c>
      <c r="C59" s="14" t="s">
        <v>853</v>
      </c>
      <c r="D59" s="14" t="s">
        <v>1515</v>
      </c>
      <c r="E59" s="15" t="s">
        <v>1516</v>
      </c>
      <c r="F59" s="14" t="s">
        <v>1640</v>
      </c>
      <c r="G59" s="14"/>
      <c r="H59" s="328" t="s">
        <v>1641</v>
      </c>
      <c r="I59" s="14" t="s">
        <v>1336</v>
      </c>
      <c r="J59" s="14" t="s">
        <v>1519</v>
      </c>
      <c r="K59" s="14">
        <v>118</v>
      </c>
      <c r="L59" s="14" t="s">
        <v>1338</v>
      </c>
      <c r="M59" s="88" t="str">
        <f>HYPERLINK("https://www.google.com/maps/search/Mouro%20Velho%20de%20M%C3%A9rtola%20Lendas%20e%20Mitos%20Portugal/@37.6403,-7.6625,17z","📍 Mouro Velho de Mértola")</f>
        <v>📍 Mouro Velho de Mértola</v>
      </c>
      <c r="O59" s="302" t="s">
        <v>1642</v>
      </c>
    </row>
    <row r="60" spans="1:15" ht="110" customHeight="1" x14ac:dyDescent="0.35">
      <c r="A60" s="12" t="s">
        <v>1643</v>
      </c>
      <c r="B60" s="13" t="s">
        <v>1644</v>
      </c>
      <c r="C60" s="12" t="s">
        <v>913</v>
      </c>
      <c r="D60" s="12" t="s">
        <v>1515</v>
      </c>
      <c r="E60" s="13" t="s">
        <v>1516</v>
      </c>
      <c r="F60" s="12" t="s">
        <v>1645</v>
      </c>
      <c r="G60" s="12"/>
      <c r="H60" s="327" t="s">
        <v>1646</v>
      </c>
      <c r="I60" s="12" t="s">
        <v>1336</v>
      </c>
      <c r="J60" s="12" t="s">
        <v>1519</v>
      </c>
      <c r="K60" s="12">
        <v>123</v>
      </c>
      <c r="L60" s="12" t="s">
        <v>1338</v>
      </c>
      <c r="M60" s="87" t="str">
        <f>HYPERLINK("https://www.google.com/maps/search/Nau%20Catrineta%20-%20Lenda%20Mar%C3%ADtima%20Lendas%20e%20Mitos%20Portugal/@38.7071,-9.1364,17z","📍 Nau Catrineta - Lenda Marít…")</f>
        <v>📍 Nau Catrineta - Lenda Marít…</v>
      </c>
      <c r="O60" s="302" t="s">
        <v>1647</v>
      </c>
    </row>
    <row r="61" spans="1:15" ht="110" customHeight="1" x14ac:dyDescent="0.35">
      <c r="A61" s="10" t="s">
        <v>1648</v>
      </c>
      <c r="B61" s="11" t="s">
        <v>1649</v>
      </c>
      <c r="C61" s="10" t="s">
        <v>836</v>
      </c>
      <c r="D61" s="10" t="s">
        <v>1515</v>
      </c>
      <c r="E61" s="11" t="s">
        <v>1516</v>
      </c>
      <c r="F61" s="10" t="s">
        <v>1406</v>
      </c>
      <c r="G61" s="10"/>
      <c r="H61" s="326" t="s">
        <v>1650</v>
      </c>
      <c r="I61" s="10" t="s">
        <v>1336</v>
      </c>
      <c r="J61" s="10" t="s">
        <v>1519</v>
      </c>
      <c r="K61" s="10">
        <v>118</v>
      </c>
      <c r="L61" s="10" t="s">
        <v>1338</v>
      </c>
      <c r="M61" s="86" t="str">
        <f>HYPERLINK("https://www.google.com/maps/search/Almas%20Penadas%20do%20Convento%20de%20Cristo%20Lendas%20e%20Mitos%20Portugal/@39.6033,-8.4192,17z","📍 Almas Penadas do Convento d…")</f>
        <v>📍 Almas Penadas do Convento d…</v>
      </c>
      <c r="O61" s="302" t="s">
        <v>1651</v>
      </c>
    </row>
    <row r="62" spans="1:15" ht="110" customHeight="1" x14ac:dyDescent="0.35">
      <c r="A62" s="10" t="s">
        <v>1652</v>
      </c>
      <c r="B62" s="11" t="s">
        <v>1653</v>
      </c>
      <c r="C62" s="10" t="s">
        <v>836</v>
      </c>
      <c r="D62" s="10" t="s">
        <v>1515</v>
      </c>
      <c r="E62" s="11" t="s">
        <v>1516</v>
      </c>
      <c r="F62" s="10" t="s">
        <v>1654</v>
      </c>
      <c r="G62" s="10"/>
      <c r="H62" s="326" t="s">
        <v>1655</v>
      </c>
      <c r="I62" s="10" t="s">
        <v>1336</v>
      </c>
      <c r="J62" s="10" t="s">
        <v>1519</v>
      </c>
      <c r="K62" s="10">
        <v>97</v>
      </c>
      <c r="L62" s="10" t="s">
        <v>1338</v>
      </c>
      <c r="M62" s="86" t="str">
        <f>HYPERLINK("https://www.google.com/maps/search/Frade%20Negro%20da%20Batalha%20Lendas%20e%20Mitos%20Portugal/@39.6603,-8.8256,17z","📍 Frade Negro da Batalha")</f>
        <v>📍 Frade Negro da Batalha</v>
      </c>
      <c r="O62" s="302" t="s">
        <v>1656</v>
      </c>
    </row>
    <row r="63" spans="1:15" ht="110" customHeight="1" x14ac:dyDescent="0.35">
      <c r="A63" s="20" t="s">
        <v>1657</v>
      </c>
      <c r="B63" s="21" t="s">
        <v>1658</v>
      </c>
      <c r="C63" s="20" t="s">
        <v>522</v>
      </c>
      <c r="D63" s="20" t="s">
        <v>1101</v>
      </c>
      <c r="E63" s="21" t="s">
        <v>1659</v>
      </c>
      <c r="F63" s="20" t="s">
        <v>1660</v>
      </c>
      <c r="G63" s="20"/>
      <c r="H63" s="329" t="s">
        <v>1661</v>
      </c>
      <c r="I63" s="20" t="s">
        <v>1336</v>
      </c>
      <c r="J63" s="20" t="s">
        <v>1337</v>
      </c>
      <c r="K63" s="20">
        <v>105</v>
      </c>
      <c r="L63" s="20" t="s">
        <v>1338</v>
      </c>
      <c r="M63" s="90" t="str">
        <f>HYPERLINK("https://www.google.com/maps/search/Lagoa%20das%20Sete%20Cidades%20-%20Mirante%20Natureza%20Portugal/@37.8571,-25.7887,17z","📍 Lagoa das Sete Cidades - Mi…")</f>
        <v>📍 Lagoa das Sete Cidades - Mi…</v>
      </c>
      <c r="O63" s="302" t="s">
        <v>1662</v>
      </c>
    </row>
    <row r="64" spans="1:15" ht="110" customHeight="1" x14ac:dyDescent="0.35">
      <c r="A64" s="18" t="s">
        <v>1663</v>
      </c>
      <c r="B64" s="19" t="s">
        <v>1664</v>
      </c>
      <c r="C64" s="18" t="s">
        <v>792</v>
      </c>
      <c r="D64" s="18" t="s">
        <v>1515</v>
      </c>
      <c r="E64" s="19" t="s">
        <v>1516</v>
      </c>
      <c r="F64" s="18" t="s">
        <v>1665</v>
      </c>
      <c r="G64" s="18"/>
      <c r="H64" s="325" t="s">
        <v>1666</v>
      </c>
      <c r="I64" s="18" t="s">
        <v>1336</v>
      </c>
      <c r="J64" s="18" t="s">
        <v>1519</v>
      </c>
      <c r="K64" s="18">
        <v>104</v>
      </c>
      <c r="L64" s="18" t="s">
        <v>1338</v>
      </c>
      <c r="M64" s="85" t="str">
        <f>HYPERLINK("https://www.google.com/maps/search/Lavadeiras%20da%20Noite%20-%20Rio%20Minho%20Lendas%20e%20Mitos%20Portugal/@41.6931,-8.8344,17z","📍 Lavadeiras da Noite - Rio M…")</f>
        <v>📍 Lavadeiras da Noite - Rio M…</v>
      </c>
      <c r="O64" s="302" t="s">
        <v>1667</v>
      </c>
    </row>
    <row r="65" spans="1:15" ht="110" customHeight="1" x14ac:dyDescent="0.35">
      <c r="A65" s="18" t="s">
        <v>1668</v>
      </c>
      <c r="B65" s="19" t="s">
        <v>1669</v>
      </c>
      <c r="C65" s="18" t="s">
        <v>792</v>
      </c>
      <c r="D65" s="18" t="s">
        <v>1101</v>
      </c>
      <c r="E65" s="19" t="s">
        <v>1342</v>
      </c>
      <c r="F65" s="18" t="s">
        <v>1670</v>
      </c>
      <c r="G65" s="18"/>
      <c r="H65" s="19" t="s">
        <v>1671</v>
      </c>
      <c r="I65" s="18" t="s">
        <v>1527</v>
      </c>
      <c r="J65" s="18" t="s">
        <v>1672</v>
      </c>
      <c r="K65" s="18">
        <v>120</v>
      </c>
      <c r="L65" s="18" t="s">
        <v>1338</v>
      </c>
      <c r="M65" s="85" t="str">
        <f>HYPERLINK("https://www.google.com/maps/search/Parque%20Natural%20de%20Montesinho%20Natureza%20Portugal/@41.95,-6.85,17z","📍 Parque Natural de Montesinho")</f>
        <v>📍 Parque Natural de Montesinho</v>
      </c>
      <c r="O65" s="302" t="s">
        <v>1673</v>
      </c>
    </row>
    <row r="66" spans="1:15" ht="110" customHeight="1" x14ac:dyDescent="0.35">
      <c r="A66" s="18" t="s">
        <v>1674</v>
      </c>
      <c r="B66" s="19" t="s">
        <v>1675</v>
      </c>
      <c r="C66" s="18" t="s">
        <v>792</v>
      </c>
      <c r="D66" s="18" t="s">
        <v>1101</v>
      </c>
      <c r="E66" s="19" t="s">
        <v>1676</v>
      </c>
      <c r="F66" s="18" t="s">
        <v>1677</v>
      </c>
      <c r="G66" s="18"/>
      <c r="H66" s="19" t="s">
        <v>1678</v>
      </c>
      <c r="I66" s="18" t="s">
        <v>1527</v>
      </c>
      <c r="J66" s="18" t="s">
        <v>1511</v>
      </c>
      <c r="K66" s="18">
        <v>150</v>
      </c>
      <c r="L66" s="18" t="s">
        <v>1338</v>
      </c>
      <c r="M66" s="85" t="str">
        <f>HYPERLINK("https://www.google.com/maps/search/Sistelo%20%E2%80%94%20Socalcos%20do%20Tibete%20Portugu%C3%AAs%20Natureza%20Portugal/@41.8781,-8.3508,17z","📍 Sistelo — Socalcos do Tibet…")</f>
        <v>📍 Sistelo — Socalcos do Tibet…</v>
      </c>
      <c r="O66" s="302" t="s">
        <v>1679</v>
      </c>
    </row>
    <row r="67" spans="1:15" ht="110" customHeight="1" x14ac:dyDescent="0.35">
      <c r="A67" s="18" t="s">
        <v>1680</v>
      </c>
      <c r="B67" s="19" t="s">
        <v>1681</v>
      </c>
      <c r="C67" s="18" t="s">
        <v>792</v>
      </c>
      <c r="D67" s="18" t="s">
        <v>1101</v>
      </c>
      <c r="E67" s="19" t="s">
        <v>1682</v>
      </c>
      <c r="F67" s="18" t="s">
        <v>1683</v>
      </c>
      <c r="G67" s="18"/>
      <c r="H67" s="19" t="s">
        <v>1684</v>
      </c>
      <c r="I67" s="18" t="s">
        <v>1527</v>
      </c>
      <c r="J67" s="18" t="s">
        <v>1685</v>
      </c>
      <c r="K67" s="18">
        <v>150</v>
      </c>
      <c r="L67" s="18" t="s">
        <v>1338</v>
      </c>
      <c r="M67" s="85" t="str">
        <f>HYPERLINK("https://www.google.com/maps/search/Lindoso%20%E2%80%94%20Espigueiros%20e%20Castelo%20Natureza%20Portugal/@41.8675,-8.2125,17z","📍 Lindoso — Espigueiros e Cas…")</f>
        <v>📍 Lindoso — Espigueiros e Cas…</v>
      </c>
      <c r="O67" s="302" t="s">
        <v>1686</v>
      </c>
    </row>
    <row r="68" spans="1:15" ht="110" customHeight="1" x14ac:dyDescent="0.35">
      <c r="A68" s="10" t="s">
        <v>1687</v>
      </c>
      <c r="B68" s="11" t="s">
        <v>1688</v>
      </c>
      <c r="C68" s="10" t="s">
        <v>836</v>
      </c>
      <c r="D68" s="10" t="s">
        <v>1101</v>
      </c>
      <c r="E68" s="11" t="s">
        <v>1689</v>
      </c>
      <c r="F68" s="10" t="s">
        <v>1690</v>
      </c>
      <c r="G68" s="10"/>
      <c r="H68" s="11" t="s">
        <v>1691</v>
      </c>
      <c r="I68" s="10" t="s">
        <v>1527</v>
      </c>
      <c r="J68" s="10" t="s">
        <v>1692</v>
      </c>
      <c r="K68" s="10">
        <v>120</v>
      </c>
      <c r="L68" s="10" t="s">
        <v>1338</v>
      </c>
      <c r="M68" s="86" t="str">
        <f>HYPERLINK("https://www.google.com/maps/search/Serra%20da%20Estrela%20%E2%80%94%20Rota%20das%20Faias%20Natureza%20Portugal/@40.402,-7.5333,17z","📍 Serra da Estrela — Rota das…")</f>
        <v>📍 Serra da Estrela — Rota das…</v>
      </c>
      <c r="O68" s="302" t="s">
        <v>1693</v>
      </c>
    </row>
    <row r="69" spans="1:15" ht="110" customHeight="1" x14ac:dyDescent="0.35">
      <c r="A69" s="10" t="s">
        <v>1694</v>
      </c>
      <c r="B69" s="11" t="s">
        <v>1695</v>
      </c>
      <c r="C69" s="10" t="s">
        <v>836</v>
      </c>
      <c r="D69" s="10" t="s">
        <v>1101</v>
      </c>
      <c r="E69" s="11" t="s">
        <v>1696</v>
      </c>
      <c r="F69" s="10" t="s">
        <v>1447</v>
      </c>
      <c r="G69" s="10"/>
      <c r="H69" s="11" t="s">
        <v>1697</v>
      </c>
      <c r="I69" s="10" t="s">
        <v>1527</v>
      </c>
      <c r="J69" s="10" t="s">
        <v>1443</v>
      </c>
      <c r="K69" s="10">
        <v>150</v>
      </c>
      <c r="L69" s="10" t="s">
        <v>1338</v>
      </c>
      <c r="M69" s="86" t="str">
        <f>HYPERLINK("https://www.google.com/maps/search/Pi%C3%B3d%C3%A3o%20%E2%80%94%20Aldeia%20de%20Xisto%20Natureza%20Portugal/@40.231,-7.9712,17z","📍 Piódão — Aldeia de Xisto")</f>
        <v>📍 Piódão — Aldeia de Xisto</v>
      </c>
      <c r="O69" s="302" t="s">
        <v>1698</v>
      </c>
    </row>
    <row r="70" spans="1:15" ht="110" customHeight="1" x14ac:dyDescent="0.35">
      <c r="A70" s="10" t="s">
        <v>1699</v>
      </c>
      <c r="B70" s="11" t="s">
        <v>1700</v>
      </c>
      <c r="C70" s="10" t="s">
        <v>836</v>
      </c>
      <c r="D70" s="10" t="s">
        <v>1101</v>
      </c>
      <c r="E70" s="11" t="s">
        <v>1696</v>
      </c>
      <c r="F70" s="10" t="s">
        <v>1441</v>
      </c>
      <c r="G70" s="10"/>
      <c r="H70" s="11" t="s">
        <v>1701</v>
      </c>
      <c r="I70" s="10" t="s">
        <v>1527</v>
      </c>
      <c r="J70" s="10" t="s">
        <v>1702</v>
      </c>
      <c r="K70" s="10">
        <v>150</v>
      </c>
      <c r="L70" s="10" t="s">
        <v>1338</v>
      </c>
      <c r="M70" s="86" t="str">
        <f>HYPERLINK("https://www.google.com/maps/search/Monsanto%20%E2%80%94%20Aldeia%20de%20Granito%20Natureza%20Portugal/@40.0388,-7.1145,17z","📍 Monsanto — Aldeia de Granito")</f>
        <v>📍 Monsanto — Aldeia de Granito</v>
      </c>
      <c r="O70" s="302" t="s">
        <v>1703</v>
      </c>
    </row>
    <row r="71" spans="1:15" ht="110" customHeight="1" x14ac:dyDescent="0.35">
      <c r="A71" s="14" t="s">
        <v>1704</v>
      </c>
      <c r="B71" s="15" t="s">
        <v>1705</v>
      </c>
      <c r="C71" s="14" t="s">
        <v>853</v>
      </c>
      <c r="D71" s="14" t="s">
        <v>1706</v>
      </c>
      <c r="E71" s="15" t="s">
        <v>1524</v>
      </c>
      <c r="F71" s="14" t="s">
        <v>1707</v>
      </c>
      <c r="G71" s="14"/>
      <c r="H71" s="15" t="s">
        <v>1708</v>
      </c>
      <c r="I71" s="14" t="s">
        <v>1527</v>
      </c>
      <c r="J71" s="14" t="s">
        <v>1528</v>
      </c>
      <c r="K71" s="14">
        <v>150</v>
      </c>
      <c r="L71" s="14" t="s">
        <v>1338</v>
      </c>
      <c r="M71" s="88" t="str">
        <f>HYPERLINK("https://www.google.com/maps/search/Dark%20Sky%20Alqueva%20%E2%80%94%20Cumeada%20Astroturismo%20Portugal/@38.4456,-7.3779,17z","📍 Dark Sky Alqueva — Cumeada")</f>
        <v>📍 Dark Sky Alqueva — Cumeada</v>
      </c>
      <c r="O71" s="302" t="s">
        <v>1709</v>
      </c>
    </row>
    <row r="72" spans="1:15" ht="110" customHeight="1" x14ac:dyDescent="0.35">
      <c r="A72" s="10" t="s">
        <v>1710</v>
      </c>
      <c r="B72" s="11" t="s">
        <v>1711</v>
      </c>
      <c r="C72" s="10" t="s">
        <v>836</v>
      </c>
      <c r="D72" s="10" t="s">
        <v>1712</v>
      </c>
      <c r="E72" s="11" t="s">
        <v>1378</v>
      </c>
      <c r="F72" s="10" t="s">
        <v>1713</v>
      </c>
      <c r="G72" s="10"/>
      <c r="H72" s="11" t="s">
        <v>1714</v>
      </c>
      <c r="I72" s="10" t="s">
        <v>1527</v>
      </c>
      <c r="J72" s="10" t="s">
        <v>1702</v>
      </c>
      <c r="K72" s="10">
        <v>150</v>
      </c>
      <c r="L72" s="10" t="s">
        <v>1338</v>
      </c>
      <c r="M72" s="86" t="str">
        <f>HYPERLINK("https://www.google.com/maps/search/Naturtejo%20Geopark%20UNESCO%20Geologia%20Portugal/@39.8247,-7.4912,17z","📍 Naturtejo Geopark UNESCO")</f>
        <v>📍 Naturtejo Geopark UNESCO</v>
      </c>
      <c r="O72" s="302" t="s">
        <v>1715</v>
      </c>
    </row>
    <row r="73" spans="1:15" ht="110" customHeight="1" x14ac:dyDescent="0.35">
      <c r="A73" s="14" t="s">
        <v>1716</v>
      </c>
      <c r="B73" s="15" t="s">
        <v>1717</v>
      </c>
      <c r="C73" s="14" t="s">
        <v>853</v>
      </c>
      <c r="D73" s="14" t="s">
        <v>1718</v>
      </c>
      <c r="E73" s="15" t="s">
        <v>1719</v>
      </c>
      <c r="F73" s="14" t="s">
        <v>1720</v>
      </c>
      <c r="G73" s="14"/>
      <c r="H73" s="15" t="s">
        <v>1721</v>
      </c>
      <c r="I73" s="14" t="s">
        <v>1527</v>
      </c>
      <c r="J73" s="14" t="s">
        <v>1722</v>
      </c>
      <c r="K73" s="14">
        <v>120</v>
      </c>
      <c r="L73" s="14" t="s">
        <v>1338</v>
      </c>
      <c r="M73" s="88" t="str">
        <f>HYPERLINK("https://www.google.com/maps/search/Castro%20Verde%20%E2%80%94%20Aves%20Estep%C3%A1rias%20Birdwatching%20Portugal/@37.7051,-8.0314,17z","📍 Castro Verde — Aves Estepár…")</f>
        <v>📍 Castro Verde — Aves Estepár…</v>
      </c>
      <c r="O73" s="302" t="s">
        <v>1723</v>
      </c>
    </row>
    <row r="74" spans="1:15" ht="110" customHeight="1" x14ac:dyDescent="0.4">
      <c r="A74" s="298"/>
      <c r="B74" s="298" t="s">
        <v>1724</v>
      </c>
      <c r="C74" s="298" t="s">
        <v>524</v>
      </c>
      <c r="D74" s="298" t="s">
        <v>524</v>
      </c>
      <c r="E74" s="298" t="s">
        <v>1101</v>
      </c>
      <c r="F74" s="298" t="s">
        <v>1342</v>
      </c>
      <c r="G74" s="298" t="s">
        <v>1725</v>
      </c>
      <c r="H74" s="331" t="s">
        <v>1726</v>
      </c>
      <c r="I74" s="298" t="s">
        <v>1727</v>
      </c>
      <c r="J74" s="298" t="s">
        <v>1728</v>
      </c>
      <c r="K74" s="298" t="s">
        <v>1337</v>
      </c>
      <c r="L74" s="298" t="s">
        <v>1729</v>
      </c>
      <c r="M74" s="298" t="s">
        <v>1338</v>
      </c>
      <c r="N74" s="299" t="str">
        <f>HYPERLINK("https://www.google.com/maps/search/Parque%20Natural%20Madeira/@32.7281,-16.9481,16z","📍 Parque Natural Madeira")</f>
        <v>📍 Parque Natural Madeira</v>
      </c>
      <c r="O74" s="302" t="s">
        <v>1730</v>
      </c>
    </row>
    <row r="75" spans="1:15" ht="110" customHeight="1" x14ac:dyDescent="0.4">
      <c r="A75" s="298"/>
      <c r="B75" s="298" t="s">
        <v>1731</v>
      </c>
      <c r="C75" s="298" t="s">
        <v>524</v>
      </c>
      <c r="D75" s="298" t="s">
        <v>524</v>
      </c>
      <c r="E75" s="298" t="s">
        <v>1732</v>
      </c>
      <c r="F75" s="298" t="s">
        <v>1733</v>
      </c>
      <c r="G75" s="298" t="s">
        <v>1734</v>
      </c>
      <c r="H75" s="331" t="s">
        <v>1735</v>
      </c>
      <c r="I75" s="298" t="s">
        <v>1736</v>
      </c>
      <c r="J75" s="298" t="s">
        <v>1728</v>
      </c>
      <c r="K75" s="298" t="s">
        <v>1737</v>
      </c>
      <c r="L75" s="298" t="s">
        <v>1738</v>
      </c>
      <c r="M75" s="298" t="s">
        <v>1338</v>
      </c>
      <c r="N75" s="299" t="str">
        <f>HYPERLINK("https://www.google.com/maps/search/Levada%2025%20Fontes%20Raba%C3%A7al/@32.7631,-17.0571,16z","📍 Levada 25 Fontes Rabaçal")</f>
        <v>📍 Levada 25 Fontes Rabaçal</v>
      </c>
      <c r="O75" s="302" t="s">
        <v>1739</v>
      </c>
    </row>
    <row r="76" spans="1:15" ht="110" customHeight="1" x14ac:dyDescent="0.4">
      <c r="A76" s="298"/>
      <c r="B76" s="298" t="s">
        <v>1740</v>
      </c>
      <c r="C76" s="298" t="s">
        <v>524</v>
      </c>
      <c r="D76" s="298" t="s">
        <v>524</v>
      </c>
      <c r="E76" s="298" t="s">
        <v>1439</v>
      </c>
      <c r="F76" s="298" t="s">
        <v>1741</v>
      </c>
      <c r="G76" s="298" t="s">
        <v>1742</v>
      </c>
      <c r="H76" s="331" t="s">
        <v>1743</v>
      </c>
      <c r="I76" s="298" t="s">
        <v>1744</v>
      </c>
      <c r="J76" s="298" t="s">
        <v>1392</v>
      </c>
      <c r="K76" s="298" t="s">
        <v>1692</v>
      </c>
      <c r="L76" s="298" t="s">
        <v>1745</v>
      </c>
      <c r="M76" s="298" t="s">
        <v>1338</v>
      </c>
      <c r="N76" s="299" t="str">
        <f>HYPERLINK("https://www.google.com/maps/search/Curral%20das%20Freiras%20Madeira/@32.7019,-16.9706,16z","📍 Curral das Freiras Madeira")</f>
        <v>📍 Curral das Freiras Madeira</v>
      </c>
      <c r="O76" s="302" t="s">
        <v>1746</v>
      </c>
    </row>
    <row r="77" spans="1:15" ht="110" customHeight="1" x14ac:dyDescent="0.4">
      <c r="A77" s="298"/>
      <c r="B77" s="298" t="s">
        <v>1747</v>
      </c>
      <c r="C77" s="298" t="s">
        <v>524</v>
      </c>
      <c r="D77" s="298" t="s">
        <v>524</v>
      </c>
      <c r="E77" s="298" t="s">
        <v>1748</v>
      </c>
      <c r="F77" s="298" t="s">
        <v>1749</v>
      </c>
      <c r="G77" s="298" t="s">
        <v>1750</v>
      </c>
      <c r="H77" s="331" t="s">
        <v>1751</v>
      </c>
      <c r="I77" s="298" t="s">
        <v>1752</v>
      </c>
      <c r="J77" s="298" t="s">
        <v>1336</v>
      </c>
      <c r="K77" s="298" t="s">
        <v>1753</v>
      </c>
      <c r="L77" s="298" t="s">
        <v>1754</v>
      </c>
      <c r="M77" s="298" t="s">
        <v>1338</v>
      </c>
      <c r="N77" s="299" t="str">
        <f>HYPERLINK("https://www.google.com/maps/search/Monte%20Palace%20Funchal/@32.6667,-16.8983,16z","📍 Monte Palace Funchal")</f>
        <v>📍 Monte Palace Funchal</v>
      </c>
      <c r="O77" s="302" t="s">
        <v>1755</v>
      </c>
    </row>
    <row r="78" spans="1:15" ht="110" customHeight="1" x14ac:dyDescent="0.4">
      <c r="A78" s="298"/>
      <c r="B78" s="298" t="s">
        <v>1756</v>
      </c>
      <c r="C78" s="298" t="s">
        <v>524</v>
      </c>
      <c r="D78" s="298" t="s">
        <v>524</v>
      </c>
      <c r="E78" s="298" t="s">
        <v>1757</v>
      </c>
      <c r="F78" s="298" t="s">
        <v>1758</v>
      </c>
      <c r="G78" s="298" t="s">
        <v>1759</v>
      </c>
      <c r="H78" s="331" t="s">
        <v>1760</v>
      </c>
      <c r="I78" s="298" t="s">
        <v>1761</v>
      </c>
      <c r="J78" s="298" t="s">
        <v>1336</v>
      </c>
      <c r="K78" s="298" t="s">
        <v>1762</v>
      </c>
      <c r="L78" s="298" t="s">
        <v>1763</v>
      </c>
      <c r="M78" s="298" t="s">
        <v>1338</v>
      </c>
      <c r="N78" s="299" t="str">
        <f>HYPERLINK("https://www.google.com/maps/search/Pico%20Arieiro%20Madeira/@32.7371,-16.9291,16z","📍 Pico Arieiro Madeira")</f>
        <v>📍 Pico Arieiro Madeira</v>
      </c>
      <c r="O78" s="302" t="s">
        <v>1764</v>
      </c>
    </row>
  </sheetData>
  <autoFilter ref="A4:M222" xr:uid="{00000000-0009-0000-0000-000005000000}"/>
  <mergeCells count="2">
    <mergeCell ref="A1:O1"/>
    <mergeCell ref="A2:O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392B"/>
  </sheetPr>
  <dimension ref="A1:D76"/>
  <sheetViews>
    <sheetView showGridLines="0" tabSelected="1" topLeftCell="A38" workbookViewId="0">
      <selection activeCell="C38" sqref="C1:C1048576"/>
    </sheetView>
  </sheetViews>
  <sheetFormatPr defaultRowHeight="14.5" x14ac:dyDescent="0.35"/>
  <cols>
    <col min="1" max="1" width="4" customWidth="1"/>
    <col min="2" max="2" width="28" customWidth="1"/>
    <col min="3" max="3" width="72" customWidth="1"/>
    <col min="4" max="4" width="16" customWidth="1"/>
  </cols>
  <sheetData>
    <row r="1" spans="1:4" ht="48" customHeight="1" x14ac:dyDescent="0.35">
      <c r="A1" s="1316" t="s">
        <v>421</v>
      </c>
      <c r="B1" s="1313"/>
      <c r="C1" s="1313"/>
      <c r="D1" s="1313"/>
    </row>
    <row r="2" spans="1:4" ht="20" customHeight="1" x14ac:dyDescent="0.35">
      <c r="A2" s="1323" t="s">
        <v>422</v>
      </c>
      <c r="B2" s="1313"/>
      <c r="C2" s="1313"/>
      <c r="D2" s="1313"/>
    </row>
    <row r="4" spans="1:4" ht="32" customHeight="1" x14ac:dyDescent="0.35">
      <c r="B4" s="1320" t="s">
        <v>423</v>
      </c>
      <c r="C4" s="1313"/>
      <c r="D4" s="1313"/>
    </row>
    <row r="5" spans="1:4" ht="20" customHeight="1" x14ac:dyDescent="0.35">
      <c r="B5" s="50" t="s">
        <v>424</v>
      </c>
      <c r="C5" s="51" t="s">
        <v>425</v>
      </c>
    </row>
    <row r="6" spans="1:4" ht="20" customHeight="1" x14ac:dyDescent="0.35">
      <c r="B6" s="52" t="s">
        <v>426</v>
      </c>
      <c r="C6" s="53" t="s">
        <v>427</v>
      </c>
    </row>
    <row r="7" spans="1:4" ht="20" customHeight="1" x14ac:dyDescent="0.35">
      <c r="B7" s="50" t="s">
        <v>428</v>
      </c>
      <c r="C7" s="51" t="s">
        <v>429</v>
      </c>
    </row>
    <row r="8" spans="1:4" ht="20" customHeight="1" x14ac:dyDescent="0.35">
      <c r="B8" s="52" t="s">
        <v>430</v>
      </c>
      <c r="C8" s="53" t="s">
        <v>431</v>
      </c>
    </row>
    <row r="9" spans="1:4" ht="20" customHeight="1" x14ac:dyDescent="0.35">
      <c r="B9" s="50" t="s">
        <v>432</v>
      </c>
      <c r="C9" s="51" t="s">
        <v>433</v>
      </c>
    </row>
    <row r="10" spans="1:4" ht="20" customHeight="1" x14ac:dyDescent="0.35">
      <c r="B10" s="52" t="s">
        <v>434</v>
      </c>
      <c r="C10" s="53" t="s">
        <v>435</v>
      </c>
    </row>
    <row r="11" spans="1:4" ht="20" customHeight="1" x14ac:dyDescent="0.35">
      <c r="B11" s="50" t="s">
        <v>436</v>
      </c>
      <c r="C11" s="51" t="s">
        <v>437</v>
      </c>
    </row>
    <row r="12" spans="1:4" ht="6" customHeight="1" x14ac:dyDescent="0.35">
      <c r="A12" s="54"/>
      <c r="B12" s="54"/>
      <c r="C12" s="54"/>
      <c r="D12" s="54"/>
    </row>
    <row r="13" spans="1:4" ht="32" customHeight="1" x14ac:dyDescent="0.35">
      <c r="B13" s="1322" t="s">
        <v>438</v>
      </c>
      <c r="C13" s="1313"/>
      <c r="D13" s="1313"/>
    </row>
    <row r="14" spans="1:4" ht="20" customHeight="1" x14ac:dyDescent="0.35">
      <c r="B14" s="55" t="s">
        <v>439</v>
      </c>
      <c r="C14" s="56" t="s">
        <v>440</v>
      </c>
    </row>
    <row r="15" spans="1:4" ht="20" customHeight="1" x14ac:dyDescent="0.35">
      <c r="B15" s="57" t="s">
        <v>441</v>
      </c>
      <c r="C15" s="58" t="s">
        <v>442</v>
      </c>
    </row>
    <row r="16" spans="1:4" ht="20" customHeight="1" x14ac:dyDescent="0.35">
      <c r="B16" s="55" t="s">
        <v>443</v>
      </c>
      <c r="C16" s="56" t="s">
        <v>444</v>
      </c>
    </row>
    <row r="17" spans="1:4" ht="20" customHeight="1" x14ac:dyDescent="0.35">
      <c r="B17" s="57" t="s">
        <v>445</v>
      </c>
      <c r="C17" s="58" t="s">
        <v>446</v>
      </c>
    </row>
    <row r="18" spans="1:4" ht="20" customHeight="1" x14ac:dyDescent="0.35">
      <c r="B18" s="55" t="s">
        <v>447</v>
      </c>
      <c r="C18" s="56" t="s">
        <v>448</v>
      </c>
    </row>
    <row r="19" spans="1:4" ht="20" customHeight="1" x14ac:dyDescent="0.35">
      <c r="B19" s="57" t="s">
        <v>449</v>
      </c>
      <c r="C19" s="58" t="s">
        <v>450</v>
      </c>
    </row>
    <row r="20" spans="1:4" ht="20" customHeight="1" x14ac:dyDescent="0.35">
      <c r="B20" s="55" t="s">
        <v>451</v>
      </c>
      <c r="C20" s="56" t="s">
        <v>452</v>
      </c>
    </row>
    <row r="21" spans="1:4" ht="20" customHeight="1" x14ac:dyDescent="0.35">
      <c r="B21" s="57" t="s">
        <v>453</v>
      </c>
      <c r="C21" s="58" t="s">
        <v>454</v>
      </c>
    </row>
    <row r="22" spans="1:4" ht="20" customHeight="1" x14ac:dyDescent="0.35">
      <c r="B22" s="55" t="s">
        <v>455</v>
      </c>
      <c r="C22" s="56" t="s">
        <v>456</v>
      </c>
    </row>
    <row r="23" spans="1:4" ht="20" customHeight="1" x14ac:dyDescent="0.35">
      <c r="B23" s="57" t="s">
        <v>457</v>
      </c>
      <c r="C23" s="58" t="s">
        <v>458</v>
      </c>
    </row>
    <row r="24" spans="1:4" ht="6" customHeight="1" x14ac:dyDescent="0.35">
      <c r="A24" s="54"/>
      <c r="B24" s="54"/>
      <c r="C24" s="54"/>
      <c r="D24" s="54"/>
    </row>
    <row r="25" spans="1:4" ht="32" customHeight="1" x14ac:dyDescent="0.35">
      <c r="B25" s="1324" t="s">
        <v>459</v>
      </c>
      <c r="C25" s="1313"/>
      <c r="D25" s="1313"/>
    </row>
    <row r="26" spans="1:4" ht="22" customHeight="1" x14ac:dyDescent="0.35">
      <c r="B26" s="1315" t="s">
        <v>460</v>
      </c>
      <c r="C26" s="1313"/>
      <c r="D26" s="1313"/>
    </row>
    <row r="27" spans="1:4" ht="20" customHeight="1" x14ac:dyDescent="0.35">
      <c r="B27" s="59" t="s">
        <v>461</v>
      </c>
      <c r="C27" s="60" t="s">
        <v>462</v>
      </c>
    </row>
    <row r="28" spans="1:4" ht="20" customHeight="1" x14ac:dyDescent="0.35">
      <c r="B28" s="61" t="s">
        <v>463</v>
      </c>
      <c r="C28" s="62" t="s">
        <v>464</v>
      </c>
    </row>
    <row r="29" spans="1:4" ht="20" customHeight="1" x14ac:dyDescent="0.35">
      <c r="B29" s="59" t="s">
        <v>465</v>
      </c>
      <c r="C29" s="60" t="s">
        <v>466</v>
      </c>
    </row>
    <row r="30" spans="1:4" ht="20" customHeight="1" x14ac:dyDescent="0.35">
      <c r="B30" s="61" t="s">
        <v>467</v>
      </c>
      <c r="C30" s="62" t="s">
        <v>468</v>
      </c>
    </row>
    <row r="31" spans="1:4" ht="22" customHeight="1" x14ac:dyDescent="0.35">
      <c r="B31" s="1315" t="s">
        <v>469</v>
      </c>
      <c r="C31" s="1313"/>
      <c r="D31" s="1313"/>
    </row>
    <row r="32" spans="1:4" ht="20" customHeight="1" x14ac:dyDescent="0.35">
      <c r="B32" s="63" t="s">
        <v>470</v>
      </c>
      <c r="C32" s="64" t="s">
        <v>471</v>
      </c>
    </row>
    <row r="33" spans="1:4" ht="20" customHeight="1" x14ac:dyDescent="0.35">
      <c r="B33" s="65" t="s">
        <v>472</v>
      </c>
      <c r="C33" s="66" t="s">
        <v>473</v>
      </c>
    </row>
    <row r="34" spans="1:4" ht="20" customHeight="1" x14ac:dyDescent="0.35">
      <c r="B34" s="63" t="s">
        <v>474</v>
      </c>
      <c r="C34" s="64" t="s">
        <v>475</v>
      </c>
    </row>
    <row r="35" spans="1:4" ht="20" customHeight="1" x14ac:dyDescent="0.35">
      <c r="B35" s="65" t="s">
        <v>476</v>
      </c>
      <c r="C35" s="66" t="s">
        <v>477</v>
      </c>
    </row>
    <row r="36" spans="1:4" ht="20" customHeight="1" x14ac:dyDescent="0.35">
      <c r="B36" s="63" t="s">
        <v>478</v>
      </c>
      <c r="C36" s="64" t="s">
        <v>479</v>
      </c>
    </row>
    <row r="37" spans="1:4" ht="20" customHeight="1" x14ac:dyDescent="0.35">
      <c r="B37" s="65" t="s">
        <v>480</v>
      </c>
      <c r="C37" s="66" t="s">
        <v>481</v>
      </c>
    </row>
    <row r="38" spans="1:4" ht="20" customHeight="1" x14ac:dyDescent="0.35">
      <c r="B38" s="63" t="s">
        <v>482</v>
      </c>
      <c r="C38" s="64" t="s">
        <v>483</v>
      </c>
    </row>
    <row r="39" spans="1:4" ht="6" customHeight="1" x14ac:dyDescent="0.35">
      <c r="A39" s="54"/>
      <c r="B39" s="54"/>
      <c r="C39" s="54"/>
      <c r="D39" s="54"/>
    </row>
    <row r="40" spans="1:4" ht="32" customHeight="1" x14ac:dyDescent="0.35">
      <c r="B40" s="1321" t="s">
        <v>484</v>
      </c>
      <c r="C40" s="1313"/>
      <c r="D40" s="1313"/>
    </row>
    <row r="41" spans="1:4" ht="20" customHeight="1" x14ac:dyDescent="0.35">
      <c r="B41" s="67" t="s">
        <v>485</v>
      </c>
      <c r="C41" s="68" t="s">
        <v>486</v>
      </c>
    </row>
    <row r="42" spans="1:4" ht="20" customHeight="1" x14ac:dyDescent="0.35">
      <c r="B42" s="69" t="s">
        <v>487</v>
      </c>
      <c r="C42" s="70" t="s">
        <v>488</v>
      </c>
    </row>
    <row r="43" spans="1:4" ht="20" customHeight="1" x14ac:dyDescent="0.35">
      <c r="B43" s="67" t="s">
        <v>489</v>
      </c>
      <c r="C43" s="68" t="s">
        <v>490</v>
      </c>
    </row>
    <row r="44" spans="1:4" ht="20" customHeight="1" x14ac:dyDescent="0.35">
      <c r="B44" s="69" t="s">
        <v>491</v>
      </c>
      <c r="C44" s="70" t="s">
        <v>492</v>
      </c>
    </row>
    <row r="45" spans="1:4" ht="20" customHeight="1" x14ac:dyDescent="0.35">
      <c r="B45" s="67" t="s">
        <v>493</v>
      </c>
      <c r="C45" s="68" t="s">
        <v>494</v>
      </c>
    </row>
    <row r="46" spans="1:4" ht="20" customHeight="1" x14ac:dyDescent="0.35">
      <c r="B46" s="69" t="s">
        <v>495</v>
      </c>
      <c r="C46" s="70" t="s">
        <v>496</v>
      </c>
    </row>
    <row r="47" spans="1:4" ht="20" customHeight="1" x14ac:dyDescent="0.35">
      <c r="B47" s="67" t="s">
        <v>497</v>
      </c>
      <c r="C47" s="68" t="s">
        <v>498</v>
      </c>
    </row>
    <row r="48" spans="1:4" ht="6" customHeight="1" x14ac:dyDescent="0.35">
      <c r="A48" s="54"/>
      <c r="B48" s="54"/>
      <c r="C48" s="54"/>
      <c r="D48" s="54"/>
    </row>
    <row r="49" spans="1:4" ht="32" customHeight="1" x14ac:dyDescent="0.35">
      <c r="B49" s="1319" t="s">
        <v>499</v>
      </c>
      <c r="C49" s="1313"/>
      <c r="D49" s="1313"/>
    </row>
    <row r="50" spans="1:4" ht="20" customHeight="1" x14ac:dyDescent="0.35">
      <c r="B50" s="71" t="s">
        <v>500</v>
      </c>
      <c r="C50" s="72" t="s">
        <v>501</v>
      </c>
    </row>
    <row r="51" spans="1:4" ht="20" customHeight="1" x14ac:dyDescent="0.35">
      <c r="B51" s="73" t="s">
        <v>502</v>
      </c>
      <c r="C51" s="74" t="s">
        <v>503</v>
      </c>
    </row>
    <row r="52" spans="1:4" ht="20" customHeight="1" x14ac:dyDescent="0.35">
      <c r="B52" s="71" t="s">
        <v>504</v>
      </c>
      <c r="C52" s="72" t="s">
        <v>505</v>
      </c>
    </row>
    <row r="53" spans="1:4" ht="6" customHeight="1" x14ac:dyDescent="0.35">
      <c r="A53" s="54"/>
      <c r="B53" s="54"/>
      <c r="C53" s="54"/>
      <c r="D53" s="54"/>
    </row>
    <row r="54" spans="1:4" ht="32" customHeight="1" x14ac:dyDescent="0.35">
      <c r="B54" s="1325" t="s">
        <v>506</v>
      </c>
      <c r="C54" s="1313"/>
      <c r="D54" s="1313"/>
    </row>
    <row r="55" spans="1:4" ht="20" customHeight="1" x14ac:dyDescent="0.35">
      <c r="B55" s="75" t="s">
        <v>507</v>
      </c>
      <c r="C55" s="76" t="s">
        <v>508</v>
      </c>
    </row>
    <row r="56" spans="1:4" ht="20" customHeight="1" x14ac:dyDescent="0.35">
      <c r="B56" s="77" t="s">
        <v>509</v>
      </c>
      <c r="C56" s="78" t="s">
        <v>510</v>
      </c>
    </row>
    <row r="57" spans="1:4" ht="20" customHeight="1" x14ac:dyDescent="0.35">
      <c r="B57" s="75" t="s">
        <v>511</v>
      </c>
      <c r="C57" s="76" t="s">
        <v>512</v>
      </c>
    </row>
    <row r="58" spans="1:4" ht="6" customHeight="1" x14ac:dyDescent="0.35">
      <c r="A58" s="54"/>
      <c r="B58" s="54"/>
      <c r="C58" s="54"/>
      <c r="D58" s="54"/>
    </row>
    <row r="59" spans="1:4" ht="32" customHeight="1" x14ac:dyDescent="0.35">
      <c r="B59" s="1317" t="s">
        <v>513</v>
      </c>
      <c r="C59" s="1313"/>
      <c r="D59" s="1313"/>
    </row>
    <row r="60" spans="1:4" ht="20" customHeight="1" x14ac:dyDescent="0.35">
      <c r="B60" s="79" t="s">
        <v>514</v>
      </c>
      <c r="C60" s="80" t="s">
        <v>515</v>
      </c>
    </row>
    <row r="61" spans="1:4" ht="20" customHeight="1" x14ac:dyDescent="0.35">
      <c r="B61" s="81" t="s">
        <v>516</v>
      </c>
      <c r="C61" s="82" t="s">
        <v>517</v>
      </c>
    </row>
    <row r="62" spans="1:4" ht="20" customHeight="1" x14ac:dyDescent="0.35">
      <c r="B62" s="79" t="s">
        <v>518</v>
      </c>
      <c r="C62" s="80" t="s">
        <v>519</v>
      </c>
    </row>
    <row r="63" spans="1:4" ht="20" customHeight="1" x14ac:dyDescent="0.35">
      <c r="B63" s="81" t="s">
        <v>520</v>
      </c>
      <c r="C63" s="82" t="s">
        <v>521</v>
      </c>
    </row>
    <row r="64" spans="1:4" ht="20" customHeight="1" x14ac:dyDescent="0.35">
      <c r="B64" s="79" t="s">
        <v>522</v>
      </c>
      <c r="C64" s="80" t="s">
        <v>523</v>
      </c>
    </row>
    <row r="65" spans="1:4" ht="20" customHeight="1" x14ac:dyDescent="0.35">
      <c r="B65" s="81" t="s">
        <v>524</v>
      </c>
      <c r="C65" s="82" t="s">
        <v>525</v>
      </c>
    </row>
    <row r="66" spans="1:4" ht="6" customHeight="1" x14ac:dyDescent="0.35">
      <c r="A66" s="54"/>
      <c r="B66" s="54"/>
      <c r="C66" s="54"/>
      <c r="D66" s="54"/>
    </row>
    <row r="67" spans="1:4" ht="36" customHeight="1" x14ac:dyDescent="0.35">
      <c r="A67" s="1318" t="s">
        <v>526</v>
      </c>
      <c r="B67" s="1313"/>
      <c r="C67" s="1313"/>
      <c r="D67" s="1313"/>
    </row>
    <row r="68" spans="1:4" ht="6" customHeight="1" x14ac:dyDescent="0.35">
      <c r="A68" s="54"/>
      <c r="B68" s="54"/>
      <c r="C68" s="54"/>
      <c r="D68" s="54"/>
    </row>
    <row r="69" spans="1:4" ht="22" customHeight="1" x14ac:dyDescent="0.35">
      <c r="B69" s="1315" t="s">
        <v>527</v>
      </c>
      <c r="C69" s="1313"/>
      <c r="D69" s="1313"/>
    </row>
    <row r="70" spans="1:4" ht="20" customHeight="1" x14ac:dyDescent="0.35">
      <c r="B70" s="83" t="s">
        <v>528</v>
      </c>
      <c r="C70" s="84" t="str">
        <f>HYPERLINK("https://www.visitportugal.com","visitportugal.com")</f>
        <v>visitportugal.com</v>
      </c>
    </row>
    <row r="71" spans="1:4" ht="20" customHeight="1" x14ac:dyDescent="0.35">
      <c r="B71" s="83" t="s">
        <v>529</v>
      </c>
      <c r="C71" s="84" t="str">
        <f>HYPERLINK("https://www.aima.gov.pt","aima.gov.pt")</f>
        <v>aima.gov.pt</v>
      </c>
    </row>
    <row r="72" spans="1:4" ht="20" customHeight="1" x14ac:dyDescent="0.35">
      <c r="B72" s="83" t="s">
        <v>530</v>
      </c>
      <c r="C72" s="84" t="str">
        <f>HYPERLINK("https://travel-europe.europa.eu/etias_en","travel-europe.europa.eu/etias")</f>
        <v>travel-europe.europa.eu/etias</v>
      </c>
    </row>
    <row r="73" spans="1:4" ht="20" customHeight="1" x14ac:dyDescent="0.35">
      <c r="B73" s="83" t="s">
        <v>531</v>
      </c>
      <c r="C73" s="84" t="str">
        <f>HYPERLINK("https://www.cp.pt","cp.pt")</f>
        <v>cp.pt</v>
      </c>
    </row>
    <row r="74" spans="1:4" ht="20" customHeight="1" x14ac:dyDescent="0.35">
      <c r="B74" s="83" t="s">
        <v>532</v>
      </c>
      <c r="C74" s="84" t="str">
        <f>HYPERLINK("https://www.ana.pt","ana.pt")</f>
        <v>ana.pt</v>
      </c>
    </row>
    <row r="75" spans="1:4" ht="20" customHeight="1" x14ac:dyDescent="0.35">
      <c r="B75" s="83" t="s">
        <v>533</v>
      </c>
      <c r="C75" s="84" t="str">
        <f>HYPERLINK("https://www.sns24.gov.pt","sns24.gov.pt")</f>
        <v>sns24.gov.pt</v>
      </c>
    </row>
    <row r="76" spans="1:4" ht="20" customHeight="1" x14ac:dyDescent="0.35">
      <c r="B76" s="83" t="s">
        <v>534</v>
      </c>
      <c r="C76" s="84" t="str">
        <f>HYPERLINK("https://www.livroreclamacoes.pt","livroreclamacoes.pt")</f>
        <v>livroreclamacoes.pt</v>
      </c>
    </row>
  </sheetData>
  <mergeCells count="13">
    <mergeCell ref="B69:D69"/>
    <mergeCell ref="A1:D1"/>
    <mergeCell ref="B59:D59"/>
    <mergeCell ref="A67:D67"/>
    <mergeCell ref="B31:D31"/>
    <mergeCell ref="B49:D49"/>
    <mergeCell ref="B4:D4"/>
    <mergeCell ref="B26:D26"/>
    <mergeCell ref="B40:D40"/>
    <mergeCell ref="B13:D13"/>
    <mergeCell ref="A2:D2"/>
    <mergeCell ref="B25:D25"/>
    <mergeCell ref="B54:D5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565C0"/>
  </sheetPr>
  <dimension ref="A1:G67"/>
  <sheetViews>
    <sheetView showGridLines="0" workbookViewId="0">
      <pane ySplit="3" topLeftCell="A36" activePane="bottomLeft" state="frozen"/>
      <selection pane="bottomLeft" sqref="A1:G1"/>
    </sheetView>
  </sheetViews>
  <sheetFormatPr defaultRowHeight="14.5" x14ac:dyDescent="0.35"/>
  <cols>
    <col min="1" max="1" width="3" customWidth="1"/>
    <col min="2" max="2" width="28" customWidth="1"/>
    <col min="3" max="4" width="22" customWidth="1"/>
    <col min="5" max="5" width="52" customWidth="1"/>
    <col min="6" max="6" width="30" customWidth="1"/>
    <col min="7" max="7" width="28" customWidth="1"/>
  </cols>
  <sheetData>
    <row r="1" spans="1:7" ht="44" customHeight="1" x14ac:dyDescent="0.35">
      <c r="A1" s="1326" t="s">
        <v>535</v>
      </c>
      <c r="B1" s="1313"/>
      <c r="C1" s="1313"/>
      <c r="D1" s="1313"/>
      <c r="E1" s="1313"/>
      <c r="F1" s="1313"/>
      <c r="G1" s="1313"/>
    </row>
    <row r="2" spans="1:7" ht="18" customHeight="1" x14ac:dyDescent="0.35">
      <c r="A2" s="1331" t="s">
        <v>536</v>
      </c>
      <c r="B2" s="1313"/>
      <c r="C2" s="1313"/>
      <c r="D2" s="1313"/>
      <c r="E2" s="1313"/>
      <c r="F2" s="1313"/>
      <c r="G2" s="1313"/>
    </row>
    <row r="4" spans="1:7" ht="26" customHeight="1" x14ac:dyDescent="0.35">
      <c r="A4" s="1330" t="s">
        <v>537</v>
      </c>
      <c r="B4" s="1313"/>
      <c r="C4" s="1313"/>
      <c r="D4" s="1313"/>
      <c r="E4" s="1313"/>
      <c r="F4" s="1313"/>
      <c r="G4" s="1313"/>
    </row>
    <row r="5" spans="1:7" ht="24" customHeight="1" x14ac:dyDescent="0.35">
      <c r="A5" s="91" t="s">
        <v>141</v>
      </c>
      <c r="B5" s="91" t="s">
        <v>538</v>
      </c>
      <c r="C5" s="91" t="s">
        <v>539</v>
      </c>
      <c r="D5" s="91" t="s">
        <v>540</v>
      </c>
      <c r="E5" s="91" t="s">
        <v>541</v>
      </c>
      <c r="F5" s="91" t="s">
        <v>542</v>
      </c>
      <c r="G5" s="91" t="s">
        <v>543</v>
      </c>
    </row>
    <row r="6" spans="1:7" ht="22" customHeight="1" x14ac:dyDescent="0.35">
      <c r="A6" s="92">
        <v>1</v>
      </c>
      <c r="B6" s="92" t="s">
        <v>544</v>
      </c>
      <c r="C6" s="93" t="str">
        <f>HYPERLINK("https://cp.pt","cp.pt")</f>
        <v>cp.pt</v>
      </c>
      <c r="D6" s="92" t="s">
        <v>545</v>
      </c>
      <c r="E6" s="94" t="s">
        <v>546</v>
      </c>
      <c r="F6" s="94" t="s">
        <v>547</v>
      </c>
      <c r="G6" s="94" t="s">
        <v>548</v>
      </c>
    </row>
    <row r="7" spans="1:7" ht="22" customHeight="1" x14ac:dyDescent="0.35">
      <c r="A7" s="43">
        <v>2</v>
      </c>
      <c r="B7" s="43" t="s">
        <v>549</v>
      </c>
      <c r="C7" s="95" t="str">
        <f>HYPERLINK("https://rede-expressos.pt","rede-expressos.pt")</f>
        <v>rede-expressos.pt</v>
      </c>
      <c r="D7" s="43" t="s">
        <v>550</v>
      </c>
      <c r="E7" s="44" t="s">
        <v>551</v>
      </c>
      <c r="F7" s="44" t="s">
        <v>552</v>
      </c>
      <c r="G7" s="44" t="s">
        <v>553</v>
      </c>
    </row>
    <row r="8" spans="1:7" ht="22" customHeight="1" x14ac:dyDescent="0.35">
      <c r="A8" s="92">
        <v>3</v>
      </c>
      <c r="B8" s="92" t="s">
        <v>554</v>
      </c>
      <c r="C8" s="93" t="str">
        <f>HYPERLINK("https://flixbus.pt","flixbus.pt")</f>
        <v>flixbus.pt</v>
      </c>
      <c r="D8" s="92" t="s">
        <v>550</v>
      </c>
      <c r="E8" s="94" t="s">
        <v>555</v>
      </c>
      <c r="F8" s="94" t="s">
        <v>556</v>
      </c>
      <c r="G8" s="94" t="s">
        <v>557</v>
      </c>
    </row>
    <row r="9" spans="1:7" ht="22" customHeight="1" x14ac:dyDescent="0.35">
      <c r="A9" s="43">
        <v>4</v>
      </c>
      <c r="B9" s="43" t="s">
        <v>558</v>
      </c>
      <c r="C9" s="95" t="str">
        <f>HYPERLINK("https://renfe.com","renfe.com")</f>
        <v>renfe.com</v>
      </c>
      <c r="D9" s="43" t="s">
        <v>559</v>
      </c>
      <c r="E9" s="44" t="s">
        <v>560</v>
      </c>
      <c r="F9" s="44" t="s">
        <v>561</v>
      </c>
      <c r="G9" s="44" t="s">
        <v>562</v>
      </c>
    </row>
    <row r="10" spans="1:7" ht="22" customHeight="1" x14ac:dyDescent="0.35">
      <c r="A10" s="92">
        <v>5</v>
      </c>
      <c r="B10" s="92" t="s">
        <v>563</v>
      </c>
      <c r="C10" s="93" t="str">
        <f>HYPERLINK("https://alsa.pt","alsa.pt")</f>
        <v>alsa.pt</v>
      </c>
      <c r="D10" s="92" t="s">
        <v>564</v>
      </c>
      <c r="E10" s="94" t="s">
        <v>565</v>
      </c>
      <c r="F10" s="94" t="s">
        <v>566</v>
      </c>
      <c r="G10" s="94" t="s">
        <v>567</v>
      </c>
    </row>
    <row r="11" spans="1:7" ht="8" customHeight="1" x14ac:dyDescent="0.35">
      <c r="A11" s="54"/>
      <c r="B11" s="54"/>
      <c r="C11" s="54"/>
      <c r="D11" s="54"/>
      <c r="E11" s="54"/>
      <c r="F11" s="54"/>
      <c r="G11" s="54"/>
    </row>
    <row r="12" spans="1:7" ht="26" customHeight="1" x14ac:dyDescent="0.35">
      <c r="A12" s="1329" t="s">
        <v>568</v>
      </c>
      <c r="B12" s="1313"/>
      <c r="C12" s="1313"/>
      <c r="D12" s="1313"/>
      <c r="E12" s="1313"/>
      <c r="F12" s="1313"/>
      <c r="G12" s="1313"/>
    </row>
    <row r="13" spans="1:7" ht="24" customHeight="1" x14ac:dyDescent="0.35">
      <c r="A13" s="91" t="s">
        <v>141</v>
      </c>
      <c r="B13" s="91" t="s">
        <v>538</v>
      </c>
      <c r="C13" s="91" t="s">
        <v>539</v>
      </c>
      <c r="D13" s="91" t="s">
        <v>540</v>
      </c>
      <c r="E13" s="91" t="s">
        <v>541</v>
      </c>
      <c r="F13" s="91" t="s">
        <v>542</v>
      </c>
      <c r="G13" s="91" t="s">
        <v>543</v>
      </c>
    </row>
    <row r="14" spans="1:7" ht="22" customHeight="1" x14ac:dyDescent="0.35">
      <c r="A14" s="92">
        <v>1</v>
      </c>
      <c r="B14" s="92" t="s">
        <v>569</v>
      </c>
      <c r="C14" s="93" t="str">
        <f>HYPERLINK("https://carrismetropolitana.pt","carrismetropolitana.pt")</f>
        <v>carrismetropolitana.pt</v>
      </c>
      <c r="D14" s="92" t="s">
        <v>570</v>
      </c>
      <c r="E14" s="94" t="s">
        <v>571</v>
      </c>
      <c r="F14" s="94" t="s">
        <v>572</v>
      </c>
      <c r="G14" s="94" t="s">
        <v>573</v>
      </c>
    </row>
    <row r="15" spans="1:7" ht="22" customHeight="1" x14ac:dyDescent="0.35">
      <c r="A15" s="43">
        <v>2</v>
      </c>
      <c r="B15" s="43" t="s">
        <v>574</v>
      </c>
      <c r="C15" s="95" t="str">
        <f>HYPERLINK("https://carris.pt","carris.pt")</f>
        <v>carris.pt</v>
      </c>
      <c r="D15" s="43" t="s">
        <v>575</v>
      </c>
      <c r="E15" s="44" t="s">
        <v>576</v>
      </c>
      <c r="F15" s="44" t="s">
        <v>577</v>
      </c>
      <c r="G15" s="44" t="s">
        <v>578</v>
      </c>
    </row>
    <row r="16" spans="1:7" ht="22" customHeight="1" x14ac:dyDescent="0.35">
      <c r="A16" s="92">
        <v>3</v>
      </c>
      <c r="B16" s="92" t="s">
        <v>579</v>
      </c>
      <c r="C16" s="93" t="str">
        <f>HYPERLINK("https://metrolisboa.pt","metrolisboa.pt")</f>
        <v>metrolisboa.pt</v>
      </c>
      <c r="D16" s="92" t="s">
        <v>580</v>
      </c>
      <c r="E16" s="94" t="s">
        <v>581</v>
      </c>
      <c r="F16" s="94" t="s">
        <v>582</v>
      </c>
      <c r="G16" s="94" t="s">
        <v>583</v>
      </c>
    </row>
    <row r="17" spans="1:7" ht="22" customHeight="1" x14ac:dyDescent="0.35">
      <c r="A17" s="43">
        <v>4</v>
      </c>
      <c r="B17" s="43" t="s">
        <v>584</v>
      </c>
      <c r="C17" s="95" t="str">
        <f>HYPERLINK("https://fertagus.pt","fertagus.pt")</f>
        <v>fertagus.pt</v>
      </c>
      <c r="D17" s="43" t="s">
        <v>585</v>
      </c>
      <c r="E17" s="44" t="s">
        <v>586</v>
      </c>
      <c r="F17" s="44" t="s">
        <v>587</v>
      </c>
      <c r="G17" s="44" t="s">
        <v>588</v>
      </c>
    </row>
    <row r="18" spans="1:7" ht="22" customHeight="1" x14ac:dyDescent="0.35">
      <c r="A18" s="92">
        <v>5</v>
      </c>
      <c r="B18" s="92" t="s">
        <v>589</v>
      </c>
      <c r="C18" s="93" t="str">
        <f>HYPERLINK("https://ttsl.pt","ttsl.pt")</f>
        <v>ttsl.pt</v>
      </c>
      <c r="D18" s="92" t="s">
        <v>590</v>
      </c>
      <c r="E18" s="94" t="s">
        <v>591</v>
      </c>
      <c r="F18" s="94" t="s">
        <v>592</v>
      </c>
      <c r="G18" s="94" t="s">
        <v>593</v>
      </c>
    </row>
    <row r="19" spans="1:7" ht="22" customHeight="1" x14ac:dyDescent="0.35">
      <c r="A19" s="43">
        <v>6</v>
      </c>
      <c r="B19" s="43" t="s">
        <v>594</v>
      </c>
      <c r="C19" s="95" t="str">
        <f>HYPERLINK("https://mts.pt","mts.pt")</f>
        <v>mts.pt</v>
      </c>
      <c r="D19" s="43" t="s">
        <v>595</v>
      </c>
      <c r="E19" s="44" t="s">
        <v>596</v>
      </c>
      <c r="F19" s="44" t="s">
        <v>597</v>
      </c>
      <c r="G19" s="44" t="s">
        <v>598</v>
      </c>
    </row>
    <row r="20" spans="1:7" ht="8" customHeight="1" x14ac:dyDescent="0.35">
      <c r="A20" s="54"/>
      <c r="B20" s="54"/>
      <c r="C20" s="54"/>
      <c r="D20" s="54"/>
      <c r="E20" s="54"/>
      <c r="F20" s="54"/>
      <c r="G20" s="54"/>
    </row>
    <row r="21" spans="1:7" ht="26" customHeight="1" x14ac:dyDescent="0.35">
      <c r="A21" s="1329" t="s">
        <v>599</v>
      </c>
      <c r="B21" s="1313"/>
      <c r="C21" s="1313"/>
      <c r="D21" s="1313"/>
      <c r="E21" s="1313"/>
      <c r="F21" s="1313"/>
      <c r="G21" s="1313"/>
    </row>
    <row r="22" spans="1:7" ht="24" customHeight="1" x14ac:dyDescent="0.35">
      <c r="A22" s="91" t="s">
        <v>141</v>
      </c>
      <c r="B22" s="91" t="s">
        <v>538</v>
      </c>
      <c r="C22" s="91" t="s">
        <v>539</v>
      </c>
      <c r="D22" s="91" t="s">
        <v>540</v>
      </c>
      <c r="E22" s="91" t="s">
        <v>541</v>
      </c>
      <c r="F22" s="91" t="s">
        <v>542</v>
      </c>
      <c r="G22" s="91" t="s">
        <v>543</v>
      </c>
    </row>
    <row r="23" spans="1:7" ht="22" customHeight="1" x14ac:dyDescent="0.35">
      <c r="A23" s="43">
        <v>1</v>
      </c>
      <c r="B23" s="43" t="s">
        <v>600</v>
      </c>
      <c r="C23" s="95" t="str">
        <f>HYPERLINK("https://unirmobilidade.pt","unirmobilidade.pt")</f>
        <v>unirmobilidade.pt</v>
      </c>
      <c r="D23" s="43" t="s">
        <v>570</v>
      </c>
      <c r="E23" s="44" t="s">
        <v>601</v>
      </c>
      <c r="F23" s="44" t="s">
        <v>602</v>
      </c>
      <c r="G23" s="44" t="s">
        <v>603</v>
      </c>
    </row>
    <row r="24" spans="1:7" ht="22" customHeight="1" x14ac:dyDescent="0.35">
      <c r="A24" s="92">
        <v>2</v>
      </c>
      <c r="B24" s="92" t="s">
        <v>604</v>
      </c>
      <c r="C24" s="93" t="str">
        <f>HYPERLINK("https://metrodoporto.pt","metrodoporto.pt")</f>
        <v>metrodoporto.pt</v>
      </c>
      <c r="D24" s="92" t="s">
        <v>605</v>
      </c>
      <c r="E24" s="94" t="s">
        <v>606</v>
      </c>
      <c r="F24" s="94" t="s">
        <v>607</v>
      </c>
      <c r="G24" s="94" t="s">
        <v>608</v>
      </c>
    </row>
    <row r="25" spans="1:7" ht="22" customHeight="1" x14ac:dyDescent="0.35">
      <c r="A25" s="43">
        <v>3</v>
      </c>
      <c r="B25" s="43" t="s">
        <v>609</v>
      </c>
      <c r="C25" s="95" t="str">
        <f>HYPERLINK("https://stcp.pt","stcp.pt")</f>
        <v>stcp.pt</v>
      </c>
      <c r="D25" s="43" t="s">
        <v>610</v>
      </c>
      <c r="E25" s="44" t="s">
        <v>611</v>
      </c>
      <c r="F25" s="44" t="s">
        <v>612</v>
      </c>
      <c r="G25" s="44" t="s">
        <v>613</v>
      </c>
    </row>
    <row r="26" spans="1:7" ht="22" customHeight="1" x14ac:dyDescent="0.35">
      <c r="A26" s="92">
        <v>4</v>
      </c>
      <c r="B26" s="92" t="s">
        <v>614</v>
      </c>
      <c r="C26" s="93" t="str">
        <f>HYPERLINK("https://cp.pt","cp.pt")</f>
        <v>cp.pt</v>
      </c>
      <c r="D26" s="92" t="s">
        <v>585</v>
      </c>
      <c r="E26" s="94" t="s">
        <v>615</v>
      </c>
      <c r="F26" s="94" t="s">
        <v>616</v>
      </c>
      <c r="G26" s="94" t="s">
        <v>617</v>
      </c>
    </row>
    <row r="27" spans="1:7" ht="8" customHeight="1" x14ac:dyDescent="0.35">
      <c r="A27" s="54"/>
      <c r="B27" s="54"/>
      <c r="C27" s="54"/>
      <c r="D27" s="54"/>
      <c r="E27" s="54"/>
      <c r="F27" s="54"/>
      <c r="G27" s="54"/>
    </row>
    <row r="28" spans="1:7" ht="26" customHeight="1" x14ac:dyDescent="0.35">
      <c r="A28" s="1333" t="s">
        <v>618</v>
      </c>
      <c r="B28" s="1313"/>
      <c r="C28" s="1313"/>
      <c r="D28" s="1313"/>
      <c r="E28" s="1313"/>
      <c r="F28" s="1313"/>
      <c r="G28" s="1313"/>
    </row>
    <row r="29" spans="1:7" ht="24" customHeight="1" x14ac:dyDescent="0.35">
      <c r="A29" s="91" t="s">
        <v>619</v>
      </c>
      <c r="B29" s="91" t="s">
        <v>538</v>
      </c>
      <c r="C29" s="91" t="s">
        <v>539</v>
      </c>
      <c r="D29" s="91" t="s">
        <v>620</v>
      </c>
      <c r="E29" s="91" t="s">
        <v>621</v>
      </c>
      <c r="F29" s="91" t="s">
        <v>542</v>
      </c>
      <c r="G29" s="91" t="s">
        <v>622</v>
      </c>
    </row>
    <row r="30" spans="1:7" ht="22" customHeight="1" x14ac:dyDescent="0.35">
      <c r="A30" s="92" t="s">
        <v>623</v>
      </c>
      <c r="B30" s="92" t="s">
        <v>624</v>
      </c>
      <c r="C30" s="93" t="str">
        <f>HYPERLINK("https://tub.pt","tub.pt")</f>
        <v>tub.pt</v>
      </c>
      <c r="D30" s="92" t="s">
        <v>625</v>
      </c>
      <c r="E30" s="94" t="s">
        <v>626</v>
      </c>
      <c r="F30" s="94" t="s">
        <v>627</v>
      </c>
      <c r="G30" s="94" t="s">
        <v>628</v>
      </c>
    </row>
    <row r="31" spans="1:7" ht="22" customHeight="1" x14ac:dyDescent="0.35">
      <c r="A31" s="43" t="s">
        <v>623</v>
      </c>
      <c r="B31" s="43" t="s">
        <v>629</v>
      </c>
      <c r="C31" s="95" t="str">
        <f>HYPERLINK("https://guimabus.pt","guimabus.pt")</f>
        <v>guimabus.pt</v>
      </c>
      <c r="D31" s="43" t="s">
        <v>625</v>
      </c>
      <c r="E31" s="44" t="s">
        <v>630</v>
      </c>
      <c r="F31" s="44" t="s">
        <v>631</v>
      </c>
      <c r="G31" s="44" t="s">
        <v>632</v>
      </c>
    </row>
    <row r="32" spans="1:7" ht="22" customHeight="1" x14ac:dyDescent="0.35">
      <c r="A32" s="92" t="s">
        <v>633</v>
      </c>
      <c r="B32" s="92" t="s">
        <v>634</v>
      </c>
      <c r="C32" s="93" t="str">
        <f>HYPERLINK("https://cp.pt","cp.pt")</f>
        <v>cp.pt</v>
      </c>
      <c r="D32" s="92" t="s">
        <v>635</v>
      </c>
      <c r="E32" s="94" t="s">
        <v>636</v>
      </c>
      <c r="F32" s="94" t="s">
        <v>637</v>
      </c>
      <c r="G32" s="94" t="s">
        <v>638</v>
      </c>
    </row>
    <row r="33" spans="1:7" ht="22" customHeight="1" x14ac:dyDescent="0.35">
      <c r="A33" s="43" t="s">
        <v>639</v>
      </c>
      <c r="B33" s="43" t="s">
        <v>640</v>
      </c>
      <c r="C33" s="95" t="str">
        <f>HYPERLINK("https://rodonorte.pt","rodonorte.pt")</f>
        <v>rodonorte.pt</v>
      </c>
      <c r="D33" s="43" t="s">
        <v>625</v>
      </c>
      <c r="E33" s="44" t="s">
        <v>641</v>
      </c>
      <c r="F33" s="44" t="s">
        <v>642</v>
      </c>
      <c r="G33" s="44" t="s">
        <v>643</v>
      </c>
    </row>
    <row r="34" spans="1:7" ht="22" customHeight="1" x14ac:dyDescent="0.35">
      <c r="A34" s="92" t="s">
        <v>644</v>
      </c>
      <c r="B34" s="92" t="s">
        <v>645</v>
      </c>
      <c r="C34" s="93" t="str">
        <f>HYPERLINK("https://smtuc.pt","smtuc.pt")</f>
        <v>smtuc.pt</v>
      </c>
      <c r="D34" s="92" t="s">
        <v>646</v>
      </c>
      <c r="E34" s="94" t="s">
        <v>647</v>
      </c>
      <c r="F34" s="94" t="s">
        <v>648</v>
      </c>
      <c r="G34" s="94" t="s">
        <v>649</v>
      </c>
    </row>
    <row r="35" spans="1:7" ht="22" customHeight="1" x14ac:dyDescent="0.35">
      <c r="A35" s="43" t="s">
        <v>650</v>
      </c>
      <c r="B35" s="43" t="s">
        <v>651</v>
      </c>
      <c r="C35" s="95" t="str">
        <f>HYPERLINK("https://aveirobus.pt","aveirobus.pt")</f>
        <v>aveirobus.pt</v>
      </c>
      <c r="D35" s="43" t="s">
        <v>652</v>
      </c>
      <c r="E35" s="44" t="s">
        <v>653</v>
      </c>
      <c r="F35" s="44" t="s">
        <v>654</v>
      </c>
      <c r="G35" s="44" t="s">
        <v>655</v>
      </c>
    </row>
    <row r="36" spans="1:7" ht="22" customHeight="1" x14ac:dyDescent="0.35">
      <c r="A36" s="92" t="s">
        <v>656</v>
      </c>
      <c r="B36" s="92" t="s">
        <v>657</v>
      </c>
      <c r="C36" s="93" t="str">
        <f>HYPERLINK("https://mobilis.pt","mobilis.pt")</f>
        <v>mobilis.pt</v>
      </c>
      <c r="D36" s="92" t="s">
        <v>625</v>
      </c>
      <c r="E36" s="94" t="s">
        <v>658</v>
      </c>
      <c r="F36" s="94" t="s">
        <v>659</v>
      </c>
      <c r="G36" s="94" t="s">
        <v>660</v>
      </c>
    </row>
    <row r="37" spans="1:7" ht="22" customHeight="1" x14ac:dyDescent="0.35">
      <c r="A37" s="43" t="s">
        <v>661</v>
      </c>
      <c r="B37" s="43" t="s">
        <v>662</v>
      </c>
      <c r="C37" s="95" t="str">
        <f>HYPERLINK("https://rodotejo.pt","rodotejo.pt")</f>
        <v>rodotejo.pt</v>
      </c>
      <c r="D37" s="43" t="s">
        <v>625</v>
      </c>
      <c r="E37" s="44" t="s">
        <v>663</v>
      </c>
      <c r="F37" s="44" t="s">
        <v>664</v>
      </c>
      <c r="G37" s="44" t="s">
        <v>665</v>
      </c>
    </row>
    <row r="38" spans="1:7" ht="22" customHeight="1" x14ac:dyDescent="0.35">
      <c r="A38" s="92" t="s">
        <v>666</v>
      </c>
      <c r="B38" s="92" t="s">
        <v>667</v>
      </c>
      <c r="C38" s="93" t="str">
        <f>HYPERLINK("https://trevo.com.pt","trevo.com.pt")</f>
        <v>trevo.com.pt</v>
      </c>
      <c r="D38" s="92" t="s">
        <v>625</v>
      </c>
      <c r="E38" s="94" t="s">
        <v>668</v>
      </c>
      <c r="F38" s="94" t="s">
        <v>669</v>
      </c>
      <c r="G38" s="94" t="s">
        <v>670</v>
      </c>
    </row>
    <row r="39" spans="1:7" ht="22" customHeight="1" x14ac:dyDescent="0.35">
      <c r="A39" s="43" t="s">
        <v>671</v>
      </c>
      <c r="B39" s="43" t="s">
        <v>672</v>
      </c>
      <c r="C39" s="95" t="str">
        <f>HYPERLINK("https://transporiente.com.pt","transporiente.com.pt")</f>
        <v>transporiente.com.pt</v>
      </c>
      <c r="D39" s="43" t="s">
        <v>625</v>
      </c>
      <c r="E39" s="44" t="s">
        <v>673</v>
      </c>
      <c r="F39" s="44" t="s">
        <v>674</v>
      </c>
      <c r="G39" s="44" t="s">
        <v>675</v>
      </c>
    </row>
    <row r="40" spans="1:7" ht="22" customHeight="1" x14ac:dyDescent="0.35">
      <c r="A40" s="92" t="s">
        <v>676</v>
      </c>
      <c r="B40" s="92" t="s">
        <v>677</v>
      </c>
      <c r="C40" s="93" t="str">
        <f>HYPERLINK("https://vamusalgarve.pt","vamusalgarve.pt")</f>
        <v>vamusalgarve.pt</v>
      </c>
      <c r="D40" s="92" t="s">
        <v>625</v>
      </c>
      <c r="E40" s="94" t="s">
        <v>678</v>
      </c>
      <c r="F40" s="94" t="s">
        <v>679</v>
      </c>
      <c r="G40" s="94" t="s">
        <v>680</v>
      </c>
    </row>
    <row r="41" spans="1:7" ht="22" customHeight="1" x14ac:dyDescent="0.35">
      <c r="A41" s="43" t="s">
        <v>681</v>
      </c>
      <c r="B41" s="43" t="s">
        <v>682</v>
      </c>
      <c r="C41" s="95" t="str">
        <f>HYPERLINK("https://eva-bus.com","eva-bus.com")</f>
        <v>eva-bus.com</v>
      </c>
      <c r="D41" s="43" t="s">
        <v>625</v>
      </c>
      <c r="E41" s="44" t="s">
        <v>683</v>
      </c>
      <c r="F41" s="44" t="s">
        <v>684</v>
      </c>
      <c r="G41" s="44" t="s">
        <v>685</v>
      </c>
    </row>
    <row r="42" spans="1:7" ht="22" customHeight="1" x14ac:dyDescent="0.35">
      <c r="A42" s="92" t="s">
        <v>524</v>
      </c>
      <c r="B42" s="92" t="s">
        <v>686</v>
      </c>
      <c r="C42" s="93" t="str">
        <f>HYPERLINK("https://horariosdofunchal.pt","horariosdofunchal.pt")</f>
        <v>horariosdofunchal.pt</v>
      </c>
      <c r="D42" s="92" t="s">
        <v>625</v>
      </c>
      <c r="E42" s="94" t="s">
        <v>687</v>
      </c>
      <c r="F42" s="94" t="s">
        <v>688</v>
      </c>
      <c r="G42" s="94" t="s">
        <v>689</v>
      </c>
    </row>
    <row r="43" spans="1:7" ht="22" customHeight="1" x14ac:dyDescent="0.35">
      <c r="A43" s="43" t="s">
        <v>690</v>
      </c>
      <c r="B43" s="43" t="s">
        <v>691</v>
      </c>
      <c r="C43" s="95" t="str">
        <f>HYPERLINK("https://sambus.pt","sambus.pt")</f>
        <v>sambus.pt</v>
      </c>
      <c r="D43" s="43" t="s">
        <v>625</v>
      </c>
      <c r="E43" s="44" t="s">
        <v>692</v>
      </c>
      <c r="F43" s="44" t="s">
        <v>693</v>
      </c>
      <c r="G43" s="44" t="s">
        <v>694</v>
      </c>
    </row>
    <row r="44" spans="1:7" ht="22" customHeight="1" x14ac:dyDescent="0.35">
      <c r="A44" s="92" t="s">
        <v>695</v>
      </c>
      <c r="B44" s="92" t="s">
        <v>696</v>
      </c>
      <c r="C44" s="93" t="str">
        <f>HYPERLINK("https://busacores.pt","busacores.pt")</f>
        <v>busacores.pt</v>
      </c>
      <c r="D44" s="92" t="s">
        <v>625</v>
      </c>
      <c r="E44" s="94" t="s">
        <v>697</v>
      </c>
      <c r="F44" s="94" t="s">
        <v>664</v>
      </c>
      <c r="G44" s="94" t="s">
        <v>698</v>
      </c>
    </row>
    <row r="45" spans="1:7" ht="22" customHeight="1" x14ac:dyDescent="0.35">
      <c r="A45" s="43" t="s">
        <v>699</v>
      </c>
      <c r="B45" s="43" t="s">
        <v>700</v>
      </c>
      <c r="C45" s="95" t="str">
        <f>HYPERLINK("https://sata.pt","sata.pt")</f>
        <v>sata.pt</v>
      </c>
      <c r="D45" s="43" t="s">
        <v>625</v>
      </c>
      <c r="E45" s="44" t="s">
        <v>701</v>
      </c>
      <c r="F45" s="44" t="s">
        <v>674</v>
      </c>
      <c r="G45" s="44" t="s">
        <v>702</v>
      </c>
    </row>
    <row r="46" spans="1:7" ht="8" customHeight="1" x14ac:dyDescent="0.35">
      <c r="A46" s="54"/>
      <c r="B46" s="54"/>
      <c r="C46" s="54"/>
      <c r="D46" s="54"/>
      <c r="E46" s="54"/>
      <c r="F46" s="54"/>
      <c r="G46" s="54"/>
    </row>
    <row r="47" spans="1:7" ht="26" customHeight="1" x14ac:dyDescent="0.35">
      <c r="A47" s="1332" t="s">
        <v>703</v>
      </c>
      <c r="B47" s="1313"/>
      <c r="C47" s="1313"/>
      <c r="D47" s="1313"/>
      <c r="E47" s="1313"/>
      <c r="F47" s="1313"/>
      <c r="G47" s="1313"/>
    </row>
    <row r="48" spans="1:7" ht="24" customHeight="1" x14ac:dyDescent="0.35">
      <c r="A48" s="91" t="s">
        <v>141</v>
      </c>
      <c r="B48" s="91" t="s">
        <v>538</v>
      </c>
      <c r="C48" s="91" t="s">
        <v>539</v>
      </c>
      <c r="D48" s="91" t="s">
        <v>540</v>
      </c>
      <c r="E48" s="91" t="s">
        <v>541</v>
      </c>
      <c r="F48" s="91" t="s">
        <v>542</v>
      </c>
      <c r="G48" s="91" t="s">
        <v>543</v>
      </c>
    </row>
    <row r="49" spans="1:7" ht="22" customHeight="1" x14ac:dyDescent="0.35">
      <c r="A49" s="43">
        <v>1</v>
      </c>
      <c r="B49" s="43" t="s">
        <v>704</v>
      </c>
      <c r="C49" s="95" t="str">
        <f>HYPERLINK("https://flytap.com","flytap.com")</f>
        <v>flytap.com</v>
      </c>
      <c r="D49" s="43" t="s">
        <v>705</v>
      </c>
      <c r="E49" s="44" t="s">
        <v>706</v>
      </c>
      <c r="F49" s="44" t="s">
        <v>707</v>
      </c>
      <c r="G49" s="44" t="s">
        <v>708</v>
      </c>
    </row>
    <row r="50" spans="1:7" ht="22" customHeight="1" x14ac:dyDescent="0.35">
      <c r="A50" s="92">
        <v>2</v>
      </c>
      <c r="B50" s="92" t="s">
        <v>709</v>
      </c>
      <c r="C50" s="93" t="str">
        <f>HYPERLINK("https://azoresairlines.pt","azoresairlines.pt")</f>
        <v>azoresairlines.pt</v>
      </c>
      <c r="D50" s="92" t="s">
        <v>710</v>
      </c>
      <c r="E50" s="94" t="s">
        <v>711</v>
      </c>
      <c r="F50" s="94" t="s">
        <v>712</v>
      </c>
      <c r="G50" s="94" t="s">
        <v>713</v>
      </c>
    </row>
    <row r="51" spans="1:7" ht="22" customHeight="1" x14ac:dyDescent="0.35">
      <c r="A51" s="43">
        <v>3</v>
      </c>
      <c r="B51" s="43" t="s">
        <v>714</v>
      </c>
      <c r="C51" s="95" t="str">
        <f>HYPERLINK("https://ryanair.com","ryanair.com")</f>
        <v>ryanair.com</v>
      </c>
      <c r="D51" s="43" t="s">
        <v>715</v>
      </c>
      <c r="E51" s="44" t="s">
        <v>716</v>
      </c>
      <c r="F51" s="44" t="s">
        <v>717</v>
      </c>
      <c r="G51" s="44" t="s">
        <v>718</v>
      </c>
    </row>
    <row r="52" spans="1:7" ht="22" customHeight="1" x14ac:dyDescent="0.35">
      <c r="A52" s="92">
        <v>4</v>
      </c>
      <c r="B52" s="92" t="s">
        <v>719</v>
      </c>
      <c r="C52" s="93" t="str">
        <f>HYPERLINK("https://easyjet.com","easyjet.com")</f>
        <v>easyjet.com</v>
      </c>
      <c r="D52" s="92" t="s">
        <v>715</v>
      </c>
      <c r="E52" s="94" t="s">
        <v>720</v>
      </c>
      <c r="F52" s="94" t="s">
        <v>721</v>
      </c>
      <c r="G52" s="94" t="s">
        <v>722</v>
      </c>
    </row>
    <row r="53" spans="1:7" ht="22" customHeight="1" x14ac:dyDescent="0.35">
      <c r="A53" s="43">
        <v>5</v>
      </c>
      <c r="B53" s="43" t="s">
        <v>723</v>
      </c>
      <c r="C53" s="95" t="str">
        <f>HYPERLINK("https://sevenair.com","sevenair.com")</f>
        <v>sevenair.com</v>
      </c>
      <c r="D53" s="43" t="s">
        <v>724</v>
      </c>
      <c r="E53" s="44" t="s">
        <v>725</v>
      </c>
      <c r="F53" s="44" t="s">
        <v>726</v>
      </c>
      <c r="G53" s="44" t="s">
        <v>727</v>
      </c>
    </row>
    <row r="54" spans="1:7" ht="22" customHeight="1" x14ac:dyDescent="0.35">
      <c r="A54" s="92">
        <v>6</v>
      </c>
      <c r="B54" s="92" t="s">
        <v>728</v>
      </c>
      <c r="C54" s="93" t="str">
        <f>HYPERLINK("https://ana.pt","ana.pt")</f>
        <v>ana.pt</v>
      </c>
      <c r="D54" s="92" t="s">
        <v>729</v>
      </c>
      <c r="E54" s="94" t="s">
        <v>730</v>
      </c>
      <c r="F54" s="94" t="s">
        <v>731</v>
      </c>
      <c r="G54" s="94" t="s">
        <v>732</v>
      </c>
    </row>
    <row r="55" spans="1:7" ht="8" customHeight="1" x14ac:dyDescent="0.35">
      <c r="A55" s="54"/>
      <c r="B55" s="54"/>
      <c r="C55" s="54"/>
      <c r="D55" s="54"/>
      <c r="E55" s="54"/>
      <c r="F55" s="54"/>
      <c r="G55" s="54"/>
    </row>
    <row r="56" spans="1:7" ht="26" customHeight="1" x14ac:dyDescent="0.35">
      <c r="A56" s="1327" t="s">
        <v>733</v>
      </c>
      <c r="B56" s="1313"/>
      <c r="C56" s="1313"/>
      <c r="D56" s="1313"/>
      <c r="E56" s="1313"/>
      <c r="F56" s="1313"/>
      <c r="G56" s="1313"/>
    </row>
    <row r="57" spans="1:7" ht="24" customHeight="1" x14ac:dyDescent="0.35">
      <c r="A57" s="91" t="s">
        <v>734</v>
      </c>
      <c r="B57" s="91" t="s">
        <v>735</v>
      </c>
      <c r="C57" s="91" t="s">
        <v>539</v>
      </c>
      <c r="D57" s="91" t="s">
        <v>736</v>
      </c>
      <c r="E57" s="91" t="s">
        <v>737</v>
      </c>
      <c r="F57" s="91" t="s">
        <v>738</v>
      </c>
      <c r="G57" s="91" t="s">
        <v>622</v>
      </c>
    </row>
    <row r="58" spans="1:7" ht="22" customHeight="1" x14ac:dyDescent="0.35">
      <c r="A58" s="92" t="s">
        <v>739</v>
      </c>
      <c r="B58" s="92" t="s">
        <v>740</v>
      </c>
      <c r="C58" s="93" t="str">
        <f>HYPERLINK("https://navegante.pt","navegante.pt")</f>
        <v>navegante.pt</v>
      </c>
      <c r="D58" s="92" t="s">
        <v>741</v>
      </c>
      <c r="E58" s="94" t="s">
        <v>742</v>
      </c>
      <c r="F58" s="94" t="s">
        <v>743</v>
      </c>
      <c r="G58" s="94" t="s">
        <v>744</v>
      </c>
    </row>
    <row r="59" spans="1:7" ht="22" customHeight="1" x14ac:dyDescent="0.35">
      <c r="A59" s="43" t="s">
        <v>745</v>
      </c>
      <c r="B59" s="43" t="s">
        <v>746</v>
      </c>
      <c r="C59" s="95" t="str">
        <f>HYPERLINK("https://navegante.pt","navegante.pt")</f>
        <v>navegante.pt</v>
      </c>
      <c r="D59" s="43" t="s">
        <v>747</v>
      </c>
      <c r="E59" s="44" t="s">
        <v>748</v>
      </c>
      <c r="F59" s="44" t="s">
        <v>743</v>
      </c>
      <c r="G59" s="44" t="s">
        <v>749</v>
      </c>
    </row>
    <row r="60" spans="1:7" ht="22" customHeight="1" x14ac:dyDescent="0.35">
      <c r="A60" s="92" t="s">
        <v>750</v>
      </c>
      <c r="B60" s="92" t="s">
        <v>751</v>
      </c>
      <c r="C60" s="93" t="str">
        <f>HYPERLINK("https://navegante.pt","navegante.pt")</f>
        <v>navegante.pt</v>
      </c>
      <c r="D60" s="92" t="s">
        <v>752</v>
      </c>
      <c r="E60" s="94" t="s">
        <v>753</v>
      </c>
      <c r="F60" s="94" t="s">
        <v>743</v>
      </c>
      <c r="G60" s="94" t="s">
        <v>754</v>
      </c>
    </row>
    <row r="61" spans="1:7" ht="22" customHeight="1" x14ac:dyDescent="0.35">
      <c r="A61" s="43" t="s">
        <v>755</v>
      </c>
      <c r="B61" s="43" t="s">
        <v>756</v>
      </c>
      <c r="C61" s="95" t="str">
        <f>HYPERLINK("https://linhandante.com","linhandante.com")</f>
        <v>linhandante.com</v>
      </c>
      <c r="D61" s="43" t="s">
        <v>757</v>
      </c>
      <c r="E61" s="44" t="s">
        <v>758</v>
      </c>
      <c r="F61" s="44" t="s">
        <v>759</v>
      </c>
      <c r="G61" s="44" t="s">
        <v>760</v>
      </c>
    </row>
    <row r="62" spans="1:7" ht="22" customHeight="1" x14ac:dyDescent="0.35">
      <c r="A62" s="92" t="s">
        <v>761</v>
      </c>
      <c r="B62" s="92" t="s">
        <v>756</v>
      </c>
      <c r="C62" s="93" t="str">
        <f>HYPERLINK("https://linhandante.com","linhandante.com")</f>
        <v>linhandante.com</v>
      </c>
      <c r="D62" s="92" t="s">
        <v>762</v>
      </c>
      <c r="E62" s="94" t="s">
        <v>763</v>
      </c>
      <c r="F62" s="94" t="s">
        <v>764</v>
      </c>
      <c r="G62" s="94" t="s">
        <v>765</v>
      </c>
    </row>
    <row r="63" spans="1:7" ht="22" customHeight="1" x14ac:dyDescent="0.35">
      <c r="A63" s="43" t="s">
        <v>766</v>
      </c>
      <c r="B63" s="43" t="s">
        <v>767</v>
      </c>
      <c r="C63" s="95" t="str">
        <f>HYPERLINK("https://vamusalgarve.pt","vamusalgarve.pt")</f>
        <v>vamusalgarve.pt</v>
      </c>
      <c r="D63" s="43" t="s">
        <v>768</v>
      </c>
      <c r="E63" s="44" t="s">
        <v>769</v>
      </c>
      <c r="F63" s="44" t="s">
        <v>770</v>
      </c>
      <c r="G63" s="44" t="s">
        <v>771</v>
      </c>
    </row>
    <row r="64" spans="1:7" ht="22" customHeight="1" x14ac:dyDescent="0.35">
      <c r="A64" s="92" t="s">
        <v>772</v>
      </c>
      <c r="B64" s="92" t="s">
        <v>773</v>
      </c>
      <c r="C64" s="93" t="str">
        <f>HYPERLINK("https://azoresairlines.pt","azoresairlines.pt")</f>
        <v>azoresairlines.pt</v>
      </c>
      <c r="D64" s="92" t="s">
        <v>774</v>
      </c>
      <c r="E64" s="94" t="s">
        <v>775</v>
      </c>
      <c r="F64" s="94" t="s">
        <v>776</v>
      </c>
      <c r="G64" s="94" t="s">
        <v>777</v>
      </c>
    </row>
    <row r="65" spans="1:7" ht="22" customHeight="1" x14ac:dyDescent="0.35">
      <c r="A65" s="43" t="s">
        <v>778</v>
      </c>
      <c r="B65" s="43" t="s">
        <v>779</v>
      </c>
      <c r="C65" s="95" t="str">
        <f>HYPERLINK("https://horariosdofunchal.pt","horariosdofunchal.pt")</f>
        <v>horariosdofunchal.pt</v>
      </c>
      <c r="D65" s="43" t="s">
        <v>780</v>
      </c>
      <c r="E65" s="44" t="s">
        <v>781</v>
      </c>
      <c r="F65" s="44" t="s">
        <v>782</v>
      </c>
      <c r="G65" s="44" t="s">
        <v>783</v>
      </c>
    </row>
    <row r="66" spans="1:7" ht="8" customHeight="1" x14ac:dyDescent="0.35">
      <c r="A66" s="54"/>
      <c r="B66" s="54"/>
      <c r="C66" s="54"/>
      <c r="D66" s="54"/>
      <c r="E66" s="54"/>
      <c r="F66" s="54"/>
      <c r="G66" s="54"/>
    </row>
    <row r="67" spans="1:7" ht="32" customHeight="1" x14ac:dyDescent="0.35">
      <c r="A67" s="1328" t="s">
        <v>784</v>
      </c>
      <c r="B67" s="1313"/>
      <c r="C67" s="1313"/>
      <c r="D67" s="1313"/>
      <c r="E67" s="1313"/>
      <c r="F67" s="1313"/>
      <c r="G67" s="1313"/>
    </row>
  </sheetData>
  <mergeCells count="9">
    <mergeCell ref="A1:G1"/>
    <mergeCell ref="A56:G56"/>
    <mergeCell ref="A67:G67"/>
    <mergeCell ref="A21:G21"/>
    <mergeCell ref="A12:G12"/>
    <mergeCell ref="A4:G4"/>
    <mergeCell ref="A2:G2"/>
    <mergeCell ref="A47:G47"/>
    <mergeCell ref="A28:G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1"/>
  <sheetViews>
    <sheetView showGridLines="0" workbookViewId="0">
      <pane ySplit="1" topLeftCell="A2" activePane="bottomLeft" state="frozen"/>
      <selection pane="bottomLeft" activeCell="I204" sqref="I204"/>
    </sheetView>
  </sheetViews>
  <sheetFormatPr defaultRowHeight="14.5" x14ac:dyDescent="0.35"/>
  <cols>
    <col min="1" max="1" width="3" customWidth="1"/>
    <col min="2" max="2" width="12.08984375" bestFit="1" customWidth="1"/>
    <col min="3" max="3" width="35" customWidth="1"/>
    <col min="4" max="4" width="14" customWidth="1"/>
    <col min="5" max="5" width="50" customWidth="1"/>
    <col min="6" max="6" width="16" customWidth="1"/>
    <col min="7" max="7" width="55" customWidth="1"/>
  </cols>
  <sheetData>
    <row r="1" spans="1:7" ht="42" customHeight="1" x14ac:dyDescent="0.45">
      <c r="A1" s="1294" t="s">
        <v>18459</v>
      </c>
      <c r="B1" s="1285"/>
      <c r="C1" s="1285"/>
      <c r="D1" s="1285"/>
      <c r="E1" s="1285"/>
      <c r="F1" s="1285"/>
      <c r="G1" s="1285"/>
    </row>
    <row r="2" spans="1:7" ht="80" customHeight="1" x14ac:dyDescent="0.35">
      <c r="B2" s="1367" t="s">
        <v>1</v>
      </c>
      <c r="C2" s="1313"/>
      <c r="D2" s="1313"/>
      <c r="E2" s="1313"/>
      <c r="F2" s="1313"/>
      <c r="G2" s="300" t="s">
        <v>2</v>
      </c>
    </row>
    <row r="4" spans="1:7" ht="85" customHeight="1" x14ac:dyDescent="0.35">
      <c r="B4" s="1364" t="s">
        <v>3</v>
      </c>
      <c r="C4" s="1342"/>
      <c r="D4" s="1342"/>
      <c r="E4" s="1342"/>
      <c r="F4" s="1335"/>
      <c r="G4" s="302" t="s">
        <v>4</v>
      </c>
    </row>
    <row r="5" spans="1:7" ht="85" customHeight="1" x14ac:dyDescent="0.35">
      <c r="B5" s="1336" t="s">
        <v>5</v>
      </c>
      <c r="C5" s="1337"/>
      <c r="D5" s="1337"/>
      <c r="E5" s="1337"/>
      <c r="F5" s="1338"/>
      <c r="G5" s="302" t="s">
        <v>6</v>
      </c>
    </row>
    <row r="6" spans="1:7" ht="85" customHeight="1" x14ac:dyDescent="0.35">
      <c r="A6" s="22"/>
      <c r="B6" s="22" t="s">
        <v>7</v>
      </c>
      <c r="C6" s="22" t="s">
        <v>8</v>
      </c>
      <c r="D6" s="22" t="s">
        <v>9</v>
      </c>
      <c r="E6" s="22"/>
      <c r="F6" s="22"/>
      <c r="G6" s="302" t="s">
        <v>10</v>
      </c>
    </row>
    <row r="7" spans="1:7" ht="85" customHeight="1" x14ac:dyDescent="0.35">
      <c r="B7" s="23" t="s">
        <v>11</v>
      </c>
      <c r="C7" s="24" t="s">
        <v>12</v>
      </c>
      <c r="D7" s="1334" t="str">
        <f>HYPERLINK("https://www.youtube.com/results?search_query=fado+os+melhores+fados+portugueses+playlist","▶  OUVIR AGORA")</f>
        <v>▶  OUVIR AGORA</v>
      </c>
      <c r="E7" s="1335"/>
      <c r="G7" s="302" t="s">
        <v>13</v>
      </c>
    </row>
    <row r="8" spans="1:7" ht="85" customHeight="1" x14ac:dyDescent="0.35">
      <c r="B8" s="25" t="s">
        <v>14</v>
      </c>
      <c r="C8" s="26" t="s">
        <v>15</v>
      </c>
      <c r="D8" s="1334" t="str">
        <f>HYPERLINK("https://www.youtube.com/results?search_query=classicos+do+fado+amalia+rodrigues+carlos+do+carmo","▶  OUVIR AGORA")</f>
        <v>▶  OUVIR AGORA</v>
      </c>
      <c r="E8" s="1335"/>
      <c r="G8" s="302" t="s">
        <v>16</v>
      </c>
    </row>
    <row r="9" spans="1:7" ht="85" customHeight="1" x14ac:dyDescent="0.35">
      <c r="B9" s="23" t="s">
        <v>17</v>
      </c>
      <c r="C9" s="24" t="s">
        <v>18</v>
      </c>
      <c r="D9" s="1334" t="str">
        <f>HYPERLINK("https://www.youtube.com/results?search_query=fado+de+coimbra+tradicional+playlist","▶  OUVIR AGORA")</f>
        <v>▶  OUVIR AGORA</v>
      </c>
      <c r="E9" s="1335"/>
      <c r="G9" s="302" t="s">
        <v>19</v>
      </c>
    </row>
    <row r="10" spans="1:7" ht="85" customHeight="1" x14ac:dyDescent="0.35">
      <c r="B10" s="25" t="s">
        <v>20</v>
      </c>
      <c r="C10" s="26" t="s">
        <v>21</v>
      </c>
      <c r="D10" s="1334" t="str">
        <f>HYPERLINK("https://www.youtube.com/results?search_query=novo+fado+mariza+ana+moura+carminho+playlist","▶  OUVIR AGORA")</f>
        <v>▶  OUVIR AGORA</v>
      </c>
      <c r="E10" s="1335"/>
      <c r="G10" s="302" t="s">
        <v>22</v>
      </c>
    </row>
    <row r="11" spans="1:7" ht="12" customHeight="1" x14ac:dyDescent="0.35"/>
    <row r="12" spans="1:7" ht="85" customHeight="1" x14ac:dyDescent="0.35">
      <c r="B12" s="1366" t="s">
        <v>23</v>
      </c>
      <c r="C12" s="1342"/>
      <c r="D12" s="1342"/>
      <c r="E12" s="1342"/>
      <c r="F12" s="1335"/>
      <c r="G12" s="302" t="s">
        <v>24</v>
      </c>
    </row>
    <row r="13" spans="1:7" ht="85" customHeight="1" x14ac:dyDescent="0.35">
      <c r="B13" s="1336" t="s">
        <v>25</v>
      </c>
      <c r="C13" s="1337"/>
      <c r="D13" s="1337"/>
      <c r="E13" s="1337"/>
      <c r="F13" s="1338"/>
      <c r="G13" s="302" t="s">
        <v>26</v>
      </c>
    </row>
    <row r="14" spans="1:7" ht="85" customHeight="1" x14ac:dyDescent="0.35">
      <c r="A14" s="22"/>
      <c r="B14" s="22" t="s">
        <v>7</v>
      </c>
      <c r="C14" s="22" t="s">
        <v>8</v>
      </c>
      <c r="D14" s="22" t="s">
        <v>9</v>
      </c>
      <c r="E14" s="22"/>
      <c r="F14" s="22"/>
      <c r="G14" s="302" t="s">
        <v>10</v>
      </c>
    </row>
    <row r="15" spans="1:7" ht="85" customHeight="1" x14ac:dyDescent="0.35">
      <c r="B15" s="27" t="s">
        <v>27</v>
      </c>
      <c r="C15" s="28" t="s">
        <v>28</v>
      </c>
      <c r="D15" s="1351" t="str">
        <f>HYPERLINK("https://www.youtube.com/results?search_query=cante+alentejano+grupos+corais+tradicional","▶  OUVIR AGORA")</f>
        <v>▶  OUVIR AGORA</v>
      </c>
      <c r="E15" s="1335"/>
      <c r="G15" s="302" t="s">
        <v>29</v>
      </c>
    </row>
    <row r="16" spans="1:7" ht="85" customHeight="1" x14ac:dyDescent="0.35">
      <c r="B16" s="25" t="s">
        <v>30</v>
      </c>
      <c r="C16" s="26" t="s">
        <v>31</v>
      </c>
      <c r="D16" s="1351" t="str">
        <f>HYPERLINK("https://www.youtube.com/results?search_query=musica+alentejana+modas+tradicionais+cante","▶  OUVIR AGORA")</f>
        <v>▶  OUVIR AGORA</v>
      </c>
      <c r="E16" s="1335"/>
      <c r="G16" s="302" t="s">
        <v>32</v>
      </c>
    </row>
    <row r="17" spans="1:7" ht="85" customHeight="1" x14ac:dyDescent="0.35">
      <c r="B17" s="27" t="s">
        <v>33</v>
      </c>
      <c r="C17" s="28" t="s">
        <v>34</v>
      </c>
      <c r="D17" s="1351" t="str">
        <f>HYPERLINK("https://www.youtube.com/results?search_query=coral+alentejano+ao+vivo+concerto","▶  OUVIR AGORA")</f>
        <v>▶  OUVIR AGORA</v>
      </c>
      <c r="E17" s="1335"/>
      <c r="G17" s="302" t="s">
        <v>35</v>
      </c>
    </row>
    <row r="18" spans="1:7" ht="12" customHeight="1" x14ac:dyDescent="0.35"/>
    <row r="19" spans="1:7" ht="85" customHeight="1" x14ac:dyDescent="0.35">
      <c r="B19" s="1341" t="s">
        <v>36</v>
      </c>
      <c r="C19" s="1342"/>
      <c r="D19" s="1342"/>
      <c r="E19" s="1342"/>
      <c r="F19" s="1335"/>
      <c r="G19" s="302" t="s">
        <v>37</v>
      </c>
    </row>
    <row r="20" spans="1:7" ht="85" customHeight="1" x14ac:dyDescent="0.35">
      <c r="B20" s="1336" t="s">
        <v>38</v>
      </c>
      <c r="C20" s="1337"/>
      <c r="D20" s="1337"/>
      <c r="E20" s="1337"/>
      <c r="F20" s="1338"/>
      <c r="G20" s="302" t="s">
        <v>39</v>
      </c>
    </row>
    <row r="21" spans="1:7" ht="85" customHeight="1" x14ac:dyDescent="0.35">
      <c r="A21" s="22"/>
      <c r="B21" s="22" t="s">
        <v>7</v>
      </c>
      <c r="C21" s="22" t="s">
        <v>8</v>
      </c>
      <c r="D21" s="22" t="s">
        <v>9</v>
      </c>
      <c r="E21" s="22"/>
      <c r="F21" s="22"/>
      <c r="G21" s="302" t="s">
        <v>10</v>
      </c>
    </row>
    <row r="22" spans="1:7" ht="85" customHeight="1" x14ac:dyDescent="0.35">
      <c r="B22" s="29" t="s">
        <v>40</v>
      </c>
      <c r="C22" s="30" t="s">
        <v>41</v>
      </c>
      <c r="D22" s="1349" t="str">
        <f>HYPERLINK("https://www.youtube.com/results?search_query=folclore+do+minho+vira+malhao+tradicional","▶  OUVIR AGORA")</f>
        <v>▶  OUVIR AGORA</v>
      </c>
      <c r="E22" s="1335"/>
      <c r="G22" s="302" t="s">
        <v>42</v>
      </c>
    </row>
    <row r="23" spans="1:7" ht="85" customHeight="1" x14ac:dyDescent="0.35">
      <c r="B23" s="25" t="s">
        <v>43</v>
      </c>
      <c r="C23" s="26" t="s">
        <v>44</v>
      </c>
      <c r="D23" s="1349" t="str">
        <f>HYPERLINK("https://www.youtube.com/results?search_query=rancho+folclorico+portugues+tradicional+norte","▶  OUVIR AGORA")</f>
        <v>▶  OUVIR AGORA</v>
      </c>
      <c r="E23" s="1335"/>
      <c r="G23" s="302" t="s">
        <v>45</v>
      </c>
    </row>
    <row r="24" spans="1:7" ht="85" customHeight="1" x14ac:dyDescent="0.35">
      <c r="B24" s="29" t="s">
        <v>46</v>
      </c>
      <c r="C24" s="30" t="s">
        <v>47</v>
      </c>
      <c r="D24" s="1349" t="str">
        <f>HYPERLINK("https://www.youtube.com/results?search_query=folclore+tras+os+montes+pauliteiros+miranda","▶  OUVIR AGORA")</f>
        <v>▶  OUVIR AGORA</v>
      </c>
      <c r="E24" s="1335"/>
      <c r="G24" s="302" t="s">
        <v>48</v>
      </c>
    </row>
    <row r="25" spans="1:7" ht="12" customHeight="1" x14ac:dyDescent="0.35"/>
    <row r="26" spans="1:7" ht="85" customHeight="1" x14ac:dyDescent="0.35">
      <c r="B26" s="1361" t="s">
        <v>49</v>
      </c>
      <c r="C26" s="1342"/>
      <c r="D26" s="1342"/>
      <c r="E26" s="1342"/>
      <c r="F26" s="1335"/>
      <c r="G26" s="302" t="s">
        <v>50</v>
      </c>
    </row>
    <row r="27" spans="1:7" ht="85" customHeight="1" x14ac:dyDescent="0.35">
      <c r="B27" s="1336" t="s">
        <v>51</v>
      </c>
      <c r="C27" s="1337"/>
      <c r="D27" s="1337"/>
      <c r="E27" s="1337"/>
      <c r="F27" s="1338"/>
      <c r="G27" s="302" t="s">
        <v>52</v>
      </c>
    </row>
    <row r="28" spans="1:7" ht="85" customHeight="1" x14ac:dyDescent="0.35">
      <c r="A28" s="22"/>
      <c r="B28" s="22" t="s">
        <v>7</v>
      </c>
      <c r="C28" s="22" t="s">
        <v>8</v>
      </c>
      <c r="D28" s="22" t="s">
        <v>9</v>
      </c>
      <c r="E28" s="22"/>
      <c r="F28" s="22"/>
      <c r="G28" s="302" t="s">
        <v>10</v>
      </c>
    </row>
    <row r="29" spans="1:7" ht="85" customHeight="1" x14ac:dyDescent="0.35">
      <c r="B29" s="31" t="s">
        <v>53</v>
      </c>
      <c r="C29" s="32" t="s">
        <v>54</v>
      </c>
      <c r="D29" s="1358" t="str">
        <f>HYPERLINK("https://www.youtube.com/results?search_query=musica+pimba+arraial+baile+portuguesa+playlist","▶  OUVIR AGORA")</f>
        <v>▶  OUVIR AGORA</v>
      </c>
      <c r="E29" s="1335"/>
      <c r="G29" s="302" t="s">
        <v>55</v>
      </c>
    </row>
    <row r="30" spans="1:7" ht="85" customHeight="1" x14ac:dyDescent="0.35">
      <c r="B30" s="25" t="s">
        <v>56</v>
      </c>
      <c r="C30" s="26" t="s">
        <v>57</v>
      </c>
      <c r="D30" s="1358" t="str">
        <f>HYPERLINK("https://www.youtube.com/results?search_query=festa+arraial+pimba+quim+barreiros+musicas","▶  OUVIR AGORA")</f>
        <v>▶  OUVIR AGORA</v>
      </c>
      <c r="E30" s="1335"/>
      <c r="G30" s="302" t="s">
        <v>58</v>
      </c>
    </row>
    <row r="31" spans="1:7" ht="85" customHeight="1" x14ac:dyDescent="0.35">
      <c r="B31" s="31" t="s">
        <v>59</v>
      </c>
      <c r="C31" s="32" t="s">
        <v>60</v>
      </c>
      <c r="D31" s="1358" t="str">
        <f>HYPERLINK("https://www.youtube.com/results?search_query=marchas+populares+lisboa+santos+populares+2024","▶  OUVIR AGORA")</f>
        <v>▶  OUVIR AGORA</v>
      </c>
      <c r="E31" s="1335"/>
      <c r="G31" s="302" t="s">
        <v>61</v>
      </c>
    </row>
    <row r="32" spans="1:7" ht="12" customHeight="1" x14ac:dyDescent="0.35"/>
    <row r="33" spans="1:7" ht="85" customHeight="1" x14ac:dyDescent="0.35">
      <c r="B33" s="1362" t="s">
        <v>62</v>
      </c>
      <c r="C33" s="1342"/>
      <c r="D33" s="1342"/>
      <c r="E33" s="1342"/>
      <c r="F33" s="1335"/>
      <c r="G33" s="302" t="s">
        <v>63</v>
      </c>
    </row>
    <row r="34" spans="1:7" ht="85" customHeight="1" x14ac:dyDescent="0.35">
      <c r="B34" s="1336" t="s">
        <v>64</v>
      </c>
      <c r="C34" s="1337"/>
      <c r="D34" s="1337"/>
      <c r="E34" s="1337"/>
      <c r="F34" s="1338"/>
      <c r="G34" s="302" t="s">
        <v>65</v>
      </c>
    </row>
    <row r="35" spans="1:7" ht="85" customHeight="1" x14ac:dyDescent="0.35">
      <c r="A35" s="22"/>
      <c r="B35" s="22" t="s">
        <v>7</v>
      </c>
      <c r="C35" s="22" t="s">
        <v>8</v>
      </c>
      <c r="D35" s="22" t="s">
        <v>9</v>
      </c>
      <c r="E35" s="22"/>
      <c r="F35" s="22"/>
      <c r="G35" s="302" t="s">
        <v>10</v>
      </c>
    </row>
    <row r="36" spans="1:7" ht="85" customHeight="1" x14ac:dyDescent="0.35">
      <c r="B36" s="33" t="s">
        <v>66</v>
      </c>
      <c r="C36" s="34" t="s">
        <v>67</v>
      </c>
      <c r="D36" s="1343" t="str">
        <f>HYPERLINK("https://www.youtube.com/results?search_query=bons+sons+festival+cem+soldos+musica+portuguesa","▶  OUVIR AGORA")</f>
        <v>▶  OUVIR AGORA</v>
      </c>
      <c r="E36" s="1335"/>
      <c r="G36" s="302" t="s">
        <v>68</v>
      </c>
    </row>
    <row r="37" spans="1:7" ht="85" customHeight="1" x14ac:dyDescent="0.35">
      <c r="B37" s="25" t="s">
        <v>69</v>
      </c>
      <c r="C37" s="26" t="s">
        <v>70</v>
      </c>
      <c r="D37" s="1343" t="str">
        <f>HYPERLINK("https://www.youtube.com/results?search_query=andancas+festival+alentejo+folk+tradicional","▶  OUVIR AGORA")</f>
        <v>▶  OUVIR AGORA</v>
      </c>
      <c r="E37" s="1335"/>
      <c r="G37" s="302" t="s">
        <v>71</v>
      </c>
    </row>
    <row r="38" spans="1:7" ht="85" customHeight="1" x14ac:dyDescent="0.35">
      <c r="B38" s="33" t="s">
        <v>72</v>
      </c>
      <c r="C38" s="34" t="s">
        <v>73</v>
      </c>
      <c r="D38" s="1343" t="str">
        <f>HYPERLINK("https://www.youtube.com/results?search_query=festival+MED+loule+world+music+tradicional","▶  OUVIR AGORA")</f>
        <v>▶  OUVIR AGORA</v>
      </c>
      <c r="E38" s="1335"/>
      <c r="G38" s="302" t="s">
        <v>74</v>
      </c>
    </row>
    <row r="39" spans="1:7" ht="85" customHeight="1" x14ac:dyDescent="0.35">
      <c r="B39" s="25" t="s">
        <v>75</v>
      </c>
      <c r="C39" s="26" t="s">
        <v>76</v>
      </c>
      <c r="D39" s="1343" t="str">
        <f>HYPERLINK("https://www.youtube.com/results?search_query=ethno+portugal+arraiolos+musica+tradicional+mundo","▶  OUVIR AGORA")</f>
        <v>▶  OUVIR AGORA</v>
      </c>
      <c r="E39" s="1335"/>
      <c r="G39" s="302" t="s">
        <v>77</v>
      </c>
    </row>
    <row r="40" spans="1:7" ht="85" customHeight="1" x14ac:dyDescent="0.35">
      <c r="B40" s="33" t="s">
        <v>78</v>
      </c>
      <c r="C40" s="34" t="s">
        <v>79</v>
      </c>
      <c r="D40" s="1343" t="str">
        <f>HYPERLINK("https://www.youtube.com/results?search_query=alentejo+world+heritage+festival+cante+evora","▶  OUVIR AGORA")</f>
        <v>▶  OUVIR AGORA</v>
      </c>
      <c r="E40" s="1335"/>
      <c r="G40" s="302" t="s">
        <v>80</v>
      </c>
    </row>
    <row r="41" spans="1:7" ht="12" customHeight="1" x14ac:dyDescent="0.35"/>
    <row r="42" spans="1:7" ht="85" customHeight="1" x14ac:dyDescent="0.35">
      <c r="B42" s="1359" t="s">
        <v>81</v>
      </c>
      <c r="C42" s="1342"/>
      <c r="D42" s="1342"/>
      <c r="E42" s="1342"/>
      <c r="F42" s="1335"/>
      <c r="G42" s="302" t="s">
        <v>82</v>
      </c>
    </row>
    <row r="43" spans="1:7" ht="85" customHeight="1" x14ac:dyDescent="0.35">
      <c r="B43" s="1336" t="s">
        <v>83</v>
      </c>
      <c r="C43" s="1337"/>
      <c r="D43" s="1337"/>
      <c r="E43" s="1337"/>
      <c r="F43" s="1338"/>
      <c r="G43" s="302" t="s">
        <v>84</v>
      </c>
    </row>
    <row r="44" spans="1:7" ht="85" customHeight="1" x14ac:dyDescent="0.35">
      <c r="A44" s="22"/>
      <c r="B44" s="22" t="s">
        <v>7</v>
      </c>
      <c r="C44" s="22" t="s">
        <v>8</v>
      </c>
      <c r="D44" s="22" t="s">
        <v>9</v>
      </c>
      <c r="E44" s="22"/>
      <c r="F44" s="22"/>
      <c r="G44" s="302" t="s">
        <v>10</v>
      </c>
    </row>
    <row r="45" spans="1:7" ht="85" customHeight="1" x14ac:dyDescent="0.35">
      <c r="B45" s="35" t="s">
        <v>85</v>
      </c>
      <c r="C45" s="36" t="s">
        <v>86</v>
      </c>
      <c r="D45" s="1360" t="str">
        <f>HYPERLINK("https://www.youtube.com/results?search_query=radio+renascenca+ao+vivo+musica+portuguesa+stream","▶  ABRIR STREAM")</f>
        <v>▶  ABRIR STREAM</v>
      </c>
      <c r="E45" s="1335"/>
      <c r="G45" s="302" t="s">
        <v>87</v>
      </c>
    </row>
    <row r="46" spans="1:7" ht="85" customHeight="1" x14ac:dyDescent="0.35">
      <c r="B46" s="25" t="s">
        <v>88</v>
      </c>
      <c r="C46" s="26" t="s">
        <v>89</v>
      </c>
      <c r="D46" s="1360" t="str">
        <f>HYPERLINK("https://www.youtube.com/results?search_query=musica+tradicional+portuguesa+ambiente+fado+folclore+mix","▶  ABRIR STREAM")</f>
        <v>▶  ABRIR STREAM</v>
      </c>
      <c r="E46" s="1335"/>
      <c r="G46" s="302" t="s">
        <v>90</v>
      </c>
    </row>
    <row r="47" spans="1:7" ht="12" customHeight="1" x14ac:dyDescent="0.35"/>
    <row r="48" spans="1:7" ht="85" customHeight="1" x14ac:dyDescent="0.35">
      <c r="B48" s="1348" t="s">
        <v>91</v>
      </c>
      <c r="C48" s="1313"/>
      <c r="D48" s="1313"/>
      <c r="E48" s="1313"/>
      <c r="F48" s="1313"/>
      <c r="G48" s="302" t="s">
        <v>92</v>
      </c>
    </row>
    <row r="49" spans="1:7" ht="85" customHeight="1" x14ac:dyDescent="0.35">
      <c r="B49" s="1356" t="s">
        <v>93</v>
      </c>
      <c r="C49" s="1313"/>
      <c r="D49" s="1313"/>
      <c r="E49" s="1313"/>
      <c r="F49" s="1313"/>
      <c r="G49" s="302" t="s">
        <v>94</v>
      </c>
    </row>
    <row r="51" spans="1:7" ht="85" customHeight="1" x14ac:dyDescent="0.35">
      <c r="B51" s="1363" t="s">
        <v>95</v>
      </c>
      <c r="C51" s="1313"/>
      <c r="D51" s="1313"/>
      <c r="E51" s="1313"/>
      <c r="F51" s="1313"/>
      <c r="G51" s="302" t="s">
        <v>96</v>
      </c>
    </row>
    <row r="52" spans="1:7" ht="85" customHeight="1" x14ac:dyDescent="0.35">
      <c r="B52" s="1347" t="s">
        <v>97</v>
      </c>
      <c r="C52" s="1313"/>
      <c r="D52" s="1313"/>
      <c r="E52" s="1313"/>
      <c r="F52" s="1313"/>
      <c r="G52" s="302" t="s">
        <v>98</v>
      </c>
    </row>
    <row r="53" spans="1:7" ht="85" customHeight="1" x14ac:dyDescent="0.35">
      <c r="A53" s="38"/>
      <c r="B53" s="38" t="s">
        <v>7</v>
      </c>
      <c r="C53" s="38" t="s">
        <v>8</v>
      </c>
      <c r="D53" s="38" t="s">
        <v>9</v>
      </c>
      <c r="E53" s="38"/>
      <c r="F53" s="38"/>
      <c r="G53" s="302" t="s">
        <v>10</v>
      </c>
    </row>
    <row r="54" spans="1:7" ht="85" customHeight="1" x14ac:dyDescent="0.35">
      <c r="B54" s="41" t="s">
        <v>99</v>
      </c>
      <c r="C54" s="42" t="s">
        <v>100</v>
      </c>
      <c r="D54" s="1345" t="str">
        <f>HYPERLINK("https://www.youtube.com/results?search_query=andancas+festival+playlist+oficial+folk+tradicional","▶  OUVIR AGORA")</f>
        <v>▶  OUVIR AGORA</v>
      </c>
      <c r="E54" s="1335"/>
      <c r="G54" s="302" t="s">
        <v>101</v>
      </c>
    </row>
    <row r="55" spans="1:7" ht="85" customHeight="1" x14ac:dyDescent="0.35">
      <c r="B55" s="39" t="s">
        <v>102</v>
      </c>
      <c r="C55" s="40" t="s">
        <v>103</v>
      </c>
      <c r="D55" s="1345" t="str">
        <f>HYPERLINK("https://www.youtube.com/results?search_query=bons+sons+festival+canal+oficial+cem+soldos+concertos","▶  OUVIR AGORA")</f>
        <v>▶  OUVIR AGORA</v>
      </c>
      <c r="E55" s="1335"/>
      <c r="G55" s="302" t="s">
        <v>104</v>
      </c>
    </row>
    <row r="56" spans="1:7" ht="85" customHeight="1" x14ac:dyDescent="0.35">
      <c r="B56" s="41" t="s">
        <v>105</v>
      </c>
      <c r="C56" s="42" t="s">
        <v>106</v>
      </c>
      <c r="D56" s="1345" t="str">
        <f>HYPERLINK("https://www.youtube.com/results?search_query=festa+aldeia+musicas+tipicas+concertina+acordeao+arraial","▶  OUVIR AGORA")</f>
        <v>▶  OUVIR AGORA</v>
      </c>
      <c r="E56" s="1335"/>
      <c r="G56" s="302" t="s">
        <v>107</v>
      </c>
    </row>
    <row r="57" spans="1:7" ht="85" customHeight="1" x14ac:dyDescent="0.35">
      <c r="B57" s="39" t="s">
        <v>108</v>
      </c>
      <c r="C57" s="40" t="s">
        <v>109</v>
      </c>
      <c r="D57" s="1345" t="str">
        <f>HYPERLINK("https://www.youtube.com/results?search_query=mix+musica+tradicional+portuguesa+folk+regioes+playlist","▶  OUVIR AGORA")</f>
        <v>▶  OUVIR AGORA</v>
      </c>
      <c r="E57" s="1335"/>
      <c r="G57" s="302" t="s">
        <v>110</v>
      </c>
    </row>
    <row r="58" spans="1:7" ht="10" customHeight="1" x14ac:dyDescent="0.35"/>
    <row r="59" spans="1:7" ht="85" customHeight="1" x14ac:dyDescent="0.35">
      <c r="B59" s="1346" t="s">
        <v>111</v>
      </c>
      <c r="C59" s="1313"/>
      <c r="D59" s="1313"/>
      <c r="E59" s="1313"/>
      <c r="F59" s="1313"/>
      <c r="G59" s="302" t="s">
        <v>112</v>
      </c>
    </row>
    <row r="60" spans="1:7" ht="85" customHeight="1" x14ac:dyDescent="0.35">
      <c r="B60" s="1347" t="s">
        <v>113</v>
      </c>
      <c r="C60" s="1313"/>
      <c r="D60" s="1313"/>
      <c r="E60" s="1313"/>
      <c r="F60" s="1313"/>
      <c r="G60" s="302" t="s">
        <v>114</v>
      </c>
    </row>
    <row r="61" spans="1:7" ht="85" customHeight="1" x14ac:dyDescent="0.35">
      <c r="A61" s="38"/>
      <c r="B61" s="38" t="s">
        <v>7</v>
      </c>
      <c r="C61" s="38" t="s">
        <v>8</v>
      </c>
      <c r="D61" s="38" t="s">
        <v>9</v>
      </c>
      <c r="E61" s="38"/>
      <c r="F61" s="38"/>
      <c r="G61" s="302" t="s">
        <v>10</v>
      </c>
    </row>
    <row r="62" spans="1:7" ht="85" customHeight="1" x14ac:dyDescent="0.35">
      <c r="B62" s="41" t="s">
        <v>115</v>
      </c>
      <c r="C62" s="42" t="s">
        <v>116</v>
      </c>
      <c r="D62" s="1344" t="str">
        <f>HYPERLINK("https://www.youtube.com/results?search_query=festival+musicas+mundo+sines+world+music+portugal","▶  OUVIR AGORA")</f>
        <v>▶  OUVIR AGORA</v>
      </c>
      <c r="E62" s="1335"/>
      <c r="G62" s="302" t="s">
        <v>117</v>
      </c>
    </row>
    <row r="63" spans="1:7" ht="85" customHeight="1" x14ac:dyDescent="0.35">
      <c r="B63" s="39" t="s">
        <v>118</v>
      </c>
      <c r="C63" s="40" t="s">
        <v>119</v>
      </c>
      <c r="D63" s="1344" t="str">
        <f>HYPERLINK("https://www.youtube.com/results?search_query=FMM+sines+festival+musicas+mundo+concertos+arquivo","▶  OUVIR AGORA")</f>
        <v>▶  OUVIR AGORA</v>
      </c>
      <c r="E63" s="1335"/>
      <c r="G63" s="302" t="s">
        <v>120</v>
      </c>
    </row>
    <row r="64" spans="1:7" ht="10" customHeight="1" x14ac:dyDescent="0.35"/>
    <row r="65" spans="1:7" ht="85" customHeight="1" x14ac:dyDescent="0.35">
      <c r="B65" s="1357" t="s">
        <v>121</v>
      </c>
      <c r="C65" s="1313"/>
      <c r="D65" s="1313"/>
      <c r="E65" s="1313"/>
      <c r="F65" s="1313"/>
      <c r="G65" s="302" t="s">
        <v>122</v>
      </c>
    </row>
    <row r="66" spans="1:7" ht="85" customHeight="1" x14ac:dyDescent="0.35">
      <c r="B66" s="1347" t="s">
        <v>123</v>
      </c>
      <c r="C66" s="1313"/>
      <c r="D66" s="1313"/>
      <c r="E66" s="1313"/>
      <c r="F66" s="1313"/>
      <c r="G66" s="302" t="s">
        <v>124</v>
      </c>
    </row>
    <row r="67" spans="1:7" ht="85" customHeight="1" x14ac:dyDescent="0.35">
      <c r="A67" s="38"/>
      <c r="B67" s="38" t="s">
        <v>7</v>
      </c>
      <c r="C67" s="38" t="s">
        <v>8</v>
      </c>
      <c r="D67" s="38" t="s">
        <v>9</v>
      </c>
      <c r="E67" s="38"/>
      <c r="F67" s="38"/>
      <c r="G67" s="302" t="s">
        <v>10</v>
      </c>
    </row>
    <row r="68" spans="1:7" ht="85" customHeight="1" x14ac:dyDescent="0.35">
      <c r="B68" s="41" t="s">
        <v>125</v>
      </c>
      <c r="C68" s="42" t="s">
        <v>126</v>
      </c>
      <c r="D68" s="1351" t="str">
        <f>HYPERLINK("https://www.youtube.com/results?search_query=romaria+agonia+2025+viana+castelo+musica+etnogrfico","▶  OUVIR AGORA")</f>
        <v>▶  OUVIR AGORA</v>
      </c>
      <c r="E68" s="1335"/>
      <c r="G68" s="302" t="s">
        <v>127</v>
      </c>
    </row>
    <row r="69" spans="1:7" ht="85" customHeight="1" x14ac:dyDescent="0.35">
      <c r="B69" s="39" t="s">
        <v>128</v>
      </c>
      <c r="C69" s="40" t="s">
        <v>129</v>
      </c>
      <c r="D69" s="1351" t="str">
        <f>HYPERLINK("https://www.youtube.com/results?search_query=melhor+musica+tipica+portuguesa+folclore+celebracao+tradicional","▶  OUVIR AGORA")</f>
        <v>▶  OUVIR AGORA</v>
      </c>
      <c r="E69" s="1335"/>
      <c r="G69" s="302" t="s">
        <v>130</v>
      </c>
    </row>
    <row r="70" spans="1:7" ht="10" customHeight="1" x14ac:dyDescent="0.35"/>
    <row r="71" spans="1:7" ht="85" customHeight="1" x14ac:dyDescent="0.35">
      <c r="B71" s="1348" t="s">
        <v>91</v>
      </c>
      <c r="C71" s="1313"/>
      <c r="D71" s="1313"/>
      <c r="E71" s="1313"/>
      <c r="F71" s="1313"/>
      <c r="G71" s="302" t="s">
        <v>92</v>
      </c>
    </row>
    <row r="72" spans="1:7" ht="85" customHeight="1" x14ac:dyDescent="0.35">
      <c r="B72" s="1356" t="s">
        <v>131</v>
      </c>
      <c r="C72" s="1313"/>
      <c r="D72" s="1313"/>
      <c r="E72" s="1313"/>
      <c r="F72" s="1313"/>
      <c r="G72" s="302" t="s">
        <v>132</v>
      </c>
    </row>
    <row r="74" spans="1:7" ht="85" customHeight="1" x14ac:dyDescent="0.35">
      <c r="B74" s="1355" t="s">
        <v>133</v>
      </c>
      <c r="C74" s="1313"/>
      <c r="D74" s="1313"/>
      <c r="E74" s="1313"/>
      <c r="F74" s="1313"/>
      <c r="G74" s="302" t="s">
        <v>134</v>
      </c>
    </row>
    <row r="75" spans="1:7" ht="85" customHeight="1" x14ac:dyDescent="0.35">
      <c r="B75" s="1365" t="s">
        <v>135</v>
      </c>
      <c r="C75" s="1313"/>
      <c r="D75" s="1313"/>
      <c r="E75" s="1313"/>
      <c r="F75" s="1313"/>
      <c r="G75" s="302" t="s">
        <v>136</v>
      </c>
    </row>
    <row r="77" spans="1:7" ht="85" customHeight="1" x14ac:dyDescent="0.35">
      <c r="B77" s="1340" t="s">
        <v>137</v>
      </c>
      <c r="C77" s="1313"/>
      <c r="D77" s="1313"/>
      <c r="E77" s="1313"/>
      <c r="F77" s="1313"/>
      <c r="G77" s="302" t="s">
        <v>138</v>
      </c>
    </row>
    <row r="78" spans="1:7" ht="85" customHeight="1" x14ac:dyDescent="0.35">
      <c r="B78" s="1339" t="s">
        <v>139</v>
      </c>
      <c r="C78" s="1313"/>
      <c r="D78" s="1313"/>
      <c r="E78" s="1313"/>
      <c r="F78" s="1313"/>
      <c r="G78" s="302" t="s">
        <v>140</v>
      </c>
    </row>
    <row r="79" spans="1:7" ht="85" customHeight="1" x14ac:dyDescent="0.35">
      <c r="B79" s="133" t="s">
        <v>141</v>
      </c>
      <c r="C79" s="133" t="s">
        <v>142</v>
      </c>
      <c r="D79" s="133" t="s">
        <v>143</v>
      </c>
      <c r="E79" s="332" t="s">
        <v>144</v>
      </c>
      <c r="G79" s="302" t="s">
        <v>145</v>
      </c>
    </row>
    <row r="80" spans="1:7" ht="85" customHeight="1" x14ac:dyDescent="0.35">
      <c r="B80" s="134">
        <v>1</v>
      </c>
      <c r="C80" s="135" t="s">
        <v>146</v>
      </c>
      <c r="D80" s="136" t="str">
        <f>HYPERLINK("https://www.youtube.com/results?search_query=Am%C3%A1lia%20Rodrigues%20musica%20portuguesa","▶ Ouvir")</f>
        <v>▶ Ouvir</v>
      </c>
      <c r="E80" s="331" t="s">
        <v>147</v>
      </c>
      <c r="G80" s="302" t="s">
        <v>148</v>
      </c>
    </row>
    <row r="81" spans="2:7" ht="85" customHeight="1" x14ac:dyDescent="0.35">
      <c r="B81" s="137">
        <v>2</v>
      </c>
      <c r="C81" s="138" t="s">
        <v>149</v>
      </c>
      <c r="D81" s="139" t="str">
        <f>HYPERLINK("https://www.youtube.com/results?search_query=Carlos%20do%20Carmo%20musica%20portuguesa","▶ Ouvir")</f>
        <v>▶ Ouvir</v>
      </c>
      <c r="E81" s="331" t="s">
        <v>150</v>
      </c>
      <c r="G81" s="302" t="s">
        <v>151</v>
      </c>
    </row>
    <row r="82" spans="2:7" ht="85" customHeight="1" x14ac:dyDescent="0.35">
      <c r="B82" s="134">
        <v>3</v>
      </c>
      <c r="C82" s="135" t="s">
        <v>152</v>
      </c>
      <c r="D82" s="136" t="str">
        <f>HYPERLINK("https://www.youtube.com/results?search_query=Mariza%20musica%20portuguesa","▶ Ouvir")</f>
        <v>▶ Ouvir</v>
      </c>
      <c r="E82" s="331" t="s">
        <v>153</v>
      </c>
      <c r="G82" s="302" t="s">
        <v>154</v>
      </c>
    </row>
    <row r="83" spans="2:7" ht="85" customHeight="1" x14ac:dyDescent="0.35">
      <c r="B83" s="137">
        <v>4</v>
      </c>
      <c r="C83" s="138" t="s">
        <v>155</v>
      </c>
      <c r="D83" s="139" t="str">
        <f>HYPERLINK("https://www.youtube.com/results?search_query=Ana%20Moura%20musica%20portuguesa","▶ Ouvir")</f>
        <v>▶ Ouvir</v>
      </c>
      <c r="E83" s="331" t="s">
        <v>156</v>
      </c>
      <c r="G83" s="302" t="s">
        <v>157</v>
      </c>
    </row>
    <row r="84" spans="2:7" ht="85" customHeight="1" x14ac:dyDescent="0.35">
      <c r="B84" s="134">
        <v>5</v>
      </c>
      <c r="C84" s="135" t="s">
        <v>158</v>
      </c>
      <c r="D84" s="136" t="str">
        <f>HYPERLINK("https://www.youtube.com/results?search_query=Caman%C3%A9%20musica%20portuguesa","▶ Ouvir")</f>
        <v>▶ Ouvir</v>
      </c>
      <c r="E84" s="331" t="s">
        <v>159</v>
      </c>
      <c r="G84" s="302" t="s">
        <v>160</v>
      </c>
    </row>
    <row r="85" spans="2:7" ht="85" customHeight="1" x14ac:dyDescent="0.35">
      <c r="B85" s="137">
        <v>6</v>
      </c>
      <c r="C85" s="138" t="s">
        <v>161</v>
      </c>
      <c r="D85" s="139" t="str">
        <f>HYPERLINK("https://www.youtube.com/results?search_query=Carminho%20musica%20portuguesa","▶ Ouvir")</f>
        <v>▶ Ouvir</v>
      </c>
      <c r="E85" s="331" t="s">
        <v>162</v>
      </c>
      <c r="G85" s="302" t="s">
        <v>163</v>
      </c>
    </row>
    <row r="86" spans="2:7" ht="85" customHeight="1" x14ac:dyDescent="0.35">
      <c r="B86" s="134">
        <v>7</v>
      </c>
      <c r="C86" s="135" t="s">
        <v>164</v>
      </c>
      <c r="D86" s="136" t="str">
        <f>HYPERLINK("https://www.youtube.com/results?search_query=Alfredo%20Marceneiro%20musica%20portuguesa","▶ Ouvir")</f>
        <v>▶ Ouvir</v>
      </c>
      <c r="E86" s="331" t="s">
        <v>165</v>
      </c>
      <c r="G86" s="302" t="s">
        <v>166</v>
      </c>
    </row>
    <row r="87" spans="2:7" ht="85" customHeight="1" x14ac:dyDescent="0.35">
      <c r="B87" s="137">
        <v>8</v>
      </c>
      <c r="C87" s="138" t="s">
        <v>167</v>
      </c>
      <c r="D87" s="139" t="str">
        <f>HYPERLINK("https://www.youtube.com/results?search_query=Maria%20Alice%20musica%20portuguesa","▶ Ouvir")</f>
        <v>▶ Ouvir</v>
      </c>
      <c r="E87" s="331" t="s">
        <v>168</v>
      </c>
      <c r="G87" s="302" t="s">
        <v>169</v>
      </c>
    </row>
    <row r="88" spans="2:7" ht="85" customHeight="1" x14ac:dyDescent="0.35">
      <c r="B88" s="134">
        <v>9</v>
      </c>
      <c r="C88" s="135" t="s">
        <v>170</v>
      </c>
      <c r="D88" s="136" t="str">
        <f>HYPERLINK("https://www.youtube.com/results?search_query=Maria%20da%20F%C3%A9%20musica%20portuguesa","▶ Ouvir")</f>
        <v>▶ Ouvir</v>
      </c>
      <c r="E88" s="331" t="s">
        <v>171</v>
      </c>
      <c r="G88" s="302" t="s">
        <v>172</v>
      </c>
    </row>
    <row r="89" spans="2:7" ht="85" customHeight="1" x14ac:dyDescent="0.35">
      <c r="B89" s="137">
        <v>10</v>
      </c>
      <c r="C89" s="138" t="s">
        <v>173</v>
      </c>
      <c r="D89" s="139" t="str">
        <f>HYPERLINK("https://www.youtube.com/results?search_query=Herm%C3%ADnia%20Silva%20musica%20portuguesa","▶ Ouvir")</f>
        <v>▶ Ouvir</v>
      </c>
      <c r="E89" s="331" t="s">
        <v>174</v>
      </c>
      <c r="G89" s="302" t="s">
        <v>175</v>
      </c>
    </row>
    <row r="90" spans="2:7" ht="85" customHeight="1" x14ac:dyDescent="0.35">
      <c r="B90" s="134">
        <v>11</v>
      </c>
      <c r="C90" s="135" t="s">
        <v>176</v>
      </c>
      <c r="D90" s="136" t="str">
        <f>HYPERLINK("https://www.youtube.com/results?search_query=Luc%C3%ADlia%20do%20Carmo%20musica%20portuguesa","▶ Ouvir")</f>
        <v>▶ Ouvir</v>
      </c>
      <c r="E90" s="331" t="s">
        <v>177</v>
      </c>
      <c r="G90" s="302" t="s">
        <v>178</v>
      </c>
    </row>
    <row r="91" spans="2:7" ht="85" customHeight="1" x14ac:dyDescent="0.35">
      <c r="B91" s="137">
        <v>12</v>
      </c>
      <c r="C91" s="138" t="s">
        <v>179</v>
      </c>
      <c r="D91" s="139" t="str">
        <f>HYPERLINK("https://www.youtube.com/results?search_query=Vicente%20da%20C%C3%A2mara%20musica%20portuguesa","▶ Ouvir")</f>
        <v>▶ Ouvir</v>
      </c>
      <c r="E91" s="331" t="s">
        <v>180</v>
      </c>
      <c r="G91" s="302" t="s">
        <v>181</v>
      </c>
    </row>
    <row r="92" spans="2:7" ht="85" customHeight="1" x14ac:dyDescent="0.35">
      <c r="B92" s="134">
        <v>13</v>
      </c>
      <c r="C92" s="135" t="s">
        <v>182</v>
      </c>
      <c r="D92" s="136" t="str">
        <f>HYPERLINK("https://www.youtube.com/results?search_query=Rodrigo%20musica%20portuguesa","▶ Ouvir")</f>
        <v>▶ Ouvir</v>
      </c>
      <c r="E92" s="331" t="s">
        <v>183</v>
      </c>
      <c r="G92" s="302" t="s">
        <v>184</v>
      </c>
    </row>
    <row r="93" spans="2:7" ht="85" customHeight="1" x14ac:dyDescent="0.35">
      <c r="B93" s="137">
        <v>14</v>
      </c>
      <c r="C93" s="138" t="s">
        <v>185</v>
      </c>
      <c r="D93" s="139" t="str">
        <f>HYPERLINK("https://www.youtube.com/results?search_query=Jo%C3%A3o%20Braga%20musica%20portuguesa","▶ Ouvir")</f>
        <v>▶ Ouvir</v>
      </c>
      <c r="E93" s="331" t="s">
        <v>186</v>
      </c>
      <c r="G93" s="302" t="s">
        <v>187</v>
      </c>
    </row>
    <row r="94" spans="2:7" ht="85" customHeight="1" x14ac:dyDescent="0.35">
      <c r="B94" s="134">
        <v>15</v>
      </c>
      <c r="C94" s="135" t="s">
        <v>188</v>
      </c>
      <c r="D94" s="136" t="str">
        <f>HYPERLINK("https://www.youtube.com/results?search_query=Argentina%20Santos%20musica%20portuguesa","▶ Ouvir")</f>
        <v>▶ Ouvir</v>
      </c>
      <c r="E94" s="331" t="s">
        <v>189</v>
      </c>
      <c r="G94" s="302" t="s">
        <v>190</v>
      </c>
    </row>
    <row r="95" spans="2:7" ht="85" customHeight="1" x14ac:dyDescent="0.35">
      <c r="B95" s="137">
        <v>16</v>
      </c>
      <c r="C95" s="138" t="s">
        <v>191</v>
      </c>
      <c r="D95" s="139" t="str">
        <f>HYPERLINK("https://www.youtube.com/results?search_query=Ricardo%20Ribeiro%20musica%20portuguesa","▶ Ouvir")</f>
        <v>▶ Ouvir</v>
      </c>
      <c r="E95" s="331" t="s">
        <v>192</v>
      </c>
      <c r="G95" s="302" t="s">
        <v>193</v>
      </c>
    </row>
    <row r="96" spans="2:7" ht="85" customHeight="1" x14ac:dyDescent="0.35">
      <c r="B96" s="134">
        <v>17</v>
      </c>
      <c r="C96" s="135" t="s">
        <v>194</v>
      </c>
      <c r="D96" s="136" t="str">
        <f>HYPERLINK("https://www.youtube.com/results?search_query=Gisela%20Jo%C3%A3o%20musica%20portuguesa","▶ Ouvir")</f>
        <v>▶ Ouvir</v>
      </c>
      <c r="E96" s="331" t="s">
        <v>195</v>
      </c>
      <c r="G96" s="302" t="s">
        <v>196</v>
      </c>
    </row>
    <row r="97" spans="2:7" ht="85" customHeight="1" x14ac:dyDescent="0.35">
      <c r="B97" s="137">
        <v>18</v>
      </c>
      <c r="C97" s="138" t="s">
        <v>197</v>
      </c>
      <c r="D97" s="139" t="str">
        <f>HYPERLINK("https://www.youtube.com/results?search_query=Ant%C3%B3nio%20Zambujo%20musica%20portuguesa","▶ Ouvir")</f>
        <v>▶ Ouvir</v>
      </c>
      <c r="E97" s="331" t="s">
        <v>198</v>
      </c>
      <c r="G97" s="302" t="s">
        <v>199</v>
      </c>
    </row>
    <row r="98" spans="2:7" ht="85" customHeight="1" x14ac:dyDescent="0.35">
      <c r="B98" s="134">
        <v>19</v>
      </c>
      <c r="C98" s="135" t="s">
        <v>200</v>
      </c>
      <c r="D98" s="136" t="str">
        <f>HYPERLINK("https://www.youtube.com/results?search_query=Raquel%20Tavares%20musica%20portuguesa","▶ Ouvir")</f>
        <v>▶ Ouvir</v>
      </c>
      <c r="E98" s="331" t="s">
        <v>201</v>
      </c>
      <c r="G98" s="302" t="s">
        <v>202</v>
      </c>
    </row>
    <row r="99" spans="2:7" ht="85" customHeight="1" x14ac:dyDescent="0.35">
      <c r="B99" s="137">
        <v>20</v>
      </c>
      <c r="C99" s="138" t="s">
        <v>203</v>
      </c>
      <c r="D99" s="139" t="str">
        <f>HYPERLINK("https://www.youtube.com/results?search_query=Marco%20Rodrigues%20musica%20portuguesa","▶ Ouvir")</f>
        <v>▶ Ouvir</v>
      </c>
      <c r="E99" s="331" t="s">
        <v>204</v>
      </c>
      <c r="G99" s="302" t="s">
        <v>205</v>
      </c>
    </row>
    <row r="100" spans="2:7" ht="85" customHeight="1" x14ac:dyDescent="0.35">
      <c r="B100" s="134">
        <v>21</v>
      </c>
      <c r="C100" s="135" t="s">
        <v>206</v>
      </c>
      <c r="D100" s="136" t="str">
        <f>HYPERLINK("https://www.youtube.com/results?search_query=Katia%20Guerreiro%20musica%20portuguesa","▶ Ouvir")</f>
        <v>▶ Ouvir</v>
      </c>
      <c r="E100" s="331" t="s">
        <v>207</v>
      </c>
      <c r="G100" s="302" t="s">
        <v>208</v>
      </c>
    </row>
    <row r="101" spans="2:7" ht="85" customHeight="1" x14ac:dyDescent="0.35">
      <c r="B101" s="137">
        <v>22</v>
      </c>
      <c r="C101" s="138" t="s">
        <v>209</v>
      </c>
      <c r="D101" s="139" t="str">
        <f>HYPERLINK("https://www.youtube.com/results?search_query=Helder%20Moutinho%20musica%20portuguesa","▶ Ouvir")</f>
        <v>▶ Ouvir</v>
      </c>
      <c r="E101" s="331" t="s">
        <v>210</v>
      </c>
      <c r="G101" s="302" t="s">
        <v>211</v>
      </c>
    </row>
    <row r="102" spans="2:7" ht="85" customHeight="1" x14ac:dyDescent="0.35">
      <c r="B102" s="134">
        <v>23</v>
      </c>
      <c r="C102" s="135" t="s">
        <v>212</v>
      </c>
      <c r="D102" s="136" t="str">
        <f>HYPERLINK("https://www.youtube.com/results?search_query=Pedro%20Moutinho%20musica%20portuguesa","▶ Ouvir")</f>
        <v>▶ Ouvir</v>
      </c>
      <c r="E102" s="331" t="s">
        <v>213</v>
      </c>
      <c r="G102" s="302" t="s">
        <v>214</v>
      </c>
    </row>
    <row r="103" spans="2:7" ht="85" customHeight="1" x14ac:dyDescent="0.35">
      <c r="B103" s="137">
        <v>24</v>
      </c>
      <c r="C103" s="138" t="s">
        <v>215</v>
      </c>
      <c r="D103" s="139" t="str">
        <f>HYPERLINK("https://www.youtube.com/results?search_query=Aldina%20Duarte%20musica%20portuguesa","▶ Ouvir")</f>
        <v>▶ Ouvir</v>
      </c>
      <c r="E103" s="331" t="s">
        <v>216</v>
      </c>
      <c r="G103" s="302" t="s">
        <v>217</v>
      </c>
    </row>
    <row r="104" spans="2:7" ht="85" customHeight="1" x14ac:dyDescent="0.35">
      <c r="B104" s="134">
        <v>25</v>
      </c>
      <c r="C104" s="135" t="s">
        <v>218</v>
      </c>
      <c r="D104" s="136" t="str">
        <f>HYPERLINK("https://www.youtube.com/results?search_query=Cristina%20Branco%20musica%20portuguesa","▶ Ouvir")</f>
        <v>▶ Ouvir</v>
      </c>
      <c r="E104" s="331" t="s">
        <v>219</v>
      </c>
      <c r="G104" s="302" t="s">
        <v>220</v>
      </c>
    </row>
    <row r="105" spans="2:7" ht="85" customHeight="1" x14ac:dyDescent="0.35">
      <c r="B105" s="137">
        <v>26</v>
      </c>
      <c r="C105" s="138" t="s">
        <v>221</v>
      </c>
      <c r="D105" s="139" t="str">
        <f>HYPERLINK("https://www.youtube.com/results?search_query=M%C3%ADsia%20musica%20portuguesa","▶ Ouvir")</f>
        <v>▶ Ouvir</v>
      </c>
      <c r="E105" s="331" t="s">
        <v>222</v>
      </c>
      <c r="G105" s="302" t="s">
        <v>223</v>
      </c>
    </row>
    <row r="106" spans="2:7" ht="85" customHeight="1" x14ac:dyDescent="0.35">
      <c r="B106" s="134">
        <v>27</v>
      </c>
      <c r="C106" s="135" t="s">
        <v>224</v>
      </c>
      <c r="D106" s="136" t="str">
        <f>HYPERLINK("https://www.youtube.com/results?search_query=Dulce%20Pontes%20musica%20portuguesa","▶ Ouvir")</f>
        <v>▶ Ouvir</v>
      </c>
      <c r="E106" s="331" t="s">
        <v>225</v>
      </c>
      <c r="G106" s="302" t="s">
        <v>226</v>
      </c>
    </row>
    <row r="107" spans="2:7" ht="85" customHeight="1" x14ac:dyDescent="0.35">
      <c r="B107" s="137">
        <v>28</v>
      </c>
      <c r="C107" s="138" t="s">
        <v>227</v>
      </c>
      <c r="D107" s="139" t="str">
        <f>HYPERLINK("https://www.youtube.com/results?search_query=Mafalda%20Arnauth%20musica%20portuguesa","▶ Ouvir")</f>
        <v>▶ Ouvir</v>
      </c>
      <c r="E107" s="331" t="s">
        <v>228</v>
      </c>
      <c r="G107" s="302" t="s">
        <v>229</v>
      </c>
    </row>
    <row r="108" spans="2:7" ht="85" customHeight="1" x14ac:dyDescent="0.35">
      <c r="B108" s="134">
        <v>29</v>
      </c>
      <c r="C108" s="135" t="s">
        <v>230</v>
      </c>
      <c r="D108" s="136" t="str">
        <f>HYPERLINK("https://www.youtube.com/results?search_query=Cuca%20Roseta%20musica%20portuguesa","▶ Ouvir")</f>
        <v>▶ Ouvir</v>
      </c>
      <c r="E108" s="331" t="s">
        <v>231</v>
      </c>
      <c r="G108" s="302" t="s">
        <v>232</v>
      </c>
    </row>
    <row r="109" spans="2:7" ht="85" customHeight="1" x14ac:dyDescent="0.35">
      <c r="B109" s="137">
        <v>30</v>
      </c>
      <c r="C109" s="138" t="s">
        <v>233</v>
      </c>
      <c r="D109" s="139" t="str">
        <f>HYPERLINK("https://www.youtube.com/results?search_query=Teresinha%20Landeiro%20musica%20portuguesa","▶ Ouvir")</f>
        <v>▶ Ouvir</v>
      </c>
      <c r="E109" s="331" t="s">
        <v>234</v>
      </c>
      <c r="G109" s="302" t="s">
        <v>235</v>
      </c>
    </row>
    <row r="110" spans="2:7" ht="85" customHeight="1" x14ac:dyDescent="0.35">
      <c r="B110" s="134">
        <v>31</v>
      </c>
      <c r="C110" s="135" t="s">
        <v>236</v>
      </c>
      <c r="D110" s="136" t="str">
        <f>HYPERLINK("https://www.youtube.com/results?search_query=Sara%20Correia%20musica%20portuguesa","▶ Ouvir")</f>
        <v>▶ Ouvir</v>
      </c>
      <c r="E110" s="331" t="s">
        <v>237</v>
      </c>
      <c r="G110" s="302" t="s">
        <v>238</v>
      </c>
    </row>
    <row r="111" spans="2:7" ht="85" customHeight="1" x14ac:dyDescent="0.35">
      <c r="B111" s="137">
        <v>32</v>
      </c>
      <c r="C111" s="138" t="s">
        <v>239</v>
      </c>
      <c r="D111" s="139" t="str">
        <f>HYPERLINK("https://www.youtube.com/results?search_query=F%C3%A1bia%20Rebord%C3%A3o%20musica%20portuguesa","▶ Ouvir")</f>
        <v>▶ Ouvir</v>
      </c>
      <c r="E111" s="331" t="s">
        <v>240</v>
      </c>
      <c r="G111" s="302" t="s">
        <v>241</v>
      </c>
    </row>
    <row r="112" spans="2:7" ht="85" customHeight="1" x14ac:dyDescent="0.35">
      <c r="B112" s="134">
        <v>33</v>
      </c>
      <c r="C112" s="135" t="s">
        <v>242</v>
      </c>
      <c r="D112" s="136" t="str">
        <f>HYPERLINK("https://www.youtube.com/results?search_query=Duarte%20musica%20portuguesa","▶ Ouvir")</f>
        <v>▶ Ouvir</v>
      </c>
      <c r="E112" s="331" t="s">
        <v>243</v>
      </c>
      <c r="G112" s="302" t="s">
        <v>244</v>
      </c>
    </row>
    <row r="113" spans="2:7" ht="85" customHeight="1" x14ac:dyDescent="0.35">
      <c r="B113" s="137">
        <v>34</v>
      </c>
      <c r="C113" s="138" t="s">
        <v>245</v>
      </c>
      <c r="D113" s="139" t="str">
        <f>HYPERLINK("https://www.youtube.com/results?search_query=Gon%C3%A7alo%20Salgueiro%20musica%20portuguesa","▶ Ouvir")</f>
        <v>▶ Ouvir</v>
      </c>
      <c r="E113" s="331" t="s">
        <v>246</v>
      </c>
      <c r="G113" s="302" t="s">
        <v>247</v>
      </c>
    </row>
    <row r="114" spans="2:7" ht="85" customHeight="1" x14ac:dyDescent="0.35">
      <c r="B114" s="134">
        <v>35</v>
      </c>
      <c r="C114" s="135" t="s">
        <v>248</v>
      </c>
      <c r="D114" s="136" t="str">
        <f>HYPERLINK("https://www.youtube.com/results?search_query=Rodrigo%20Costa%20F%C3%A9lix%20musica%20portuguesa","▶ Ouvir")</f>
        <v>▶ Ouvir</v>
      </c>
      <c r="E114" s="331" t="s">
        <v>249</v>
      </c>
      <c r="G114" s="302" t="s">
        <v>250</v>
      </c>
    </row>
    <row r="116" spans="2:7" ht="85" customHeight="1" x14ac:dyDescent="0.35">
      <c r="B116" s="1340" t="s">
        <v>251</v>
      </c>
      <c r="C116" s="1313"/>
      <c r="D116" s="1313"/>
      <c r="E116" s="1313"/>
      <c r="F116" s="1313"/>
      <c r="G116" s="302" t="s">
        <v>252</v>
      </c>
    </row>
    <row r="117" spans="2:7" ht="85" customHeight="1" x14ac:dyDescent="0.35">
      <c r="B117" s="1339" t="s">
        <v>253</v>
      </c>
      <c r="C117" s="1313"/>
      <c r="D117" s="1313"/>
      <c r="E117" s="1313"/>
      <c r="F117" s="1313"/>
      <c r="G117" s="302" t="s">
        <v>254</v>
      </c>
    </row>
    <row r="118" spans="2:7" ht="85" customHeight="1" x14ac:dyDescent="0.35">
      <c r="B118" s="133" t="s">
        <v>141</v>
      </c>
      <c r="C118" s="133" t="s">
        <v>142</v>
      </c>
      <c r="D118" s="133" t="s">
        <v>143</v>
      </c>
      <c r="E118" s="332" t="s">
        <v>144</v>
      </c>
      <c r="G118" s="302" t="s">
        <v>145</v>
      </c>
    </row>
    <row r="119" spans="2:7" ht="85" customHeight="1" x14ac:dyDescent="0.35">
      <c r="B119" s="134">
        <v>1</v>
      </c>
      <c r="C119" s="135" t="s">
        <v>255</v>
      </c>
      <c r="D119" s="136" t="str">
        <f>HYPERLINK("https://www.youtube.com/results?search_query=Zeca%20Afonso%20musica%20portuguesa","▶ Ouvir")</f>
        <v>▶ Ouvir</v>
      </c>
      <c r="E119" s="331" t="s">
        <v>256</v>
      </c>
      <c r="G119" s="302" t="s">
        <v>148</v>
      </c>
    </row>
    <row r="120" spans="2:7" ht="85" customHeight="1" x14ac:dyDescent="0.35">
      <c r="B120" s="137">
        <v>2</v>
      </c>
      <c r="C120" s="138" t="s">
        <v>257</v>
      </c>
      <c r="D120" s="139" t="str">
        <f>HYPERLINK("https://www.youtube.com/results?search_query=Jos%C3%A9%20M%C3%A1rio%20Branco%20musica%20portuguesa","▶ Ouvir")</f>
        <v>▶ Ouvir</v>
      </c>
      <c r="E120" s="331" t="s">
        <v>258</v>
      </c>
      <c r="G120" s="302" t="s">
        <v>151</v>
      </c>
    </row>
    <row r="121" spans="2:7" ht="85" customHeight="1" x14ac:dyDescent="0.35">
      <c r="B121" s="134">
        <v>3</v>
      </c>
      <c r="C121" s="135" t="s">
        <v>259</v>
      </c>
      <c r="D121" s="136" t="str">
        <f>HYPERLINK("https://www.youtube.com/results?search_query=S%C3%A9rgio%20Godinho%20musica%20portuguesa","▶ Ouvir")</f>
        <v>▶ Ouvir</v>
      </c>
      <c r="E121" s="331" t="s">
        <v>260</v>
      </c>
      <c r="G121" s="302" t="s">
        <v>154</v>
      </c>
    </row>
    <row r="122" spans="2:7" ht="85" customHeight="1" x14ac:dyDescent="0.35">
      <c r="B122" s="137">
        <v>4</v>
      </c>
      <c r="C122" s="138" t="s">
        <v>261</v>
      </c>
      <c r="D122" s="139" t="str">
        <f>HYPERLINK("https://www.youtube.com/results?search_query=Fausto%20Bordalo%20Dias%20musica%20portuguesa","▶ Ouvir")</f>
        <v>▶ Ouvir</v>
      </c>
      <c r="E122" s="331" t="s">
        <v>262</v>
      </c>
      <c r="G122" s="302" t="s">
        <v>157</v>
      </c>
    </row>
    <row r="123" spans="2:7" ht="85" customHeight="1" x14ac:dyDescent="0.35">
      <c r="B123" s="134">
        <v>5</v>
      </c>
      <c r="C123" s="135" t="s">
        <v>263</v>
      </c>
      <c r="D123" s="136" t="str">
        <f>HYPERLINK("https://www.youtube.com/results?search_query=Vitorino%20Salom%C3%A9%20musica%20portuguesa","▶ Ouvir")</f>
        <v>▶ Ouvir</v>
      </c>
      <c r="E123" s="331" t="s">
        <v>264</v>
      </c>
      <c r="G123" s="302" t="s">
        <v>160</v>
      </c>
    </row>
    <row r="124" spans="2:7" ht="85" customHeight="1" x14ac:dyDescent="0.35">
      <c r="B124" s="137">
        <v>6</v>
      </c>
      <c r="C124" s="138" t="s">
        <v>265</v>
      </c>
      <c r="D124" s="139" t="str">
        <f>HYPERLINK("https://www.youtube.com/results?search_query=Janita%20Salom%C3%A9%20musica%20portuguesa","▶ Ouvir")</f>
        <v>▶ Ouvir</v>
      </c>
      <c r="E124" s="331" t="s">
        <v>266</v>
      </c>
      <c r="G124" s="302" t="s">
        <v>163</v>
      </c>
    </row>
    <row r="125" spans="2:7" ht="85" customHeight="1" x14ac:dyDescent="0.35">
      <c r="B125" s="134">
        <v>7</v>
      </c>
      <c r="C125" s="135" t="s">
        <v>267</v>
      </c>
      <c r="D125" s="136" t="str">
        <f>HYPERLINK("https://www.youtube.com/results?search_query=Francisco%20Fanhais%20musica%20portuguesa","▶ Ouvir")</f>
        <v>▶ Ouvir</v>
      </c>
      <c r="E125" s="331" t="s">
        <v>268</v>
      </c>
      <c r="G125" s="302" t="s">
        <v>166</v>
      </c>
    </row>
    <row r="126" spans="2:7" ht="85" customHeight="1" x14ac:dyDescent="0.35">
      <c r="B126" s="137">
        <v>8</v>
      </c>
      <c r="C126" s="138" t="s">
        <v>269</v>
      </c>
      <c r="D126" s="139" t="str">
        <f>HYPERLINK("https://www.youtube.com/results?search_query=Manuel%20Freire%20musica%20portuguesa","▶ Ouvir")</f>
        <v>▶ Ouvir</v>
      </c>
      <c r="E126" s="331" t="s">
        <v>270</v>
      </c>
      <c r="G126" s="302" t="s">
        <v>169</v>
      </c>
    </row>
    <row r="127" spans="2:7" ht="85" customHeight="1" x14ac:dyDescent="0.35">
      <c r="B127" s="134">
        <v>9</v>
      </c>
      <c r="C127" s="135" t="s">
        <v>271</v>
      </c>
      <c r="D127" s="136" t="str">
        <f>HYPERLINK("https://www.youtube.com/results?search_query=Adriano%20Correia%20de%20Oliveira%20musica%20portuguesa","▶ Ouvir")</f>
        <v>▶ Ouvir</v>
      </c>
      <c r="E127" s="331" t="s">
        <v>272</v>
      </c>
      <c r="G127" s="302" t="s">
        <v>172</v>
      </c>
    </row>
    <row r="128" spans="2:7" ht="85" customHeight="1" x14ac:dyDescent="0.35">
      <c r="B128" s="137">
        <v>10</v>
      </c>
      <c r="C128" s="138" t="s">
        <v>273</v>
      </c>
      <c r="D128" s="139" t="str">
        <f>HYPERLINK("https://www.youtube.com/results?search_query=Lu%C3%ADs%20C%C3%ADlia%20musica%20portuguesa","▶ Ouvir")</f>
        <v>▶ Ouvir</v>
      </c>
      <c r="E128" s="331" t="s">
        <v>274</v>
      </c>
      <c r="G128" s="302" t="s">
        <v>175</v>
      </c>
    </row>
    <row r="129" spans="2:7" ht="85" customHeight="1" x14ac:dyDescent="0.35">
      <c r="B129" s="134">
        <v>11</v>
      </c>
      <c r="C129" s="135" t="s">
        <v>275</v>
      </c>
      <c r="D129" s="136" t="str">
        <f>HYPERLINK("https://www.youtube.com/results?search_query=Trovante%20musica%20portuguesa","▶ Ouvir")</f>
        <v>▶ Ouvir</v>
      </c>
      <c r="E129" s="331" t="s">
        <v>276</v>
      </c>
      <c r="G129" s="302" t="s">
        <v>178</v>
      </c>
    </row>
    <row r="130" spans="2:7" ht="85" customHeight="1" x14ac:dyDescent="0.35">
      <c r="B130" s="137">
        <v>12</v>
      </c>
      <c r="C130" s="138" t="s">
        <v>277</v>
      </c>
      <c r="D130" s="139" t="str">
        <f>HYPERLINK("https://www.youtube.com/results?search_query=Jorge%20Palma%20musica%20portuguesa","▶ Ouvir")</f>
        <v>▶ Ouvir</v>
      </c>
      <c r="E130" s="331" t="s">
        <v>278</v>
      </c>
      <c r="G130" s="302" t="s">
        <v>181</v>
      </c>
    </row>
    <row r="131" spans="2:7" ht="85" customHeight="1" x14ac:dyDescent="0.35">
      <c r="B131" s="134">
        <v>13</v>
      </c>
      <c r="C131" s="135" t="s">
        <v>279</v>
      </c>
      <c r="D131" s="136" t="str">
        <f>HYPERLINK("https://www.youtube.com/results?search_query=Pedro%20Abrunhosa%20musica%20portuguesa","▶ Ouvir")</f>
        <v>▶ Ouvir</v>
      </c>
      <c r="E131" s="331" t="s">
        <v>280</v>
      </c>
      <c r="G131" s="302" t="s">
        <v>184</v>
      </c>
    </row>
    <row r="132" spans="2:7" ht="85" customHeight="1" x14ac:dyDescent="0.35">
      <c r="B132" s="137">
        <v>14</v>
      </c>
      <c r="C132" s="138" t="s">
        <v>281</v>
      </c>
      <c r="D132" s="139" t="str">
        <f>HYPERLINK("https://www.youtube.com/results?search_query=Paulo%20Gonzo%20musica%20portuguesa","▶ Ouvir")</f>
        <v>▶ Ouvir</v>
      </c>
      <c r="E132" s="331" t="s">
        <v>282</v>
      </c>
      <c r="G132" s="302" t="s">
        <v>187</v>
      </c>
    </row>
    <row r="133" spans="2:7" ht="85" customHeight="1" x14ac:dyDescent="0.35">
      <c r="B133" s="134">
        <v>15</v>
      </c>
      <c r="C133" s="135" t="s">
        <v>283</v>
      </c>
      <c r="D133" s="136" t="str">
        <f>HYPERLINK("https://www.youtube.com/results?search_query=Rui%20Veloso%20musica%20portuguesa","▶ Ouvir")</f>
        <v>▶ Ouvir</v>
      </c>
      <c r="E133" s="331" t="s">
        <v>284</v>
      </c>
      <c r="G133" s="302" t="s">
        <v>190</v>
      </c>
    </row>
    <row r="134" spans="2:7" ht="85" customHeight="1" x14ac:dyDescent="0.35">
      <c r="B134" s="137">
        <v>16</v>
      </c>
      <c r="C134" s="138" t="s">
        <v>285</v>
      </c>
      <c r="D134" s="139" t="str">
        <f>HYPERLINK("https://www.youtube.com/results?search_query=Carlos%20T%C3%AA%20musica%20portuguesa","▶ Ouvir")</f>
        <v>▶ Ouvir</v>
      </c>
      <c r="E134" s="331" t="s">
        <v>286</v>
      </c>
      <c r="G134" s="302" t="s">
        <v>193</v>
      </c>
    </row>
    <row r="135" spans="2:7" ht="85" customHeight="1" x14ac:dyDescent="0.35">
      <c r="B135" s="134">
        <v>17</v>
      </c>
      <c r="C135" s="135" t="s">
        <v>287</v>
      </c>
      <c r="D135" s="136" t="str">
        <f>HYPERLINK("https://www.youtube.com/results?search_query=Jo%C3%A3o%20Afonso%20musica%20portuguesa","▶ Ouvir")</f>
        <v>▶ Ouvir</v>
      </c>
      <c r="E135" s="331" t="s">
        <v>288</v>
      </c>
      <c r="G135" s="302" t="s">
        <v>196</v>
      </c>
    </row>
    <row r="136" spans="2:7" ht="85" customHeight="1" x14ac:dyDescent="0.35">
      <c r="B136" s="137">
        <v>18</v>
      </c>
      <c r="C136" s="138" t="s">
        <v>289</v>
      </c>
      <c r="D136" s="139" t="str">
        <f>HYPERLINK("https://www.youtube.com/results?search_query=B%20Fachada%20musica%20portuguesa","▶ Ouvir")</f>
        <v>▶ Ouvir</v>
      </c>
      <c r="E136" s="331" t="s">
        <v>290</v>
      </c>
      <c r="G136" s="302" t="s">
        <v>199</v>
      </c>
    </row>
    <row r="137" spans="2:7" ht="85" customHeight="1" x14ac:dyDescent="0.35">
      <c r="B137" s="134">
        <v>19</v>
      </c>
      <c r="C137" s="135" t="s">
        <v>291</v>
      </c>
      <c r="D137" s="136" t="str">
        <f>HYPERLINK("https://www.youtube.com/results?search_query=Samuel%20%C3%9Aria%20musica%20portuguesa","▶ Ouvir")</f>
        <v>▶ Ouvir</v>
      </c>
      <c r="E137" s="331" t="s">
        <v>292</v>
      </c>
      <c r="G137" s="302" t="s">
        <v>202</v>
      </c>
    </row>
    <row r="138" spans="2:7" ht="85" customHeight="1" x14ac:dyDescent="0.35">
      <c r="B138" s="137">
        <v>20</v>
      </c>
      <c r="C138" s="138" t="s">
        <v>293</v>
      </c>
      <c r="D138" s="139" t="str">
        <f>HYPERLINK("https://www.youtube.com/results?search_query=M%C3%A1rcia%20musica%20portuguesa","▶ Ouvir")</f>
        <v>▶ Ouvir</v>
      </c>
      <c r="E138" s="331" t="s">
        <v>294</v>
      </c>
      <c r="G138" s="302" t="s">
        <v>205</v>
      </c>
    </row>
    <row r="140" spans="2:7" ht="85" customHeight="1" x14ac:dyDescent="0.35">
      <c r="B140" s="1340" t="s">
        <v>295</v>
      </c>
      <c r="C140" s="1313"/>
      <c r="D140" s="1313"/>
      <c r="E140" s="1313"/>
      <c r="F140" s="1313"/>
      <c r="G140" s="302" t="s">
        <v>296</v>
      </c>
    </row>
    <row r="141" spans="2:7" ht="85" customHeight="1" x14ac:dyDescent="0.35">
      <c r="B141" s="1339" t="s">
        <v>297</v>
      </c>
      <c r="C141" s="1313"/>
      <c r="D141" s="1313"/>
      <c r="E141" s="1313"/>
      <c r="F141" s="1313"/>
      <c r="G141" s="302" t="s">
        <v>298</v>
      </c>
    </row>
    <row r="142" spans="2:7" ht="85" customHeight="1" x14ac:dyDescent="0.35">
      <c r="B142" s="133" t="s">
        <v>141</v>
      </c>
      <c r="C142" s="133" t="s">
        <v>142</v>
      </c>
      <c r="D142" s="133" t="s">
        <v>143</v>
      </c>
      <c r="E142" s="332" t="s">
        <v>144</v>
      </c>
      <c r="G142" s="302" t="s">
        <v>145</v>
      </c>
    </row>
    <row r="143" spans="2:7" ht="85" customHeight="1" x14ac:dyDescent="0.35">
      <c r="B143" s="134">
        <v>1</v>
      </c>
      <c r="C143" s="135" t="s">
        <v>299</v>
      </c>
      <c r="D143" s="136" t="str">
        <f>HYPERLINK("https://www.youtube.com/results?search_query=R%C3%A3o%20Kyao%20musica%20portuguesa","▶ Ouvir")</f>
        <v>▶ Ouvir</v>
      </c>
      <c r="E143" s="331" t="s">
        <v>300</v>
      </c>
      <c r="G143" s="302" t="s">
        <v>148</v>
      </c>
    </row>
    <row r="144" spans="2:7" ht="85" customHeight="1" x14ac:dyDescent="0.35">
      <c r="B144" s="137">
        <v>2</v>
      </c>
      <c r="C144" s="138" t="s">
        <v>301</v>
      </c>
      <c r="D144" s="139" t="str">
        <f>HYPERLINK("https://www.youtube.com/results?search_query=J%C3%BAlio%20Pereira%20musica%20portuguesa","▶ Ouvir")</f>
        <v>▶ Ouvir</v>
      </c>
      <c r="E144" s="331" t="s">
        <v>302</v>
      </c>
      <c r="G144" s="302" t="s">
        <v>151</v>
      </c>
    </row>
    <row r="145" spans="2:7" ht="85" customHeight="1" x14ac:dyDescent="0.35">
      <c r="B145" s="134">
        <v>3</v>
      </c>
      <c r="C145" s="135" t="s">
        <v>303</v>
      </c>
      <c r="D145" s="136" t="str">
        <f>HYPERLINK("https://www.youtube.com/results?search_query=Carlos%20Paredes%20musica%20portuguesa","▶ Ouvir")</f>
        <v>▶ Ouvir</v>
      </c>
      <c r="E145" s="331" t="s">
        <v>304</v>
      </c>
      <c r="G145" s="302" t="s">
        <v>154</v>
      </c>
    </row>
    <row r="146" spans="2:7" ht="85" customHeight="1" x14ac:dyDescent="0.35">
      <c r="B146" s="137">
        <v>4</v>
      </c>
      <c r="C146" s="138" t="s">
        <v>305</v>
      </c>
      <c r="D146" s="139" t="str">
        <f>HYPERLINK("https://www.youtube.com/results?search_query=Cust%C3%B3dio%20Castelo%20musica%20portuguesa","▶ Ouvir")</f>
        <v>▶ Ouvir</v>
      </c>
      <c r="E146" s="331" t="s">
        <v>306</v>
      </c>
      <c r="G146" s="302" t="s">
        <v>157</v>
      </c>
    </row>
    <row r="147" spans="2:7" ht="85" customHeight="1" x14ac:dyDescent="0.35">
      <c r="B147" s="134">
        <v>5</v>
      </c>
      <c r="C147" s="135" t="s">
        <v>307</v>
      </c>
      <c r="D147" s="136" t="str">
        <f>HYPERLINK("https://www.youtube.com/results?search_query=Marta%20Pereira%20da%20Costa%20musica%20portuguesa","▶ Ouvir")</f>
        <v>▶ Ouvir</v>
      </c>
      <c r="E147" s="331" t="s">
        <v>308</v>
      </c>
      <c r="G147" s="302" t="s">
        <v>160</v>
      </c>
    </row>
    <row r="148" spans="2:7" ht="85" customHeight="1" x14ac:dyDescent="0.35">
      <c r="B148" s="137">
        <v>6</v>
      </c>
      <c r="C148" s="138" t="s">
        <v>309</v>
      </c>
      <c r="D148" s="139" t="str">
        <f>HYPERLINK("https://www.youtube.com/results?search_query=Brigada%20Victor%20Jara%20musica%20portuguesa","▶ Ouvir")</f>
        <v>▶ Ouvir</v>
      </c>
      <c r="E148" s="331" t="s">
        <v>310</v>
      </c>
      <c r="G148" s="302" t="s">
        <v>163</v>
      </c>
    </row>
    <row r="149" spans="2:7" ht="85" customHeight="1" x14ac:dyDescent="0.35">
      <c r="B149" s="134">
        <v>7</v>
      </c>
      <c r="C149" s="135" t="s">
        <v>311</v>
      </c>
      <c r="D149" s="136" t="str">
        <f>HYPERLINK("https://www.youtube.com/results?search_query=Gaiteiros%20de%20Lisboa%20musica%20portuguesa","▶ Ouvir")</f>
        <v>▶ Ouvir</v>
      </c>
      <c r="E149" s="331" t="s">
        <v>312</v>
      </c>
      <c r="G149" s="302" t="s">
        <v>166</v>
      </c>
    </row>
    <row r="150" spans="2:7" ht="85" customHeight="1" x14ac:dyDescent="0.35">
      <c r="B150" s="137">
        <v>8</v>
      </c>
      <c r="C150" s="138" t="s">
        <v>313</v>
      </c>
      <c r="D150" s="139" t="str">
        <f>HYPERLINK("https://www.youtube.com/results?search_query=Ronda%20dos%20Quatro%20Caminhos%20musica%20portuguesa","▶ Ouvir")</f>
        <v>▶ Ouvir</v>
      </c>
      <c r="E150" s="331" t="s">
        <v>314</v>
      </c>
      <c r="G150" s="302" t="s">
        <v>169</v>
      </c>
    </row>
    <row r="151" spans="2:7" ht="85" customHeight="1" x14ac:dyDescent="0.35">
      <c r="B151" s="134">
        <v>9</v>
      </c>
      <c r="C151" s="135" t="s">
        <v>315</v>
      </c>
      <c r="D151" s="136" t="str">
        <f>HYPERLINK("https://www.youtube.com/results?search_query=Galandum%20Galundaina%20musica%20portuguesa","▶ Ouvir")</f>
        <v>▶ Ouvir</v>
      </c>
      <c r="E151" s="331" t="s">
        <v>316</v>
      </c>
      <c r="G151" s="302" t="s">
        <v>172</v>
      </c>
    </row>
    <row r="152" spans="2:7" ht="85" customHeight="1" x14ac:dyDescent="0.35">
      <c r="B152" s="137">
        <v>10</v>
      </c>
      <c r="C152" s="138" t="s">
        <v>317</v>
      </c>
      <c r="D152" s="139" t="str">
        <f>HYPERLINK("https://www.youtube.com/results?search_query=Realejo%20musica%20portuguesa","▶ Ouvir")</f>
        <v>▶ Ouvir</v>
      </c>
      <c r="E152" s="331" t="s">
        <v>318</v>
      </c>
      <c r="G152" s="302" t="s">
        <v>175</v>
      </c>
    </row>
    <row r="153" spans="2:7" ht="85" customHeight="1" x14ac:dyDescent="0.35">
      <c r="B153" s="134">
        <v>11</v>
      </c>
      <c r="C153" s="135" t="s">
        <v>319</v>
      </c>
      <c r="D153" s="136" t="str">
        <f>HYPERLINK("https://www.youtube.com/results?search_query=Dazkarieh%20musica%20portuguesa","▶ Ouvir")</f>
        <v>▶ Ouvir</v>
      </c>
      <c r="E153" s="331" t="s">
        <v>320</v>
      </c>
      <c r="G153" s="302" t="s">
        <v>178</v>
      </c>
    </row>
    <row r="154" spans="2:7" ht="85" customHeight="1" x14ac:dyDescent="0.35">
      <c r="B154" s="137">
        <v>12</v>
      </c>
      <c r="C154" s="138" t="s">
        <v>321</v>
      </c>
      <c r="D154" s="139" t="str">
        <f>HYPERLINK("https://www.youtube.com/results?search_query=Diabo%20na%20Cruz%20musica%20portuguesa","▶ Ouvir")</f>
        <v>▶ Ouvir</v>
      </c>
      <c r="E154" s="331" t="s">
        <v>322</v>
      </c>
      <c r="G154" s="302" t="s">
        <v>181</v>
      </c>
    </row>
    <row r="155" spans="2:7" ht="85" customHeight="1" x14ac:dyDescent="0.35">
      <c r="B155" s="134">
        <v>13</v>
      </c>
      <c r="C155" s="135" t="s">
        <v>323</v>
      </c>
      <c r="D155" s="136" t="str">
        <f>HYPERLINK("https://www.youtube.com/results?search_query=Deolinda%20musica%20portuguesa","▶ Ouvir")</f>
        <v>▶ Ouvir</v>
      </c>
      <c r="E155" s="331" t="s">
        <v>324</v>
      </c>
      <c r="G155" s="302" t="s">
        <v>184</v>
      </c>
    </row>
    <row r="156" spans="2:7" ht="85" customHeight="1" x14ac:dyDescent="0.35">
      <c r="B156" s="137">
        <v>14</v>
      </c>
      <c r="C156" s="138" t="s">
        <v>325</v>
      </c>
      <c r="D156" s="139" t="str">
        <f>HYPERLINK("https://www.youtube.com/results?search_query=OqueStrada%20musica%20portuguesa","▶ Ouvir")</f>
        <v>▶ Ouvir</v>
      </c>
      <c r="E156" s="331" t="s">
        <v>326</v>
      </c>
      <c r="G156" s="302" t="s">
        <v>187</v>
      </c>
    </row>
    <row r="157" spans="2:7" ht="85" customHeight="1" x14ac:dyDescent="0.35">
      <c r="B157" s="134">
        <v>15</v>
      </c>
      <c r="C157" s="135" t="s">
        <v>327</v>
      </c>
      <c r="D157" s="136" t="str">
        <f>HYPERLINK("https://www.youtube.com/results?search_query=Dan%C3%A7as%20Ocultas%20musica%20portuguesa","▶ Ouvir")</f>
        <v>▶ Ouvir</v>
      </c>
      <c r="E157" s="331" t="s">
        <v>328</v>
      </c>
      <c r="G157" s="302" t="s">
        <v>190</v>
      </c>
    </row>
    <row r="158" spans="2:7" ht="85" customHeight="1" x14ac:dyDescent="0.35">
      <c r="B158" s="137">
        <v>16</v>
      </c>
      <c r="C158" s="138" t="s">
        <v>329</v>
      </c>
      <c r="D158" s="139" t="str">
        <f>HYPERLINK("https://www.youtube.com/results?search_query=Rodrigo%20Le%C3%A3o%20musica%20portuguesa","▶ Ouvir")</f>
        <v>▶ Ouvir</v>
      </c>
      <c r="E158" s="331" t="s">
        <v>330</v>
      </c>
      <c r="G158" s="302" t="s">
        <v>193</v>
      </c>
    </row>
    <row r="159" spans="2:7" ht="85" customHeight="1" x14ac:dyDescent="0.35">
      <c r="B159" s="134">
        <v>17</v>
      </c>
      <c r="C159" s="135" t="s">
        <v>331</v>
      </c>
      <c r="D159" s="136" t="str">
        <f>HYPERLINK("https://www.youtube.com/results?search_query=Madredeus%20musica%20portuguesa","▶ Ouvir")</f>
        <v>▶ Ouvir</v>
      </c>
      <c r="E159" s="331" t="s">
        <v>332</v>
      </c>
      <c r="G159" s="302" t="s">
        <v>196</v>
      </c>
    </row>
    <row r="160" spans="2:7" ht="85" customHeight="1" x14ac:dyDescent="0.35">
      <c r="B160" s="137">
        <v>18</v>
      </c>
      <c r="C160" s="138" t="s">
        <v>333</v>
      </c>
      <c r="D160" s="139" t="str">
        <f>HYPERLINK("https://www.youtube.com/results?search_query=Teresa%20Salgueiro%20musica%20portuguesa","▶ Ouvir")</f>
        <v>▶ Ouvir</v>
      </c>
      <c r="E160" s="331" t="s">
        <v>334</v>
      </c>
      <c r="G160" s="302" t="s">
        <v>199</v>
      </c>
    </row>
    <row r="161" spans="2:7" ht="85" customHeight="1" x14ac:dyDescent="0.35">
      <c r="B161" s="134">
        <v>19</v>
      </c>
      <c r="C161" s="135" t="s">
        <v>335</v>
      </c>
      <c r="D161" s="136" t="str">
        <f>HYPERLINK("https://www.youtube.com/results?search_query=S%C3%A9tima%20Legi%C3%A3o%20musica%20portuguesa","▶ Ouvir")</f>
        <v>▶ Ouvir</v>
      </c>
      <c r="E161" s="331" t="s">
        <v>336</v>
      </c>
      <c r="G161" s="302" t="s">
        <v>202</v>
      </c>
    </row>
    <row r="162" spans="2:7" ht="85" customHeight="1" x14ac:dyDescent="0.35">
      <c r="B162" s="137">
        <v>20</v>
      </c>
      <c r="C162" s="138" t="s">
        <v>337</v>
      </c>
      <c r="D162" s="139" t="str">
        <f>HYPERLINK("https://www.youtube.com/results?search_query=Am%C3%A9lia%20Muge%20musica%20portuguesa","▶ Ouvir")</f>
        <v>▶ Ouvir</v>
      </c>
      <c r="E162" s="331" t="s">
        <v>338</v>
      </c>
      <c r="G162" s="302" t="s">
        <v>205</v>
      </c>
    </row>
    <row r="163" spans="2:7" ht="85" customHeight="1" x14ac:dyDescent="0.35">
      <c r="B163" s="134">
        <v>21</v>
      </c>
      <c r="C163" s="135" t="s">
        <v>339</v>
      </c>
      <c r="D163" s="136" t="str">
        <f>HYPERLINK("https://www.youtube.com/results?search_query=Uxu%20Kalhus%20musica%20portuguesa","▶ Ouvir")</f>
        <v>▶ Ouvir</v>
      </c>
      <c r="E163" s="331" t="s">
        <v>340</v>
      </c>
      <c r="G163" s="302" t="s">
        <v>208</v>
      </c>
    </row>
    <row r="164" spans="2:7" ht="85" customHeight="1" x14ac:dyDescent="0.35">
      <c r="B164" s="137">
        <v>22</v>
      </c>
      <c r="C164" s="138" t="s">
        <v>341</v>
      </c>
      <c r="D164" s="139" t="str">
        <f>HYPERLINK("https://www.youtube.com/results?search_query=Kumpania%20Algazarra%20musica%20portuguesa","▶ Ouvir")</f>
        <v>▶ Ouvir</v>
      </c>
      <c r="E164" s="331" t="s">
        <v>342</v>
      </c>
      <c r="G164" s="302" t="s">
        <v>211</v>
      </c>
    </row>
    <row r="165" spans="2:7" ht="85" customHeight="1" x14ac:dyDescent="0.35">
      <c r="B165" s="134">
        <v>23</v>
      </c>
      <c r="C165" s="135" t="s">
        <v>343</v>
      </c>
      <c r="D165" s="136" t="str">
        <f>HYPERLINK("https://www.youtube.com/results?search_query=Sebasti%C3%A3o%20Antunes%20%26%20Quadrilha%20musica%20portuguesa","▶ Ouvir")</f>
        <v>▶ Ouvir</v>
      </c>
      <c r="E165" s="331" t="s">
        <v>344</v>
      </c>
      <c r="G165" s="302" t="s">
        <v>214</v>
      </c>
    </row>
    <row r="166" spans="2:7" ht="85" customHeight="1" x14ac:dyDescent="0.35">
      <c r="B166" s="137">
        <v>24</v>
      </c>
      <c r="C166" s="138" t="s">
        <v>345</v>
      </c>
      <c r="D166" s="139" t="str">
        <f>HYPERLINK("https://www.youtube.com/results?search_query=Ana%20Alcaide%20musica%20portuguesa","▶ Ouvir")</f>
        <v>▶ Ouvir</v>
      </c>
      <c r="E166" s="331" t="s">
        <v>346</v>
      </c>
      <c r="G166" s="302" t="s">
        <v>217</v>
      </c>
    </row>
    <row r="167" spans="2:7" ht="85" customHeight="1" x14ac:dyDescent="0.35">
      <c r="B167" s="134">
        <v>25</v>
      </c>
      <c r="C167" s="135" t="s">
        <v>347</v>
      </c>
      <c r="D167" s="136" t="str">
        <f>HYPERLINK("https://www.youtube.com/results?search_query=Adufeiras%20de%20Monsanto%20musica%20portuguesa","▶ Ouvir")</f>
        <v>▶ Ouvir</v>
      </c>
      <c r="E167" s="331" t="s">
        <v>348</v>
      </c>
      <c r="G167" s="302" t="s">
        <v>220</v>
      </c>
    </row>
    <row r="169" spans="2:7" ht="85" customHeight="1" x14ac:dyDescent="0.35">
      <c r="B169" s="1340" t="s">
        <v>349</v>
      </c>
      <c r="C169" s="1313"/>
      <c r="D169" s="1313"/>
      <c r="E169" s="1313"/>
      <c r="F169" s="1313"/>
      <c r="G169" s="302" t="s">
        <v>350</v>
      </c>
    </row>
    <row r="170" spans="2:7" ht="85" customHeight="1" x14ac:dyDescent="0.35">
      <c r="B170" s="1339" t="s">
        <v>351</v>
      </c>
      <c r="C170" s="1313"/>
      <c r="D170" s="1313"/>
      <c r="E170" s="1313"/>
      <c r="F170" s="1313"/>
      <c r="G170" s="302" t="s">
        <v>352</v>
      </c>
    </row>
    <row r="171" spans="2:7" ht="85" customHeight="1" x14ac:dyDescent="0.35">
      <c r="B171" s="133" t="s">
        <v>141</v>
      </c>
      <c r="C171" s="133" t="s">
        <v>142</v>
      </c>
      <c r="D171" s="133" t="s">
        <v>143</v>
      </c>
      <c r="G171" s="302" t="s">
        <v>145</v>
      </c>
    </row>
    <row r="172" spans="2:7" ht="85" customHeight="1" x14ac:dyDescent="0.35">
      <c r="B172" s="134">
        <v>1</v>
      </c>
      <c r="C172" s="135" t="s">
        <v>353</v>
      </c>
      <c r="D172" s="136" t="str">
        <f>HYPERLINK("https://www.youtube.com/results?search_query=Os%20Ganh%C3%B5es%20de%20Castro%20Verde%20musica%20portuguesa","▶ Ouvir")</f>
        <v>▶ Ouvir</v>
      </c>
      <c r="E172" s="331" t="s">
        <v>354</v>
      </c>
      <c r="G172" s="302" t="s">
        <v>148</v>
      </c>
    </row>
    <row r="173" spans="2:7" ht="85" customHeight="1" x14ac:dyDescent="0.35">
      <c r="B173" s="137">
        <v>2</v>
      </c>
      <c r="C173" s="138" t="s">
        <v>355</v>
      </c>
      <c r="D173" s="139" t="str">
        <f>HYPERLINK("https://www.youtube.com/results?search_query=Cantadores%20de%20Pias%20musica%20portuguesa","▶ Ouvir")</f>
        <v>▶ Ouvir</v>
      </c>
      <c r="E173" s="331" t="s">
        <v>356</v>
      </c>
      <c r="G173" s="302" t="s">
        <v>151</v>
      </c>
    </row>
    <row r="174" spans="2:7" ht="85" customHeight="1" x14ac:dyDescent="0.35">
      <c r="B174" s="134">
        <v>3</v>
      </c>
      <c r="C174" s="135" t="s">
        <v>357</v>
      </c>
      <c r="D174" s="136" t="str">
        <f>HYPERLINK("https://www.youtube.com/results?search_query=Grupo%20Coral%20de%20Serpa%20musica%20portuguesa","▶ Ouvir")</f>
        <v>▶ Ouvir</v>
      </c>
      <c r="E174" s="331" t="s">
        <v>358</v>
      </c>
      <c r="G174" s="302" t="s">
        <v>154</v>
      </c>
    </row>
    <row r="175" spans="2:7" ht="85" customHeight="1" x14ac:dyDescent="0.35">
      <c r="B175" s="137">
        <v>4</v>
      </c>
      <c r="C175" s="138" t="s">
        <v>359</v>
      </c>
      <c r="D175" s="139" t="str">
        <f>HYPERLINK("https://www.youtube.com/results?search_query=Rancho%20da%20Aldeia%20Nova%20musica%20portuguesa","▶ Ouvir")</f>
        <v>▶ Ouvir</v>
      </c>
      <c r="E175" s="331" t="s">
        <v>360</v>
      </c>
      <c r="G175" s="302" t="s">
        <v>157</v>
      </c>
    </row>
    <row r="176" spans="2:7" ht="85" customHeight="1" x14ac:dyDescent="0.35">
      <c r="B176" s="134">
        <v>5</v>
      </c>
      <c r="C176" s="135" t="s">
        <v>361</v>
      </c>
      <c r="D176" s="136" t="str">
        <f>HYPERLINK("https://www.youtube.com/results?search_query=Celina%20da%20Piedade%20musica%20portuguesa","▶ Ouvir")</f>
        <v>▶ Ouvir</v>
      </c>
      <c r="E176" s="331" t="s">
        <v>362</v>
      </c>
      <c r="G176" s="302" t="s">
        <v>160</v>
      </c>
    </row>
    <row r="177" spans="2:7" ht="85" customHeight="1" x14ac:dyDescent="0.35">
      <c r="B177" s="137">
        <v>6</v>
      </c>
      <c r="C177" s="138" t="s">
        <v>363</v>
      </c>
      <c r="D177" s="139" t="str">
        <f>HYPERLINK("https://www.youtube.com/results?search_query=Omiri%20musica%20portuguesa","▶ Ouvir")</f>
        <v>▶ Ouvir</v>
      </c>
      <c r="E177" s="331" t="s">
        <v>364</v>
      </c>
      <c r="G177" s="302" t="s">
        <v>163</v>
      </c>
    </row>
    <row r="178" spans="2:7" ht="85" customHeight="1" x14ac:dyDescent="0.35">
      <c r="B178" s="134">
        <v>7</v>
      </c>
      <c r="C178" s="135" t="s">
        <v>365</v>
      </c>
      <c r="D178" s="136" t="str">
        <f>HYPERLINK("https://www.youtube.com/results?search_query=Stereossauro%20musica%20portuguesa","▶ Ouvir")</f>
        <v>▶ Ouvir</v>
      </c>
      <c r="E178" s="331" t="s">
        <v>366</v>
      </c>
      <c r="G178" s="302" t="s">
        <v>166</v>
      </c>
    </row>
    <row r="179" spans="2:7" ht="85" customHeight="1" x14ac:dyDescent="0.35">
      <c r="B179" s="137">
        <v>8</v>
      </c>
      <c r="C179" s="138" t="s">
        <v>367</v>
      </c>
      <c r="D179" s="139" t="str">
        <f>HYPERLINK("https://www.youtube.com/results?search_query=Branko%20musica%20portuguesa","▶ Ouvir")</f>
        <v>▶ Ouvir</v>
      </c>
      <c r="E179" s="331" t="s">
        <v>368</v>
      </c>
      <c r="G179" s="302" t="s">
        <v>169</v>
      </c>
    </row>
    <row r="180" spans="2:7" ht="85" customHeight="1" x14ac:dyDescent="0.35">
      <c r="B180" s="134">
        <v>9</v>
      </c>
      <c r="C180" s="135" t="s">
        <v>369</v>
      </c>
      <c r="D180" s="136" t="str">
        <f>HYPERLINK("https://www.youtube.com/results?search_query=Mayra%20Andrade%20musica%20portuguesa","▶ Ouvir")</f>
        <v>▶ Ouvir</v>
      </c>
      <c r="E180" s="331" t="s">
        <v>370</v>
      </c>
      <c r="G180" s="302" t="s">
        <v>172</v>
      </c>
    </row>
    <row r="181" spans="2:7" ht="85" customHeight="1" x14ac:dyDescent="0.35">
      <c r="B181" s="137">
        <v>10</v>
      </c>
      <c r="C181" s="138" t="s">
        <v>371</v>
      </c>
      <c r="D181" s="139" t="str">
        <f>HYPERLINK("https://www.youtube.com/results?search_query=Sara%20Tavares%20musica%20portuguesa","▶ Ouvir")</f>
        <v>▶ Ouvir</v>
      </c>
      <c r="E181" s="331" t="s">
        <v>372</v>
      </c>
      <c r="G181" s="302" t="s">
        <v>175</v>
      </c>
    </row>
    <row r="183" spans="2:7" ht="85" customHeight="1" x14ac:dyDescent="0.35">
      <c r="B183" s="1340" t="s">
        <v>373</v>
      </c>
      <c r="C183" s="1313"/>
      <c r="D183" s="1313"/>
      <c r="E183" s="1313"/>
      <c r="F183" s="1313"/>
      <c r="G183" s="302" t="s">
        <v>374</v>
      </c>
    </row>
    <row r="184" spans="2:7" ht="85" customHeight="1" x14ac:dyDescent="0.35">
      <c r="B184" s="1339" t="s">
        <v>375</v>
      </c>
      <c r="C184" s="1313"/>
      <c r="D184" s="1313"/>
      <c r="E184" s="1313"/>
      <c r="F184" s="1313"/>
      <c r="G184" s="302" t="s">
        <v>376</v>
      </c>
    </row>
    <row r="185" spans="2:7" ht="85" customHeight="1" x14ac:dyDescent="0.35">
      <c r="B185" s="133" t="s">
        <v>141</v>
      </c>
      <c r="C185" s="133" t="s">
        <v>142</v>
      </c>
      <c r="D185" s="133" t="s">
        <v>143</v>
      </c>
      <c r="G185" s="302" t="s">
        <v>145</v>
      </c>
    </row>
    <row r="186" spans="2:7" ht="85" customHeight="1" x14ac:dyDescent="0.35">
      <c r="B186" s="134">
        <v>1</v>
      </c>
      <c r="C186" s="135" t="s">
        <v>377</v>
      </c>
      <c r="D186" s="136" t="str">
        <f>HYPERLINK("https://www.youtube.com/results?search_query=Quim%20Barreiros%20musica%20portuguesa","▶ Ouvir")</f>
        <v>▶ Ouvir</v>
      </c>
      <c r="E186" s="331" t="s">
        <v>378</v>
      </c>
      <c r="G186" s="302" t="s">
        <v>148</v>
      </c>
    </row>
    <row r="187" spans="2:7" ht="85" customHeight="1" x14ac:dyDescent="0.35">
      <c r="B187" s="137">
        <v>2</v>
      </c>
      <c r="C187" s="138" t="s">
        <v>379</v>
      </c>
      <c r="D187" s="139" t="str">
        <f>HYPERLINK("https://www.youtube.com/results?search_query=Marco%20Paulo%20musica%20portuguesa","▶ Ouvir")</f>
        <v>▶ Ouvir</v>
      </c>
      <c r="E187" s="331" t="s">
        <v>380</v>
      </c>
      <c r="G187" s="302" t="s">
        <v>151</v>
      </c>
    </row>
    <row r="188" spans="2:7" ht="85" customHeight="1" x14ac:dyDescent="0.35">
      <c r="B188" s="134">
        <v>3</v>
      </c>
      <c r="C188" s="135" t="s">
        <v>381</v>
      </c>
      <c r="D188" s="136" t="str">
        <f>HYPERLINK("https://www.youtube.com/results?search_query=Tony%20Carreira%20musica%20portuguesa","▶ Ouvir")</f>
        <v>▶ Ouvir</v>
      </c>
      <c r="E188" s="331" t="s">
        <v>382</v>
      </c>
      <c r="G188" s="302" t="s">
        <v>154</v>
      </c>
    </row>
    <row r="189" spans="2:7" ht="85" customHeight="1" x14ac:dyDescent="0.35">
      <c r="B189" s="137">
        <v>4</v>
      </c>
      <c r="C189" s="138" t="s">
        <v>383</v>
      </c>
      <c r="D189" s="139" t="str">
        <f>HYPERLINK("https://www.youtube.com/results?search_query=%C3%81gata%20musica%20portuguesa","▶ Ouvir")</f>
        <v>▶ Ouvir</v>
      </c>
      <c r="E189" s="331" t="s">
        <v>384</v>
      </c>
      <c r="G189" s="302" t="s">
        <v>157</v>
      </c>
    </row>
    <row r="190" spans="2:7" ht="85" customHeight="1" x14ac:dyDescent="0.35">
      <c r="B190" s="134">
        <v>5</v>
      </c>
      <c r="C190" s="135" t="s">
        <v>385</v>
      </c>
      <c r="D190" s="136" t="str">
        <f>HYPERLINK("https://www.youtube.com/results?search_query=Emanuel%20musica%20portuguesa","▶ Ouvir")</f>
        <v>▶ Ouvir</v>
      </c>
      <c r="E190" s="331" t="s">
        <v>386</v>
      </c>
      <c r="G190" s="302" t="s">
        <v>160</v>
      </c>
    </row>
    <row r="191" spans="2:7" ht="85" customHeight="1" x14ac:dyDescent="0.35">
      <c r="B191" s="137">
        <v>6</v>
      </c>
      <c r="C191" s="138" t="s">
        <v>387</v>
      </c>
      <c r="D191" s="139" t="str">
        <f>HYPERLINK("https://www.youtube.com/results?search_query=Roberto%20Leal%20musica%20portuguesa","▶ Ouvir")</f>
        <v>▶ Ouvir</v>
      </c>
      <c r="E191" s="331" t="s">
        <v>388</v>
      </c>
      <c r="G191" s="302" t="s">
        <v>163</v>
      </c>
    </row>
    <row r="192" spans="2:7" ht="85" customHeight="1" x14ac:dyDescent="0.35">
      <c r="B192" s="134">
        <v>7</v>
      </c>
      <c r="C192" s="135" t="s">
        <v>389</v>
      </c>
      <c r="D192" s="136" t="str">
        <f>HYPERLINK("https://www.youtube.com/results?search_query=Dino%20Meira%20musica%20portuguesa","▶ Ouvir")</f>
        <v>▶ Ouvir</v>
      </c>
      <c r="E192" s="331" t="s">
        <v>390</v>
      </c>
      <c r="G192" s="302" t="s">
        <v>166</v>
      </c>
    </row>
    <row r="193" spans="1:7" ht="85" customHeight="1" x14ac:dyDescent="0.35">
      <c r="B193" s="137">
        <v>8</v>
      </c>
      <c r="C193" s="138" t="s">
        <v>391</v>
      </c>
      <c r="D193" s="139" t="str">
        <f>HYPERLINK("https://www.youtube.com/results?search_query=Jos%C3%A9%20Malhoa%20musica%20portuguesa","▶ Ouvir")</f>
        <v>▶ Ouvir</v>
      </c>
      <c r="E193" s="331" t="s">
        <v>392</v>
      </c>
      <c r="G193" s="302" t="s">
        <v>169</v>
      </c>
    </row>
    <row r="194" spans="1:7" ht="85" customHeight="1" x14ac:dyDescent="0.35">
      <c r="B194" s="134">
        <v>9</v>
      </c>
      <c r="C194" s="135" t="s">
        <v>393</v>
      </c>
      <c r="D194" s="136" t="str">
        <f>HYPERLINK("https://www.youtube.com/results?search_query=Toy%20musica%20portuguesa","▶ Ouvir")</f>
        <v>▶ Ouvir</v>
      </c>
      <c r="E194" s="331" t="s">
        <v>394</v>
      </c>
      <c r="G194" s="302" t="s">
        <v>172</v>
      </c>
    </row>
    <row r="195" spans="1:7" ht="85" customHeight="1" x14ac:dyDescent="0.35">
      <c r="B195" s="137">
        <v>10</v>
      </c>
      <c r="C195" s="138" t="s">
        <v>395</v>
      </c>
      <c r="D195" s="139" t="str">
        <f>HYPERLINK("https://www.youtube.com/results?search_query=Augusto%20Can%C3%A1rio%20musica%20portuguesa","▶ Ouvir")</f>
        <v>▶ Ouvir</v>
      </c>
      <c r="E195" s="331" t="s">
        <v>396</v>
      </c>
      <c r="G195" s="302" t="s">
        <v>175</v>
      </c>
    </row>
    <row r="197" spans="1:7" ht="85" customHeight="1" x14ac:dyDescent="0.35">
      <c r="B197" s="1353" t="s">
        <v>397</v>
      </c>
      <c r="C197" s="1354"/>
      <c r="D197" s="1354"/>
      <c r="E197" s="1354"/>
      <c r="F197" s="1354"/>
      <c r="G197" s="302" t="s">
        <v>398</v>
      </c>
    </row>
    <row r="199" spans="1:7" ht="28" customHeight="1" x14ac:dyDescent="0.35">
      <c r="A199" s="1352" t="s">
        <v>399</v>
      </c>
      <c r="B199" s="1313"/>
      <c r="C199" s="1313"/>
      <c r="D199" s="1313"/>
      <c r="E199" s="1313"/>
      <c r="F199" s="1313"/>
    </row>
    <row r="200" spans="1:7" ht="85" customHeight="1" x14ac:dyDescent="0.4">
      <c r="B200" s="349">
        <v>1</v>
      </c>
      <c r="C200" s="292" t="s">
        <v>400</v>
      </c>
      <c r="D200" s="293" t="str">
        <f>HYPERLINK("https://www.youtube.com/results?search_query=Grupo%20de%20Folclore%20de%20C%C3%A2mara%20de%20Lobos+musica+madeira","▶ Ouvir")</f>
        <v>▶ Ouvir</v>
      </c>
      <c r="E200" s="319" t="s">
        <v>401</v>
      </c>
      <c r="G200" s="302" t="s">
        <v>148</v>
      </c>
    </row>
    <row r="201" spans="1:7" ht="85" customHeight="1" x14ac:dyDescent="0.4">
      <c r="B201" s="355">
        <v>2</v>
      </c>
      <c r="C201" s="294" t="s">
        <v>402</v>
      </c>
      <c r="D201" s="365" t="str">
        <f>HYPERLINK("https://www.youtube.com/results?search_query=Grupo%20de%20Folclore%20da%20Camacha+musica+madeira","▶ Ouvir")</f>
        <v>▶ Ouvir</v>
      </c>
      <c r="E201" s="320" t="s">
        <v>403</v>
      </c>
      <c r="G201" s="302" t="s">
        <v>151</v>
      </c>
    </row>
    <row r="202" spans="1:7" ht="85" customHeight="1" x14ac:dyDescent="0.4">
      <c r="B202" s="349">
        <v>3</v>
      </c>
      <c r="C202" s="292" t="s">
        <v>404</v>
      </c>
      <c r="D202" s="293" t="str">
        <f>HYPERLINK("https://www.youtube.com/results?search_query=Paulo%20Fontes%20%E2%80%94%20Viola%20de%20Arame+musica+madeira","▶ Ouvir")</f>
        <v>▶ Ouvir</v>
      </c>
      <c r="E202" s="319" t="s">
        <v>405</v>
      </c>
      <c r="G202" s="302" t="s">
        <v>154</v>
      </c>
    </row>
    <row r="203" spans="1:7" ht="85" customHeight="1" x14ac:dyDescent="0.4">
      <c r="B203" s="355">
        <v>4</v>
      </c>
      <c r="C203" s="294" t="s">
        <v>406</v>
      </c>
      <c r="D203" s="365" t="str">
        <f>HYPERLINK("https://www.youtube.com/results?search_query=Bailinho%20da%20Madeira+musica+madeira","▶ Ouvir")</f>
        <v>▶ Ouvir</v>
      </c>
      <c r="E203" s="320" t="s">
        <v>407</v>
      </c>
      <c r="G203" s="302" t="s">
        <v>157</v>
      </c>
    </row>
    <row r="204" spans="1:7" ht="85" customHeight="1" x14ac:dyDescent="0.4">
      <c r="B204" s="349">
        <v>5</v>
      </c>
      <c r="C204" s="292" t="s">
        <v>408</v>
      </c>
      <c r="D204" s="293" t="str">
        <f>HYPERLINK("https://www.youtube.com/results?search_query=Rancho%20Folcl%C3%B3rico%20do%20Funchal+musica+madeira","▶ Ouvir")</f>
        <v>▶ Ouvir</v>
      </c>
      <c r="E204" s="319" t="s">
        <v>409</v>
      </c>
      <c r="G204" s="302" t="s">
        <v>160</v>
      </c>
    </row>
    <row r="206" spans="1:7" ht="28" customHeight="1" x14ac:dyDescent="0.35">
      <c r="A206" s="1350" t="s">
        <v>410</v>
      </c>
      <c r="B206" s="1313"/>
      <c r="C206" s="1313"/>
      <c r="D206" s="1313"/>
      <c r="E206" s="1313"/>
      <c r="F206" s="1313"/>
    </row>
    <row r="207" spans="1:7" ht="85" customHeight="1" x14ac:dyDescent="0.4">
      <c r="B207" s="343">
        <v>1</v>
      </c>
      <c r="C207" s="295" t="s">
        <v>411</v>
      </c>
      <c r="D207" s="296" t="str">
        <f>HYPERLINK("https://www.youtube.com/results?search_query=Grupo%20Folcl%C3%B3rico%20de%20Ponta%20Delgada+acores","▶ Ouvir")</f>
        <v>▶ Ouvir</v>
      </c>
      <c r="E207" s="317" t="s">
        <v>412</v>
      </c>
      <c r="G207" s="302" t="s">
        <v>148</v>
      </c>
    </row>
    <row r="208" spans="1:7" ht="85" customHeight="1" x14ac:dyDescent="0.4">
      <c r="B208" s="341">
        <v>2</v>
      </c>
      <c r="C208" s="297" t="s">
        <v>413</v>
      </c>
      <c r="D208" s="363" t="str">
        <f>HYPERLINK("https://www.youtube.com/results?search_query=Viola%20da%20Terra%20A%C3%A7oreana+acores","▶ Ouvir")</f>
        <v>▶ Ouvir</v>
      </c>
      <c r="E208" s="318" t="s">
        <v>414</v>
      </c>
      <c r="G208" s="302" t="s">
        <v>151</v>
      </c>
    </row>
    <row r="209" spans="2:7" ht="85" customHeight="1" x14ac:dyDescent="0.4">
      <c r="B209" s="343">
        <v>3</v>
      </c>
      <c r="C209" s="295" t="s">
        <v>415</v>
      </c>
      <c r="D209" s="296" t="str">
        <f>HYPERLINK("https://www.youtube.com/results?search_query=Chamarrita%20%E2%80%94%20Dan%C3%A7a%20Tradicional+acores","▶ Ouvir")</f>
        <v>▶ Ouvir</v>
      </c>
      <c r="E209" s="317" t="s">
        <v>416</v>
      </c>
      <c r="G209" s="302" t="s">
        <v>154</v>
      </c>
    </row>
    <row r="210" spans="2:7" ht="85" customHeight="1" x14ac:dyDescent="0.4">
      <c r="B210" s="341">
        <v>4</v>
      </c>
      <c r="C210" s="297" t="s">
        <v>417</v>
      </c>
      <c r="D210" s="363" t="str">
        <f>HYPERLINK("https://www.youtube.com/results?search_query=Hinos%20do%20Esp%C3%ADrito%20Santo+acores","▶ Ouvir")</f>
        <v>▶ Ouvir</v>
      </c>
      <c r="E210" s="318" t="s">
        <v>418</v>
      </c>
      <c r="G210" s="302" t="s">
        <v>157</v>
      </c>
    </row>
    <row r="211" spans="2:7" ht="85" customHeight="1" x14ac:dyDescent="0.4">
      <c r="B211" s="343">
        <v>5</v>
      </c>
      <c r="C211" s="295" t="s">
        <v>419</v>
      </c>
      <c r="D211" s="296" t="str">
        <f>HYPERLINK("https://www.youtube.com/results?search_query=Ranchos%20Folcl%C3%B3ricos%20da%20Terceira+acores","▶ Ouvir")</f>
        <v>▶ Ouvir</v>
      </c>
      <c r="E211" s="317" t="s">
        <v>420</v>
      </c>
      <c r="G211" s="302" t="s">
        <v>160</v>
      </c>
    </row>
  </sheetData>
  <mergeCells count="67">
    <mergeCell ref="A1:G1"/>
    <mergeCell ref="B4:F4"/>
    <mergeCell ref="D69:E69"/>
    <mergeCell ref="B75:F75"/>
    <mergeCell ref="D10:E10"/>
    <mergeCell ref="D63:E63"/>
    <mergeCell ref="B72:F72"/>
    <mergeCell ref="B12:F12"/>
    <mergeCell ref="D15:E15"/>
    <mergeCell ref="B20:F20"/>
    <mergeCell ref="B5:F5"/>
    <mergeCell ref="D46:E46"/>
    <mergeCell ref="D22:E22"/>
    <mergeCell ref="D40:E40"/>
    <mergeCell ref="D31:E31"/>
    <mergeCell ref="B2:F2"/>
    <mergeCell ref="B26:F26"/>
    <mergeCell ref="B27:F27"/>
    <mergeCell ref="B52:F52"/>
    <mergeCell ref="B43:F43"/>
    <mergeCell ref="B77:F77"/>
    <mergeCell ref="B33:F33"/>
    <mergeCell ref="D29:E29"/>
    <mergeCell ref="D38:E38"/>
    <mergeCell ref="B51:F51"/>
    <mergeCell ref="D54:E54"/>
    <mergeCell ref="B117:F117"/>
    <mergeCell ref="D57:E57"/>
    <mergeCell ref="B42:F42"/>
    <mergeCell ref="B60:F60"/>
    <mergeCell ref="B184:F184"/>
    <mergeCell ref="D45:E45"/>
    <mergeCell ref="B140:F140"/>
    <mergeCell ref="B183:F183"/>
    <mergeCell ref="B169:F169"/>
    <mergeCell ref="A206:F206"/>
    <mergeCell ref="B170:F170"/>
    <mergeCell ref="D17:E17"/>
    <mergeCell ref="B13:F13"/>
    <mergeCell ref="D16:E16"/>
    <mergeCell ref="A199:F199"/>
    <mergeCell ref="B197:F197"/>
    <mergeCell ref="B74:F74"/>
    <mergeCell ref="D39:E39"/>
    <mergeCell ref="B49:F49"/>
    <mergeCell ref="B65:F65"/>
    <mergeCell ref="D55:E55"/>
    <mergeCell ref="D24:E24"/>
    <mergeCell ref="D30:E30"/>
    <mergeCell ref="D68:E68"/>
    <mergeCell ref="B141:F141"/>
    <mergeCell ref="D7:E7"/>
    <mergeCell ref="B34:F34"/>
    <mergeCell ref="B78:F78"/>
    <mergeCell ref="B116:F116"/>
    <mergeCell ref="B19:F19"/>
    <mergeCell ref="D37:E37"/>
    <mergeCell ref="D62:E62"/>
    <mergeCell ref="D56:E56"/>
    <mergeCell ref="D9:E9"/>
    <mergeCell ref="D8:E8"/>
    <mergeCell ref="B59:F59"/>
    <mergeCell ref="B66:F66"/>
    <mergeCell ref="B71:F71"/>
    <mergeCell ref="D36:E36"/>
    <mergeCell ref="B48:F48"/>
    <mergeCell ref="D23:E2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F1C7-33CB-48CA-8875-9186A7791EC2}">
  <dimension ref="A1:G142"/>
  <sheetViews>
    <sheetView workbookViewId="0">
      <pane ySplit="2" topLeftCell="A103" activePane="bottomLeft" state="frozen"/>
      <selection activeCell="G1" sqref="G1"/>
      <selection pane="bottomLeft" activeCell="F105" sqref="F105"/>
    </sheetView>
  </sheetViews>
  <sheetFormatPr defaultRowHeight="14.5" x14ac:dyDescent="0.35"/>
  <cols>
    <col min="1" max="1" width="23.6328125" customWidth="1"/>
    <col min="2" max="2" width="5.453125" customWidth="1"/>
    <col min="3" max="3" width="34.54296875" customWidth="1"/>
    <col min="4" max="4" width="51.81640625" customWidth="1"/>
    <col min="5" max="5" width="27.26953125" customWidth="1"/>
    <col min="6" max="6" width="21.81640625" customWidth="1"/>
    <col min="7" max="7" width="20" customWidth="1"/>
  </cols>
  <sheetData>
    <row r="1" spans="1:7" ht="36" customHeight="1" x14ac:dyDescent="0.5">
      <c r="A1" s="1368" t="s">
        <v>22158</v>
      </c>
      <c r="B1" s="1368"/>
      <c r="C1" s="1368"/>
      <c r="D1" s="1368"/>
      <c r="E1" s="1368"/>
      <c r="F1" s="1368"/>
      <c r="G1" s="1368"/>
    </row>
    <row r="2" spans="1:7" ht="22" customHeight="1" x14ac:dyDescent="0.35">
      <c r="A2" s="1240" t="s">
        <v>619</v>
      </c>
      <c r="B2" s="1240" t="s">
        <v>21948</v>
      </c>
      <c r="C2" s="1240" t="s">
        <v>22159</v>
      </c>
      <c r="D2" s="1240" t="s">
        <v>22160</v>
      </c>
      <c r="E2" s="1240" t="s">
        <v>22161</v>
      </c>
      <c r="F2" s="1266" t="s">
        <v>10818</v>
      </c>
      <c r="G2" s="1242" t="s">
        <v>10732</v>
      </c>
    </row>
    <row r="3" spans="1:7" ht="40" customHeight="1" x14ac:dyDescent="0.35">
      <c r="A3" s="1233" t="s">
        <v>22162</v>
      </c>
      <c r="B3" s="1233">
        <v>1</v>
      </c>
      <c r="C3" s="1233" t="s">
        <v>20899</v>
      </c>
      <c r="D3" s="1233" t="s">
        <v>22163</v>
      </c>
      <c r="E3" s="1233" t="s">
        <v>11063</v>
      </c>
      <c r="F3" s="1221" t="s">
        <v>1845</v>
      </c>
      <c r="G3" s="1222" t="s">
        <v>22712</v>
      </c>
    </row>
    <row r="4" spans="1:7" ht="40" customHeight="1" x14ac:dyDescent="0.35">
      <c r="A4" s="1234" t="s">
        <v>22162</v>
      </c>
      <c r="B4" s="1234">
        <v>2</v>
      </c>
      <c r="C4" s="1234" t="s">
        <v>22164</v>
      </c>
      <c r="D4" s="1234" t="s">
        <v>22165</v>
      </c>
      <c r="E4" s="1234"/>
      <c r="F4" s="1223"/>
      <c r="G4" s="1224"/>
    </row>
    <row r="5" spans="1:7" ht="40" customHeight="1" x14ac:dyDescent="0.35">
      <c r="A5" s="1233" t="s">
        <v>22162</v>
      </c>
      <c r="B5" s="1233">
        <v>3</v>
      </c>
      <c r="C5" s="1233" t="s">
        <v>22166</v>
      </c>
      <c r="D5" s="1233" t="s">
        <v>22167</v>
      </c>
      <c r="E5" s="1233"/>
      <c r="F5" s="1221"/>
      <c r="G5" s="1222"/>
    </row>
    <row r="6" spans="1:7" ht="40" customHeight="1" x14ac:dyDescent="0.35">
      <c r="A6" s="1234" t="s">
        <v>22162</v>
      </c>
      <c r="B6" s="1234">
        <v>4</v>
      </c>
      <c r="C6" s="1234" t="s">
        <v>22168</v>
      </c>
      <c r="D6" s="1234" t="s">
        <v>22169</v>
      </c>
      <c r="E6" s="1234"/>
      <c r="F6" s="1223"/>
      <c r="G6" s="1224"/>
    </row>
    <row r="7" spans="1:7" ht="40" customHeight="1" x14ac:dyDescent="0.35">
      <c r="A7" s="1233" t="s">
        <v>22162</v>
      </c>
      <c r="B7" s="1233">
        <v>5</v>
      </c>
      <c r="C7" s="1233" t="s">
        <v>22170</v>
      </c>
      <c r="D7" s="1233" t="s">
        <v>22171</v>
      </c>
      <c r="E7" s="1233"/>
      <c r="F7" s="1221"/>
      <c r="G7" s="1222"/>
    </row>
    <row r="8" spans="1:7" ht="40" customHeight="1" x14ac:dyDescent="0.35">
      <c r="A8" s="1234" t="s">
        <v>22162</v>
      </c>
      <c r="B8" s="1234">
        <v>6</v>
      </c>
      <c r="C8" s="1234" t="s">
        <v>22172</v>
      </c>
      <c r="D8" s="1234" t="s">
        <v>22173</v>
      </c>
      <c r="E8" s="1234" t="s">
        <v>22174</v>
      </c>
      <c r="F8" s="1223" t="s">
        <v>3082</v>
      </c>
      <c r="G8" s="1224" t="s">
        <v>22713</v>
      </c>
    </row>
    <row r="9" spans="1:7" ht="40" customHeight="1" x14ac:dyDescent="0.35">
      <c r="A9" s="1233" t="s">
        <v>22162</v>
      </c>
      <c r="B9" s="1233">
        <v>7</v>
      </c>
      <c r="C9" s="1233" t="s">
        <v>22175</v>
      </c>
      <c r="D9" s="1233" t="s">
        <v>22176</v>
      </c>
      <c r="E9" s="1233"/>
      <c r="F9" s="1221"/>
      <c r="G9" s="1222"/>
    </row>
    <row r="10" spans="1:7" ht="40" customHeight="1" x14ac:dyDescent="0.35">
      <c r="A10" s="1234" t="s">
        <v>22162</v>
      </c>
      <c r="B10" s="1234">
        <v>8</v>
      </c>
      <c r="C10" s="1234" t="s">
        <v>22177</v>
      </c>
      <c r="D10" s="1234" t="s">
        <v>22178</v>
      </c>
      <c r="E10" s="1234"/>
      <c r="F10" s="1223"/>
      <c r="G10" s="1224"/>
    </row>
    <row r="11" spans="1:7" ht="40" customHeight="1" x14ac:dyDescent="0.35">
      <c r="A11" s="1233" t="s">
        <v>22162</v>
      </c>
      <c r="B11" s="1233">
        <v>9</v>
      </c>
      <c r="C11" s="1233" t="s">
        <v>22179</v>
      </c>
      <c r="D11" s="1233" t="s">
        <v>22180</v>
      </c>
      <c r="E11" s="1233"/>
      <c r="F11" s="1221"/>
      <c r="G11" s="1222"/>
    </row>
    <row r="12" spans="1:7" ht="40" customHeight="1" x14ac:dyDescent="0.35">
      <c r="A12" s="1234" t="s">
        <v>22162</v>
      </c>
      <c r="B12" s="1234">
        <v>10</v>
      </c>
      <c r="C12" s="1234" t="s">
        <v>22181</v>
      </c>
      <c r="D12" s="1234" t="s">
        <v>22182</v>
      </c>
      <c r="E12" s="1234"/>
      <c r="F12" s="1223"/>
      <c r="G12" s="1224"/>
    </row>
    <row r="13" spans="1:7" ht="40" customHeight="1" x14ac:dyDescent="0.35">
      <c r="A13" s="1233" t="s">
        <v>22162</v>
      </c>
      <c r="B13" s="1233">
        <v>11</v>
      </c>
      <c r="C13" s="1233" t="s">
        <v>22183</v>
      </c>
      <c r="D13" s="1233" t="s">
        <v>22184</v>
      </c>
      <c r="E13" s="1233"/>
      <c r="F13" s="1221"/>
      <c r="G13" s="1222"/>
    </row>
    <row r="14" spans="1:7" ht="40" customHeight="1" x14ac:dyDescent="0.35">
      <c r="A14" s="1234" t="s">
        <v>22162</v>
      </c>
      <c r="B14" s="1234">
        <v>12</v>
      </c>
      <c r="C14" s="1234" t="s">
        <v>22185</v>
      </c>
      <c r="D14" s="1234" t="s">
        <v>22186</v>
      </c>
      <c r="E14" s="1234"/>
      <c r="F14" s="1223"/>
      <c r="G14" s="1224"/>
    </row>
    <row r="15" spans="1:7" ht="40" customHeight="1" x14ac:dyDescent="0.35">
      <c r="A15" s="1233" t="s">
        <v>22162</v>
      </c>
      <c r="B15" s="1233">
        <v>13</v>
      </c>
      <c r="C15" s="1233" t="s">
        <v>22187</v>
      </c>
      <c r="D15" s="1233" t="s">
        <v>22188</v>
      </c>
      <c r="E15" s="1233"/>
      <c r="F15" s="1221"/>
      <c r="G15" s="1222"/>
    </row>
    <row r="16" spans="1:7" ht="40" customHeight="1" x14ac:dyDescent="0.35">
      <c r="A16" s="1234" t="s">
        <v>22162</v>
      </c>
      <c r="B16" s="1234">
        <v>14</v>
      </c>
      <c r="C16" s="1234" t="s">
        <v>22189</v>
      </c>
      <c r="D16" s="1234" t="s">
        <v>22190</v>
      </c>
      <c r="E16" s="1234"/>
      <c r="F16" s="1223"/>
      <c r="G16" s="1224"/>
    </row>
    <row r="17" spans="1:7" ht="40" customHeight="1" x14ac:dyDescent="0.35">
      <c r="A17" s="1233" t="s">
        <v>22162</v>
      </c>
      <c r="B17" s="1233">
        <v>15</v>
      </c>
      <c r="C17" s="1233" t="s">
        <v>21011</v>
      </c>
      <c r="D17" s="1233" t="s">
        <v>22191</v>
      </c>
      <c r="E17" s="1233"/>
      <c r="F17" s="1221"/>
      <c r="G17" s="1222"/>
    </row>
    <row r="18" spans="1:7" ht="40" customHeight="1" x14ac:dyDescent="0.35">
      <c r="A18" s="1234" t="s">
        <v>22162</v>
      </c>
      <c r="B18" s="1234">
        <v>16</v>
      </c>
      <c r="C18" s="1234" t="s">
        <v>22192</v>
      </c>
      <c r="D18" s="1234" t="s">
        <v>22193</v>
      </c>
      <c r="E18" s="1234"/>
      <c r="F18" s="1223"/>
      <c r="G18" s="1224"/>
    </row>
    <row r="19" spans="1:7" ht="40" customHeight="1" x14ac:dyDescent="0.35">
      <c r="A19" s="1233" t="s">
        <v>22162</v>
      </c>
      <c r="B19" s="1233">
        <v>17</v>
      </c>
      <c r="C19" s="1233" t="s">
        <v>22194</v>
      </c>
      <c r="D19" s="1233" t="s">
        <v>22195</v>
      </c>
      <c r="E19" s="1233"/>
      <c r="F19" s="1221"/>
      <c r="G19" s="1222"/>
    </row>
    <row r="20" spans="1:7" ht="40" customHeight="1" x14ac:dyDescent="0.35">
      <c r="A20" s="1234" t="s">
        <v>22162</v>
      </c>
      <c r="B20" s="1234">
        <v>18</v>
      </c>
      <c r="C20" s="1234" t="s">
        <v>22196</v>
      </c>
      <c r="D20" s="1234" t="s">
        <v>22197</v>
      </c>
      <c r="E20" s="1234"/>
      <c r="F20" s="1223"/>
      <c r="G20" s="1224"/>
    </row>
    <row r="21" spans="1:7" ht="40" customHeight="1" x14ac:dyDescent="0.35">
      <c r="A21" s="1233" t="s">
        <v>22162</v>
      </c>
      <c r="B21" s="1233">
        <v>19</v>
      </c>
      <c r="C21" s="1233" t="s">
        <v>22198</v>
      </c>
      <c r="D21" s="1233" t="s">
        <v>22199</v>
      </c>
      <c r="E21" s="1233"/>
      <c r="F21" s="1221"/>
      <c r="G21" s="1222"/>
    </row>
    <row r="22" spans="1:7" ht="40" customHeight="1" x14ac:dyDescent="0.35">
      <c r="A22" s="1234" t="s">
        <v>22162</v>
      </c>
      <c r="B22" s="1234">
        <v>20</v>
      </c>
      <c r="C22" s="1234" t="s">
        <v>22200</v>
      </c>
      <c r="D22" s="1234" t="s">
        <v>22201</v>
      </c>
      <c r="E22" s="1234"/>
      <c r="F22" s="1223"/>
      <c r="G22" s="1224"/>
    </row>
    <row r="23" spans="1:7" ht="40" customHeight="1" x14ac:dyDescent="0.35">
      <c r="A23" s="1244" t="s">
        <v>836</v>
      </c>
      <c r="B23" s="1244">
        <v>1</v>
      </c>
      <c r="C23" s="1244" t="s">
        <v>22202</v>
      </c>
      <c r="D23" s="1244" t="s">
        <v>22203</v>
      </c>
      <c r="E23" s="1244" t="s">
        <v>22204</v>
      </c>
      <c r="F23" s="1267" t="s">
        <v>1363</v>
      </c>
      <c r="G23" s="1245" t="s">
        <v>22714</v>
      </c>
    </row>
    <row r="24" spans="1:7" ht="40" customHeight="1" x14ac:dyDescent="0.35">
      <c r="A24" s="1246" t="s">
        <v>836</v>
      </c>
      <c r="B24" s="1246">
        <v>2</v>
      </c>
      <c r="C24" s="1246" t="s">
        <v>22205</v>
      </c>
      <c r="D24" s="1246" t="s">
        <v>22206</v>
      </c>
      <c r="E24" s="1246"/>
      <c r="F24" s="1268"/>
      <c r="G24" s="1247"/>
    </row>
    <row r="25" spans="1:7" ht="40" customHeight="1" x14ac:dyDescent="0.35">
      <c r="A25" s="1244" t="s">
        <v>836</v>
      </c>
      <c r="B25" s="1244">
        <v>3</v>
      </c>
      <c r="C25" s="1244" t="s">
        <v>22207</v>
      </c>
      <c r="D25" s="1244" t="s">
        <v>22208</v>
      </c>
      <c r="E25" s="1244" t="s">
        <v>11295</v>
      </c>
      <c r="F25" s="1267" t="s">
        <v>7725</v>
      </c>
      <c r="G25" s="1245" t="s">
        <v>22715</v>
      </c>
    </row>
    <row r="26" spans="1:7" ht="40" customHeight="1" x14ac:dyDescent="0.35">
      <c r="A26" s="1246" t="s">
        <v>836</v>
      </c>
      <c r="B26" s="1246">
        <v>4</v>
      </c>
      <c r="C26" s="1246" t="s">
        <v>22209</v>
      </c>
      <c r="D26" s="1246" t="s">
        <v>22210</v>
      </c>
      <c r="E26" s="1246"/>
      <c r="F26" s="1268"/>
      <c r="G26" s="1247"/>
    </row>
    <row r="27" spans="1:7" ht="40" customHeight="1" x14ac:dyDescent="0.35">
      <c r="A27" s="1244" t="s">
        <v>836</v>
      </c>
      <c r="B27" s="1244">
        <v>5</v>
      </c>
      <c r="C27" s="1244" t="s">
        <v>22211</v>
      </c>
      <c r="D27" s="1244" t="s">
        <v>22212</v>
      </c>
      <c r="E27" s="1244"/>
      <c r="F27" s="1267"/>
      <c r="G27" s="1245"/>
    </row>
    <row r="28" spans="1:7" ht="40" customHeight="1" x14ac:dyDescent="0.35">
      <c r="A28" s="1246" t="s">
        <v>836</v>
      </c>
      <c r="B28" s="1246">
        <v>6</v>
      </c>
      <c r="C28" s="1246" t="s">
        <v>22213</v>
      </c>
      <c r="D28" s="1246" t="s">
        <v>22214</v>
      </c>
      <c r="E28" s="1246"/>
      <c r="F28" s="1268"/>
      <c r="G28" s="1247"/>
    </row>
    <row r="29" spans="1:7" ht="40" customHeight="1" x14ac:dyDescent="0.35">
      <c r="A29" s="1244" t="s">
        <v>836</v>
      </c>
      <c r="B29" s="1244">
        <v>7</v>
      </c>
      <c r="C29" s="1244" t="s">
        <v>22215</v>
      </c>
      <c r="D29" s="1244" t="s">
        <v>22216</v>
      </c>
      <c r="E29" s="1244"/>
      <c r="F29" s="1267"/>
      <c r="G29" s="1245"/>
    </row>
    <row r="30" spans="1:7" ht="40" customHeight="1" x14ac:dyDescent="0.35">
      <c r="A30" s="1246" t="s">
        <v>836</v>
      </c>
      <c r="B30" s="1246">
        <v>8</v>
      </c>
      <c r="C30" s="1246" t="s">
        <v>22217</v>
      </c>
      <c r="D30" s="1246" t="s">
        <v>22218</v>
      </c>
      <c r="E30" s="1246"/>
      <c r="F30" s="1268"/>
      <c r="G30" s="1247"/>
    </row>
    <row r="31" spans="1:7" ht="40" customHeight="1" x14ac:dyDescent="0.35">
      <c r="A31" s="1244" t="s">
        <v>836</v>
      </c>
      <c r="B31" s="1244">
        <v>9</v>
      </c>
      <c r="C31" s="1244" t="s">
        <v>22219</v>
      </c>
      <c r="D31" s="1244" t="s">
        <v>22220</v>
      </c>
      <c r="E31" s="1244"/>
      <c r="F31" s="1267"/>
      <c r="G31" s="1245"/>
    </row>
    <row r="32" spans="1:7" ht="40" customHeight="1" x14ac:dyDescent="0.35">
      <c r="A32" s="1246" t="s">
        <v>836</v>
      </c>
      <c r="B32" s="1246">
        <v>10</v>
      </c>
      <c r="C32" s="1246" t="s">
        <v>22221</v>
      </c>
      <c r="D32" s="1246" t="s">
        <v>22222</v>
      </c>
      <c r="E32" s="1246"/>
      <c r="F32" s="1268"/>
      <c r="G32" s="1247"/>
    </row>
    <row r="33" spans="1:7" ht="40" customHeight="1" x14ac:dyDescent="0.35">
      <c r="A33" s="1244" t="s">
        <v>836</v>
      </c>
      <c r="B33" s="1244">
        <v>11</v>
      </c>
      <c r="C33" s="1244" t="s">
        <v>22223</v>
      </c>
      <c r="D33" s="1244" t="s">
        <v>22224</v>
      </c>
      <c r="E33" s="1244"/>
      <c r="F33" s="1267"/>
      <c r="G33" s="1245"/>
    </row>
    <row r="34" spans="1:7" ht="40" customHeight="1" x14ac:dyDescent="0.35">
      <c r="A34" s="1246" t="s">
        <v>836</v>
      </c>
      <c r="B34" s="1246">
        <v>12</v>
      </c>
      <c r="C34" s="1246" t="s">
        <v>22225</v>
      </c>
      <c r="D34" s="1246" t="s">
        <v>22226</v>
      </c>
      <c r="E34" s="1246"/>
      <c r="F34" s="1268"/>
      <c r="G34" s="1247"/>
    </row>
    <row r="35" spans="1:7" ht="40" customHeight="1" x14ac:dyDescent="0.35">
      <c r="A35" s="1244" t="s">
        <v>836</v>
      </c>
      <c r="B35" s="1244">
        <v>13</v>
      </c>
      <c r="C35" s="1244" t="s">
        <v>22227</v>
      </c>
      <c r="D35" s="1244" t="s">
        <v>22228</v>
      </c>
      <c r="E35" s="1244"/>
      <c r="F35" s="1267"/>
      <c r="G35" s="1245"/>
    </row>
    <row r="36" spans="1:7" ht="40" customHeight="1" x14ac:dyDescent="0.35">
      <c r="A36" s="1246" t="s">
        <v>836</v>
      </c>
      <c r="B36" s="1246">
        <v>14</v>
      </c>
      <c r="C36" s="1246" t="s">
        <v>22229</v>
      </c>
      <c r="D36" s="1246" t="s">
        <v>22230</v>
      </c>
      <c r="E36" s="1246"/>
      <c r="F36" s="1268"/>
      <c r="G36" s="1247"/>
    </row>
    <row r="37" spans="1:7" ht="40" customHeight="1" x14ac:dyDescent="0.35">
      <c r="A37" s="1244" t="s">
        <v>836</v>
      </c>
      <c r="B37" s="1244">
        <v>15</v>
      </c>
      <c r="C37" s="1244" t="s">
        <v>22231</v>
      </c>
      <c r="D37" s="1244" t="s">
        <v>22232</v>
      </c>
      <c r="E37" s="1244"/>
      <c r="F37" s="1267"/>
      <c r="G37" s="1245"/>
    </row>
    <row r="38" spans="1:7" ht="40" customHeight="1" x14ac:dyDescent="0.35">
      <c r="A38" s="1246" t="s">
        <v>836</v>
      </c>
      <c r="B38" s="1246">
        <v>16</v>
      </c>
      <c r="C38" s="1246" t="s">
        <v>22233</v>
      </c>
      <c r="D38" s="1246" t="s">
        <v>22234</v>
      </c>
      <c r="E38" s="1246"/>
      <c r="F38" s="1268"/>
      <c r="G38" s="1247"/>
    </row>
    <row r="39" spans="1:7" ht="40" customHeight="1" x14ac:dyDescent="0.35">
      <c r="A39" s="1244" t="s">
        <v>836</v>
      </c>
      <c r="B39" s="1244">
        <v>17</v>
      </c>
      <c r="C39" s="1244" t="s">
        <v>22235</v>
      </c>
      <c r="D39" s="1244" t="s">
        <v>22236</v>
      </c>
      <c r="E39" s="1244"/>
      <c r="F39" s="1267"/>
      <c r="G39" s="1245"/>
    </row>
    <row r="40" spans="1:7" ht="40" customHeight="1" x14ac:dyDescent="0.35">
      <c r="A40" s="1246" t="s">
        <v>836</v>
      </c>
      <c r="B40" s="1246">
        <v>18</v>
      </c>
      <c r="C40" s="1246" t="s">
        <v>22237</v>
      </c>
      <c r="D40" s="1246" t="s">
        <v>22238</v>
      </c>
      <c r="E40" s="1246"/>
      <c r="F40" s="1268"/>
      <c r="G40" s="1247"/>
    </row>
    <row r="41" spans="1:7" ht="40" customHeight="1" x14ac:dyDescent="0.35">
      <c r="A41" s="1244" t="s">
        <v>836</v>
      </c>
      <c r="B41" s="1244">
        <v>19</v>
      </c>
      <c r="C41" s="1244" t="s">
        <v>22239</v>
      </c>
      <c r="D41" s="1244" t="s">
        <v>22240</v>
      </c>
      <c r="E41" s="1244"/>
      <c r="F41" s="1267"/>
      <c r="G41" s="1245"/>
    </row>
    <row r="42" spans="1:7" ht="40" customHeight="1" x14ac:dyDescent="0.35">
      <c r="A42" s="1246" t="s">
        <v>836</v>
      </c>
      <c r="B42" s="1246">
        <v>20</v>
      </c>
      <c r="C42" s="1246" t="s">
        <v>22241</v>
      </c>
      <c r="D42" s="1246" t="s">
        <v>22242</v>
      </c>
      <c r="E42" s="1246"/>
      <c r="F42" s="1268"/>
      <c r="G42" s="1247"/>
    </row>
    <row r="43" spans="1:7" ht="40" customHeight="1" x14ac:dyDescent="0.35">
      <c r="A43" s="1248" t="s">
        <v>22243</v>
      </c>
      <c r="B43" s="1248">
        <v>1</v>
      </c>
      <c r="C43" s="1248" t="s">
        <v>22244</v>
      </c>
      <c r="D43" s="1248" t="s">
        <v>22245</v>
      </c>
      <c r="E43" s="1248" t="s">
        <v>11688</v>
      </c>
      <c r="F43" s="1269" t="s">
        <v>913</v>
      </c>
      <c r="G43" s="1249" t="s">
        <v>22716</v>
      </c>
    </row>
    <row r="44" spans="1:7" ht="40" customHeight="1" x14ac:dyDescent="0.35">
      <c r="A44" s="1250" t="s">
        <v>22243</v>
      </c>
      <c r="B44" s="1250">
        <v>2</v>
      </c>
      <c r="C44" s="1250" t="s">
        <v>22246</v>
      </c>
      <c r="D44" s="1250" t="s">
        <v>22247</v>
      </c>
      <c r="E44" s="1250"/>
      <c r="F44" s="1270"/>
      <c r="G44" s="1251"/>
    </row>
    <row r="45" spans="1:7" ht="40" customHeight="1" x14ac:dyDescent="0.35">
      <c r="A45" s="1248" t="s">
        <v>22243</v>
      </c>
      <c r="B45" s="1248">
        <v>3</v>
      </c>
      <c r="C45" s="1248" t="s">
        <v>22248</v>
      </c>
      <c r="D45" s="1248" t="s">
        <v>22249</v>
      </c>
      <c r="E45" s="1248"/>
      <c r="F45" s="1269"/>
      <c r="G45" s="1249"/>
    </row>
    <row r="46" spans="1:7" ht="40" customHeight="1" x14ac:dyDescent="0.35">
      <c r="A46" s="1250" t="s">
        <v>22243</v>
      </c>
      <c r="B46" s="1250">
        <v>4</v>
      </c>
      <c r="C46" s="1250" t="s">
        <v>22250</v>
      </c>
      <c r="D46" s="1250" t="s">
        <v>22251</v>
      </c>
      <c r="E46" s="1250" t="s">
        <v>22252</v>
      </c>
      <c r="F46" s="1270" t="s">
        <v>2567</v>
      </c>
      <c r="G46" s="1251" t="s">
        <v>22717</v>
      </c>
    </row>
    <row r="47" spans="1:7" ht="40" customHeight="1" x14ac:dyDescent="0.35">
      <c r="A47" s="1248" t="s">
        <v>22243</v>
      </c>
      <c r="B47" s="1248">
        <v>5</v>
      </c>
      <c r="C47" s="1248" t="s">
        <v>22253</v>
      </c>
      <c r="D47" s="1248" t="s">
        <v>22254</v>
      </c>
      <c r="E47" s="1248"/>
      <c r="F47" s="1269"/>
      <c r="G47" s="1249"/>
    </row>
    <row r="48" spans="1:7" ht="40" customHeight="1" x14ac:dyDescent="0.35">
      <c r="A48" s="1250" t="s">
        <v>22243</v>
      </c>
      <c r="B48" s="1250">
        <v>6</v>
      </c>
      <c r="C48" s="1250" t="s">
        <v>22255</v>
      </c>
      <c r="D48" s="1250" t="s">
        <v>22256</v>
      </c>
      <c r="E48" s="1250"/>
      <c r="F48" s="1270"/>
      <c r="G48" s="1251"/>
    </row>
    <row r="49" spans="1:7" ht="40" customHeight="1" x14ac:dyDescent="0.35">
      <c r="A49" s="1248" t="s">
        <v>22243</v>
      </c>
      <c r="B49" s="1248">
        <v>7</v>
      </c>
      <c r="C49" s="1248" t="s">
        <v>22257</v>
      </c>
      <c r="D49" s="1248" t="s">
        <v>22258</v>
      </c>
      <c r="E49" s="1248"/>
      <c r="F49" s="1269"/>
      <c r="G49" s="1249"/>
    </row>
    <row r="50" spans="1:7" ht="40" customHeight="1" x14ac:dyDescent="0.35">
      <c r="A50" s="1250" t="s">
        <v>22243</v>
      </c>
      <c r="B50" s="1250">
        <v>8</v>
      </c>
      <c r="C50" s="1250" t="s">
        <v>22259</v>
      </c>
      <c r="D50" s="1250" t="s">
        <v>22260</v>
      </c>
      <c r="E50" s="1250"/>
      <c r="F50" s="1270"/>
      <c r="G50" s="1251"/>
    </row>
    <row r="51" spans="1:7" ht="40" customHeight="1" x14ac:dyDescent="0.35">
      <c r="A51" s="1248" t="s">
        <v>22243</v>
      </c>
      <c r="B51" s="1248">
        <v>9</v>
      </c>
      <c r="C51" s="1248" t="s">
        <v>22261</v>
      </c>
      <c r="D51" s="1248" t="s">
        <v>22262</v>
      </c>
      <c r="E51" s="1248"/>
      <c r="F51" s="1269"/>
      <c r="G51" s="1249"/>
    </row>
    <row r="52" spans="1:7" ht="40" customHeight="1" x14ac:dyDescent="0.35">
      <c r="A52" s="1250" t="s">
        <v>22243</v>
      </c>
      <c r="B52" s="1250">
        <v>10</v>
      </c>
      <c r="C52" s="1250" t="s">
        <v>22263</v>
      </c>
      <c r="D52" s="1250" t="s">
        <v>22264</v>
      </c>
      <c r="E52" s="1250"/>
      <c r="F52" s="1270"/>
      <c r="G52" s="1251"/>
    </row>
    <row r="53" spans="1:7" ht="40" customHeight="1" x14ac:dyDescent="0.35">
      <c r="A53" s="1248" t="s">
        <v>22243</v>
      </c>
      <c r="B53" s="1248">
        <v>11</v>
      </c>
      <c r="C53" s="1248" t="s">
        <v>22265</v>
      </c>
      <c r="D53" s="1248" t="s">
        <v>22266</v>
      </c>
      <c r="E53" s="1248"/>
      <c r="F53" s="1269"/>
      <c r="G53" s="1249"/>
    </row>
    <row r="54" spans="1:7" ht="40" customHeight="1" x14ac:dyDescent="0.35">
      <c r="A54" s="1250" t="s">
        <v>22243</v>
      </c>
      <c r="B54" s="1250">
        <v>12</v>
      </c>
      <c r="C54" s="1250" t="s">
        <v>22267</v>
      </c>
      <c r="D54" s="1250" t="s">
        <v>22268</v>
      </c>
      <c r="E54" s="1250"/>
      <c r="F54" s="1270"/>
      <c r="G54" s="1251"/>
    </row>
    <row r="55" spans="1:7" ht="40" customHeight="1" x14ac:dyDescent="0.35">
      <c r="A55" s="1248" t="s">
        <v>22243</v>
      </c>
      <c r="B55" s="1248">
        <v>13</v>
      </c>
      <c r="C55" s="1248" t="s">
        <v>22269</v>
      </c>
      <c r="D55" s="1248" t="s">
        <v>22270</v>
      </c>
      <c r="E55" s="1248"/>
      <c r="F55" s="1269"/>
      <c r="G55" s="1249"/>
    </row>
    <row r="56" spans="1:7" ht="40" customHeight="1" x14ac:dyDescent="0.35">
      <c r="A56" s="1250" t="s">
        <v>22243</v>
      </c>
      <c r="B56" s="1250">
        <v>14</v>
      </c>
      <c r="C56" s="1250" t="s">
        <v>22271</v>
      </c>
      <c r="D56" s="1250" t="s">
        <v>22272</v>
      </c>
      <c r="E56" s="1250"/>
      <c r="F56" s="1270"/>
      <c r="G56" s="1251"/>
    </row>
    <row r="57" spans="1:7" ht="40" customHeight="1" x14ac:dyDescent="0.35">
      <c r="A57" s="1248" t="s">
        <v>22243</v>
      </c>
      <c r="B57" s="1248">
        <v>15</v>
      </c>
      <c r="C57" s="1248" t="s">
        <v>22273</v>
      </c>
      <c r="D57" s="1248" t="s">
        <v>22274</v>
      </c>
      <c r="E57" s="1248"/>
      <c r="F57" s="1269"/>
      <c r="G57" s="1249"/>
    </row>
    <row r="58" spans="1:7" ht="40" customHeight="1" x14ac:dyDescent="0.35">
      <c r="A58" s="1250" t="s">
        <v>22243</v>
      </c>
      <c r="B58" s="1250">
        <v>16</v>
      </c>
      <c r="C58" s="1250" t="s">
        <v>22275</v>
      </c>
      <c r="D58" s="1250" t="s">
        <v>22276</v>
      </c>
      <c r="E58" s="1250"/>
      <c r="F58" s="1270"/>
      <c r="G58" s="1251"/>
    </row>
    <row r="59" spans="1:7" ht="40" customHeight="1" x14ac:dyDescent="0.35">
      <c r="A59" s="1248" t="s">
        <v>22243</v>
      </c>
      <c r="B59" s="1248">
        <v>17</v>
      </c>
      <c r="C59" s="1248" t="s">
        <v>22277</v>
      </c>
      <c r="D59" s="1248" t="s">
        <v>22278</v>
      </c>
      <c r="E59" s="1248"/>
      <c r="F59" s="1269"/>
      <c r="G59" s="1249"/>
    </row>
    <row r="60" spans="1:7" ht="40" customHeight="1" x14ac:dyDescent="0.35">
      <c r="A60" s="1250" t="s">
        <v>22243</v>
      </c>
      <c r="B60" s="1250">
        <v>18</v>
      </c>
      <c r="C60" s="1250" t="s">
        <v>22279</v>
      </c>
      <c r="D60" s="1250" t="s">
        <v>22280</v>
      </c>
      <c r="E60" s="1250"/>
      <c r="F60" s="1270"/>
      <c r="G60" s="1251"/>
    </row>
    <row r="61" spans="1:7" ht="40" customHeight="1" x14ac:dyDescent="0.35">
      <c r="A61" s="1248" t="s">
        <v>22243</v>
      </c>
      <c r="B61" s="1248">
        <v>19</v>
      </c>
      <c r="C61" s="1248" t="s">
        <v>22281</v>
      </c>
      <c r="D61" s="1248" t="s">
        <v>22282</v>
      </c>
      <c r="E61" s="1248"/>
      <c r="F61" s="1269"/>
      <c r="G61" s="1249"/>
    </row>
    <row r="62" spans="1:7" ht="40" customHeight="1" x14ac:dyDescent="0.35">
      <c r="A62" s="1250" t="s">
        <v>22243</v>
      </c>
      <c r="B62" s="1250">
        <v>20</v>
      </c>
      <c r="C62" s="1250" t="s">
        <v>22283</v>
      </c>
      <c r="D62" s="1250" t="s">
        <v>22284</v>
      </c>
      <c r="E62" s="1250"/>
      <c r="F62" s="1270"/>
      <c r="G62" s="1251"/>
    </row>
    <row r="63" spans="1:7" ht="40" customHeight="1" x14ac:dyDescent="0.35">
      <c r="A63" s="1218" t="s">
        <v>853</v>
      </c>
      <c r="B63" s="1218">
        <v>1</v>
      </c>
      <c r="C63" s="1218" t="s">
        <v>20924</v>
      </c>
      <c r="D63" s="1218" t="s">
        <v>22285</v>
      </c>
      <c r="E63" s="1218" t="s">
        <v>22286</v>
      </c>
      <c r="F63" s="1217" t="s">
        <v>7808</v>
      </c>
      <c r="G63" s="1216" t="s">
        <v>22718</v>
      </c>
    </row>
    <row r="64" spans="1:7" ht="40" customHeight="1" x14ac:dyDescent="0.35">
      <c r="A64" s="1237" t="s">
        <v>853</v>
      </c>
      <c r="B64" s="1237">
        <v>2</v>
      </c>
      <c r="C64" s="1237" t="s">
        <v>22287</v>
      </c>
      <c r="D64" s="1237" t="s">
        <v>22288</v>
      </c>
      <c r="E64" s="1237" t="s">
        <v>4114</v>
      </c>
      <c r="F64" s="1228" t="s">
        <v>1412</v>
      </c>
      <c r="G64" s="1231" t="s">
        <v>22719</v>
      </c>
    </row>
    <row r="65" spans="1:7" ht="40" customHeight="1" x14ac:dyDescent="0.35">
      <c r="A65" s="1218" t="s">
        <v>853</v>
      </c>
      <c r="B65" s="1218">
        <v>3</v>
      </c>
      <c r="C65" s="1218" t="s">
        <v>20926</v>
      </c>
      <c r="D65" s="1218" t="s">
        <v>22289</v>
      </c>
      <c r="E65" s="1218"/>
      <c r="F65" s="1217"/>
      <c r="G65" s="1216"/>
    </row>
    <row r="66" spans="1:7" ht="40" customHeight="1" x14ac:dyDescent="0.35">
      <c r="A66" s="1237" t="s">
        <v>853</v>
      </c>
      <c r="B66" s="1237">
        <v>4</v>
      </c>
      <c r="C66" s="1237" t="s">
        <v>22290</v>
      </c>
      <c r="D66" s="1237" t="s">
        <v>22291</v>
      </c>
      <c r="E66" s="1237"/>
      <c r="F66" s="1228"/>
      <c r="G66" s="1231"/>
    </row>
    <row r="67" spans="1:7" ht="40" customHeight="1" x14ac:dyDescent="0.35">
      <c r="A67" s="1218" t="s">
        <v>853</v>
      </c>
      <c r="B67" s="1218">
        <v>5</v>
      </c>
      <c r="C67" s="1218" t="s">
        <v>22292</v>
      </c>
      <c r="D67" s="1218" t="s">
        <v>22293</v>
      </c>
      <c r="E67" s="1218"/>
      <c r="F67" s="1217"/>
      <c r="G67" s="1216"/>
    </row>
    <row r="68" spans="1:7" ht="40" customHeight="1" x14ac:dyDescent="0.35">
      <c r="A68" s="1237" t="s">
        <v>853</v>
      </c>
      <c r="B68" s="1237">
        <v>6</v>
      </c>
      <c r="C68" s="1237" t="s">
        <v>22294</v>
      </c>
      <c r="D68" s="1237" t="s">
        <v>22295</v>
      </c>
      <c r="E68" s="1237"/>
      <c r="F68" s="1228"/>
      <c r="G68" s="1231"/>
    </row>
    <row r="69" spans="1:7" ht="40" customHeight="1" x14ac:dyDescent="0.35">
      <c r="A69" s="1218" t="s">
        <v>853</v>
      </c>
      <c r="B69" s="1218">
        <v>7</v>
      </c>
      <c r="C69" s="1218" t="s">
        <v>21099</v>
      </c>
      <c r="D69" s="1218" t="s">
        <v>22296</v>
      </c>
      <c r="E69" s="1218"/>
      <c r="F69" s="1217"/>
      <c r="G69" s="1216"/>
    </row>
    <row r="70" spans="1:7" ht="40" customHeight="1" x14ac:dyDescent="0.35">
      <c r="A70" s="1237" t="s">
        <v>853</v>
      </c>
      <c r="B70" s="1237">
        <v>8</v>
      </c>
      <c r="C70" s="1237" t="s">
        <v>22297</v>
      </c>
      <c r="D70" s="1237" t="s">
        <v>22298</v>
      </c>
      <c r="E70" s="1237"/>
      <c r="F70" s="1228"/>
      <c r="G70" s="1231"/>
    </row>
    <row r="71" spans="1:7" ht="40" customHeight="1" x14ac:dyDescent="0.35">
      <c r="A71" s="1218" t="s">
        <v>853</v>
      </c>
      <c r="B71" s="1218">
        <v>9</v>
      </c>
      <c r="C71" s="1218" t="s">
        <v>22299</v>
      </c>
      <c r="D71" s="1218" t="s">
        <v>22300</v>
      </c>
      <c r="E71" s="1218"/>
      <c r="F71" s="1217"/>
      <c r="G71" s="1216"/>
    </row>
    <row r="72" spans="1:7" ht="40" customHeight="1" x14ac:dyDescent="0.35">
      <c r="A72" s="1237" t="s">
        <v>853</v>
      </c>
      <c r="B72" s="1237">
        <v>10</v>
      </c>
      <c r="C72" s="1237" t="s">
        <v>22301</v>
      </c>
      <c r="D72" s="1237" t="s">
        <v>22302</v>
      </c>
      <c r="E72" s="1237"/>
      <c r="F72" s="1228"/>
      <c r="G72" s="1231"/>
    </row>
    <row r="73" spans="1:7" ht="40" customHeight="1" x14ac:dyDescent="0.35">
      <c r="A73" s="1218" t="s">
        <v>853</v>
      </c>
      <c r="B73" s="1218">
        <v>11</v>
      </c>
      <c r="C73" s="1218" t="s">
        <v>22303</v>
      </c>
      <c r="D73" s="1218" t="s">
        <v>22304</v>
      </c>
      <c r="E73" s="1218"/>
      <c r="F73" s="1217"/>
      <c r="G73" s="1216"/>
    </row>
    <row r="74" spans="1:7" ht="40" customHeight="1" x14ac:dyDescent="0.35">
      <c r="A74" s="1237" t="s">
        <v>853</v>
      </c>
      <c r="B74" s="1237">
        <v>12</v>
      </c>
      <c r="C74" s="1237" t="s">
        <v>22305</v>
      </c>
      <c r="D74" s="1237" t="s">
        <v>22306</v>
      </c>
      <c r="E74" s="1237"/>
      <c r="F74" s="1228"/>
      <c r="G74" s="1231"/>
    </row>
    <row r="75" spans="1:7" ht="40" customHeight="1" x14ac:dyDescent="0.35">
      <c r="A75" s="1218" t="s">
        <v>853</v>
      </c>
      <c r="B75" s="1218">
        <v>13</v>
      </c>
      <c r="C75" s="1218" t="s">
        <v>22307</v>
      </c>
      <c r="D75" s="1218" t="s">
        <v>22308</v>
      </c>
      <c r="E75" s="1218"/>
      <c r="F75" s="1217"/>
      <c r="G75" s="1216"/>
    </row>
    <row r="76" spans="1:7" ht="40" customHeight="1" x14ac:dyDescent="0.35">
      <c r="A76" s="1237" t="s">
        <v>853</v>
      </c>
      <c r="B76" s="1237">
        <v>14</v>
      </c>
      <c r="C76" s="1237" t="s">
        <v>22309</v>
      </c>
      <c r="D76" s="1237" t="s">
        <v>22310</v>
      </c>
      <c r="E76" s="1237"/>
      <c r="F76" s="1228"/>
      <c r="G76" s="1231"/>
    </row>
    <row r="77" spans="1:7" ht="40" customHeight="1" x14ac:dyDescent="0.35">
      <c r="A77" s="1218" t="s">
        <v>853</v>
      </c>
      <c r="B77" s="1218">
        <v>15</v>
      </c>
      <c r="C77" s="1218" t="s">
        <v>22311</v>
      </c>
      <c r="D77" s="1218" t="s">
        <v>22312</v>
      </c>
      <c r="E77" s="1218"/>
      <c r="F77" s="1217"/>
      <c r="G77" s="1216"/>
    </row>
    <row r="78" spans="1:7" ht="40" customHeight="1" x14ac:dyDescent="0.35">
      <c r="A78" s="1237" t="s">
        <v>853</v>
      </c>
      <c r="B78" s="1237">
        <v>16</v>
      </c>
      <c r="C78" s="1237" t="s">
        <v>22313</v>
      </c>
      <c r="D78" s="1237" t="s">
        <v>22314</v>
      </c>
      <c r="E78" s="1237"/>
      <c r="F78" s="1228"/>
      <c r="G78" s="1231"/>
    </row>
    <row r="79" spans="1:7" ht="40" customHeight="1" x14ac:dyDescent="0.35">
      <c r="A79" s="1218" t="s">
        <v>853</v>
      </c>
      <c r="B79" s="1218">
        <v>17</v>
      </c>
      <c r="C79" s="1218" t="s">
        <v>22315</v>
      </c>
      <c r="D79" s="1218" t="s">
        <v>22316</v>
      </c>
      <c r="E79" s="1218"/>
      <c r="F79" s="1217"/>
      <c r="G79" s="1216"/>
    </row>
    <row r="80" spans="1:7" ht="40" customHeight="1" x14ac:dyDescent="0.35">
      <c r="A80" s="1237" t="s">
        <v>853</v>
      </c>
      <c r="B80" s="1237">
        <v>18</v>
      </c>
      <c r="C80" s="1237" t="s">
        <v>22317</v>
      </c>
      <c r="D80" s="1237" t="s">
        <v>22318</v>
      </c>
      <c r="E80" s="1237"/>
      <c r="F80" s="1228"/>
      <c r="G80" s="1231"/>
    </row>
    <row r="81" spans="1:7" ht="40" customHeight="1" x14ac:dyDescent="0.35">
      <c r="A81" s="1218" t="s">
        <v>853</v>
      </c>
      <c r="B81" s="1218">
        <v>19</v>
      </c>
      <c r="C81" s="1218" t="s">
        <v>22319</v>
      </c>
      <c r="D81" s="1218" t="s">
        <v>22320</v>
      </c>
      <c r="E81" s="1218"/>
      <c r="F81" s="1217"/>
      <c r="G81" s="1216"/>
    </row>
    <row r="82" spans="1:7" ht="40" customHeight="1" x14ac:dyDescent="0.35">
      <c r="A82" s="1237" t="s">
        <v>853</v>
      </c>
      <c r="B82" s="1237">
        <v>20</v>
      </c>
      <c r="C82" s="1237" t="s">
        <v>22321</v>
      </c>
      <c r="D82" s="1237" t="s">
        <v>22322</v>
      </c>
      <c r="E82" s="1237"/>
      <c r="F82" s="1228"/>
      <c r="G82" s="1231"/>
    </row>
    <row r="83" spans="1:7" ht="40" customHeight="1" x14ac:dyDescent="0.35">
      <c r="A83" s="1252" t="s">
        <v>767</v>
      </c>
      <c r="B83" s="1252">
        <v>1</v>
      </c>
      <c r="C83" s="1252" t="s">
        <v>22323</v>
      </c>
      <c r="D83" s="1252" t="s">
        <v>22324</v>
      </c>
      <c r="E83" s="1252" t="s">
        <v>22325</v>
      </c>
      <c r="F83" s="1271" t="s">
        <v>11919</v>
      </c>
      <c r="G83" s="1253" t="s">
        <v>22720</v>
      </c>
    </row>
    <row r="84" spans="1:7" ht="40" customHeight="1" x14ac:dyDescent="0.35">
      <c r="A84" s="1254" t="s">
        <v>767</v>
      </c>
      <c r="B84" s="1254">
        <v>2</v>
      </c>
      <c r="C84" s="1254" t="s">
        <v>22326</v>
      </c>
      <c r="D84" s="1254" t="s">
        <v>22327</v>
      </c>
      <c r="E84" s="1254" t="s">
        <v>22328</v>
      </c>
      <c r="F84" s="1272" t="s">
        <v>18972</v>
      </c>
      <c r="G84" s="1255" t="s">
        <v>22721</v>
      </c>
    </row>
    <row r="85" spans="1:7" ht="40" customHeight="1" x14ac:dyDescent="0.35">
      <c r="A85" s="1252" t="s">
        <v>767</v>
      </c>
      <c r="B85" s="1252">
        <v>3</v>
      </c>
      <c r="C85" s="1252" t="s">
        <v>22329</v>
      </c>
      <c r="D85" s="1252" t="s">
        <v>22330</v>
      </c>
      <c r="E85" s="1252"/>
      <c r="F85" s="1271"/>
      <c r="G85" s="1253"/>
    </row>
    <row r="86" spans="1:7" ht="40" customHeight="1" x14ac:dyDescent="0.35">
      <c r="A86" s="1254" t="s">
        <v>767</v>
      </c>
      <c r="B86" s="1254">
        <v>4</v>
      </c>
      <c r="C86" s="1254" t="s">
        <v>22331</v>
      </c>
      <c r="D86" s="1254" t="s">
        <v>22332</v>
      </c>
      <c r="E86" s="1254"/>
      <c r="F86" s="1272"/>
      <c r="G86" s="1255"/>
    </row>
    <row r="87" spans="1:7" ht="40" customHeight="1" x14ac:dyDescent="0.35">
      <c r="A87" s="1252" t="s">
        <v>767</v>
      </c>
      <c r="B87" s="1252">
        <v>5</v>
      </c>
      <c r="C87" s="1252" t="s">
        <v>22333</v>
      </c>
      <c r="D87" s="1252" t="s">
        <v>22334</v>
      </c>
      <c r="E87" s="1252"/>
      <c r="F87" s="1271"/>
      <c r="G87" s="1253"/>
    </row>
    <row r="88" spans="1:7" ht="40" customHeight="1" x14ac:dyDescent="0.35">
      <c r="A88" s="1254" t="s">
        <v>767</v>
      </c>
      <c r="B88" s="1254">
        <v>6</v>
      </c>
      <c r="C88" s="1254" t="s">
        <v>22335</v>
      </c>
      <c r="D88" s="1254" t="s">
        <v>22336</v>
      </c>
      <c r="E88" s="1254"/>
      <c r="F88" s="1272"/>
      <c r="G88" s="1255"/>
    </row>
    <row r="89" spans="1:7" ht="40" customHeight="1" x14ac:dyDescent="0.35">
      <c r="A89" s="1252" t="s">
        <v>767</v>
      </c>
      <c r="B89" s="1252">
        <v>7</v>
      </c>
      <c r="C89" s="1252" t="s">
        <v>22337</v>
      </c>
      <c r="D89" s="1252" t="s">
        <v>22338</v>
      </c>
      <c r="E89" s="1252"/>
      <c r="F89" s="1271"/>
      <c r="G89" s="1253"/>
    </row>
    <row r="90" spans="1:7" ht="40" customHeight="1" x14ac:dyDescent="0.35">
      <c r="A90" s="1254" t="s">
        <v>767</v>
      </c>
      <c r="B90" s="1254">
        <v>8</v>
      </c>
      <c r="C90" s="1254" t="s">
        <v>22339</v>
      </c>
      <c r="D90" s="1254" t="s">
        <v>22340</v>
      </c>
      <c r="E90" s="1254"/>
      <c r="F90" s="1272"/>
      <c r="G90" s="1255"/>
    </row>
    <row r="91" spans="1:7" ht="40" customHeight="1" x14ac:dyDescent="0.35">
      <c r="A91" s="1252" t="s">
        <v>767</v>
      </c>
      <c r="B91" s="1252">
        <v>9</v>
      </c>
      <c r="C91" s="1252" t="s">
        <v>22341</v>
      </c>
      <c r="D91" s="1252" t="s">
        <v>22342</v>
      </c>
      <c r="E91" s="1252"/>
      <c r="F91" s="1271"/>
      <c r="G91" s="1253"/>
    </row>
    <row r="92" spans="1:7" ht="40" customHeight="1" x14ac:dyDescent="0.35">
      <c r="A92" s="1254" t="s">
        <v>767</v>
      </c>
      <c r="B92" s="1254">
        <v>10</v>
      </c>
      <c r="C92" s="1254" t="s">
        <v>22343</v>
      </c>
      <c r="D92" s="1254" t="s">
        <v>22344</v>
      </c>
      <c r="E92" s="1254"/>
      <c r="F92" s="1272"/>
      <c r="G92" s="1255"/>
    </row>
    <row r="93" spans="1:7" ht="40" customHeight="1" x14ac:dyDescent="0.35">
      <c r="A93" s="1252" t="s">
        <v>767</v>
      </c>
      <c r="B93" s="1252">
        <v>11</v>
      </c>
      <c r="C93" s="1252" t="s">
        <v>22345</v>
      </c>
      <c r="D93" s="1252" t="s">
        <v>22282</v>
      </c>
      <c r="E93" s="1252"/>
      <c r="F93" s="1271"/>
      <c r="G93" s="1253"/>
    </row>
    <row r="94" spans="1:7" ht="40" customHeight="1" x14ac:dyDescent="0.35">
      <c r="A94" s="1254" t="s">
        <v>767</v>
      </c>
      <c r="B94" s="1254">
        <v>12</v>
      </c>
      <c r="C94" s="1254" t="s">
        <v>22346</v>
      </c>
      <c r="D94" s="1254" t="s">
        <v>22347</v>
      </c>
      <c r="E94" s="1254"/>
      <c r="F94" s="1272"/>
      <c r="G94" s="1255"/>
    </row>
    <row r="95" spans="1:7" ht="40" customHeight="1" x14ac:dyDescent="0.35">
      <c r="A95" s="1252" t="s">
        <v>767</v>
      </c>
      <c r="B95" s="1252">
        <v>13</v>
      </c>
      <c r="C95" s="1252" t="s">
        <v>22348</v>
      </c>
      <c r="D95" s="1252" t="s">
        <v>22349</v>
      </c>
      <c r="E95" s="1252"/>
      <c r="F95" s="1271"/>
      <c r="G95" s="1253"/>
    </row>
    <row r="96" spans="1:7" ht="40" customHeight="1" x14ac:dyDescent="0.35">
      <c r="A96" s="1254" t="s">
        <v>767</v>
      </c>
      <c r="B96" s="1254">
        <v>14</v>
      </c>
      <c r="C96" s="1254" t="s">
        <v>22350</v>
      </c>
      <c r="D96" s="1254" t="s">
        <v>22351</v>
      </c>
      <c r="E96" s="1254"/>
      <c r="F96" s="1272"/>
      <c r="G96" s="1255"/>
    </row>
    <row r="97" spans="1:7" ht="40" customHeight="1" x14ac:dyDescent="0.35">
      <c r="A97" s="1252" t="s">
        <v>767</v>
      </c>
      <c r="B97" s="1252">
        <v>15</v>
      </c>
      <c r="C97" s="1252" t="s">
        <v>22352</v>
      </c>
      <c r="D97" s="1252" t="s">
        <v>22353</v>
      </c>
      <c r="E97" s="1252"/>
      <c r="F97" s="1271"/>
      <c r="G97" s="1253"/>
    </row>
    <row r="98" spans="1:7" ht="40" customHeight="1" x14ac:dyDescent="0.35">
      <c r="A98" s="1254" t="s">
        <v>767</v>
      </c>
      <c r="B98" s="1254">
        <v>16</v>
      </c>
      <c r="C98" s="1254" t="s">
        <v>22354</v>
      </c>
      <c r="D98" s="1254" t="s">
        <v>22355</v>
      </c>
      <c r="E98" s="1254"/>
      <c r="F98" s="1272"/>
      <c r="G98" s="1255"/>
    </row>
    <row r="99" spans="1:7" ht="40" customHeight="1" x14ac:dyDescent="0.35">
      <c r="A99" s="1252" t="s">
        <v>767</v>
      </c>
      <c r="B99" s="1252">
        <v>17</v>
      </c>
      <c r="C99" s="1252" t="s">
        <v>22356</v>
      </c>
      <c r="D99" s="1252" t="s">
        <v>22357</v>
      </c>
      <c r="E99" s="1252"/>
      <c r="F99" s="1271"/>
      <c r="G99" s="1253"/>
    </row>
    <row r="100" spans="1:7" ht="40" customHeight="1" x14ac:dyDescent="0.35">
      <c r="A100" s="1254" t="s">
        <v>767</v>
      </c>
      <c r="B100" s="1254">
        <v>18</v>
      </c>
      <c r="C100" s="1254" t="s">
        <v>22358</v>
      </c>
      <c r="D100" s="1254" t="s">
        <v>22359</v>
      </c>
      <c r="E100" s="1254"/>
      <c r="F100" s="1272"/>
      <c r="G100" s="1255"/>
    </row>
    <row r="101" spans="1:7" ht="40" customHeight="1" x14ac:dyDescent="0.35">
      <c r="A101" s="1252" t="s">
        <v>767</v>
      </c>
      <c r="B101" s="1252">
        <v>19</v>
      </c>
      <c r="C101" s="1252" t="s">
        <v>22360</v>
      </c>
      <c r="D101" s="1252" t="s">
        <v>22361</v>
      </c>
      <c r="E101" s="1252"/>
      <c r="F101" s="1271"/>
      <c r="G101" s="1253"/>
    </row>
    <row r="102" spans="1:7" ht="40" customHeight="1" x14ac:dyDescent="0.35">
      <c r="A102" s="1254" t="s">
        <v>767</v>
      </c>
      <c r="B102" s="1254">
        <v>20</v>
      </c>
      <c r="C102" s="1254" t="s">
        <v>22362</v>
      </c>
      <c r="D102" s="1254" t="s">
        <v>22363</v>
      </c>
      <c r="E102" s="1254"/>
      <c r="F102" s="1272"/>
      <c r="G102" s="1255"/>
    </row>
    <row r="103" spans="1:7" ht="40" customHeight="1" x14ac:dyDescent="0.35">
      <c r="A103" s="1256" t="s">
        <v>522</v>
      </c>
      <c r="B103" s="1256">
        <v>1</v>
      </c>
      <c r="C103" s="1256" t="s">
        <v>22364</v>
      </c>
      <c r="D103" s="1256" t="s">
        <v>22365</v>
      </c>
      <c r="E103" s="1256" t="s">
        <v>22366</v>
      </c>
      <c r="F103" s="1273" t="s">
        <v>22367</v>
      </c>
      <c r="G103" s="1257" t="s">
        <v>22457</v>
      </c>
    </row>
    <row r="104" spans="1:7" ht="40" customHeight="1" x14ac:dyDescent="0.35">
      <c r="A104" s="1258" t="s">
        <v>522</v>
      </c>
      <c r="B104" s="1258">
        <v>2</v>
      </c>
      <c r="C104" s="1258" t="s">
        <v>22368</v>
      </c>
      <c r="D104" s="1258" t="s">
        <v>22369</v>
      </c>
      <c r="E104" s="1258" t="s">
        <v>12082</v>
      </c>
      <c r="F104" s="1274" t="s">
        <v>2841</v>
      </c>
      <c r="G104" s="1259" t="s">
        <v>22458</v>
      </c>
    </row>
    <row r="105" spans="1:7" ht="40" customHeight="1" x14ac:dyDescent="0.35">
      <c r="A105" s="1256" t="s">
        <v>522</v>
      </c>
      <c r="B105" s="1256">
        <v>3</v>
      </c>
      <c r="C105" s="1256" t="s">
        <v>22370</v>
      </c>
      <c r="D105" s="1256" t="s">
        <v>22371</v>
      </c>
      <c r="E105" s="1256"/>
      <c r="F105" s="1273"/>
      <c r="G105" s="1257"/>
    </row>
    <row r="106" spans="1:7" ht="40" customHeight="1" x14ac:dyDescent="0.35">
      <c r="A106" s="1258" t="s">
        <v>522</v>
      </c>
      <c r="B106" s="1258">
        <v>4</v>
      </c>
      <c r="C106" s="1258" t="s">
        <v>22372</v>
      </c>
      <c r="D106" s="1258" t="s">
        <v>22373</v>
      </c>
      <c r="E106" s="1258"/>
      <c r="F106" s="1274"/>
      <c r="G106" s="1259"/>
    </row>
    <row r="107" spans="1:7" ht="40" customHeight="1" x14ac:dyDescent="0.35">
      <c r="A107" s="1256" t="s">
        <v>522</v>
      </c>
      <c r="B107" s="1256">
        <v>5</v>
      </c>
      <c r="C107" s="1256" t="s">
        <v>22374</v>
      </c>
      <c r="D107" s="1256" t="s">
        <v>22375</v>
      </c>
      <c r="E107" s="1256"/>
      <c r="F107" s="1273"/>
      <c r="G107" s="1257"/>
    </row>
    <row r="108" spans="1:7" ht="40" customHeight="1" x14ac:dyDescent="0.35">
      <c r="A108" s="1258" t="s">
        <v>522</v>
      </c>
      <c r="B108" s="1258">
        <v>6</v>
      </c>
      <c r="C108" s="1258" t="s">
        <v>22376</v>
      </c>
      <c r="D108" s="1258" t="s">
        <v>22377</v>
      </c>
      <c r="E108" s="1258"/>
      <c r="F108" s="1274"/>
      <c r="G108" s="1259"/>
    </row>
    <row r="109" spans="1:7" ht="40" customHeight="1" x14ac:dyDescent="0.35">
      <c r="A109" s="1256" t="s">
        <v>522</v>
      </c>
      <c r="B109" s="1256">
        <v>7</v>
      </c>
      <c r="C109" s="1256" t="s">
        <v>22378</v>
      </c>
      <c r="D109" s="1256" t="s">
        <v>22379</v>
      </c>
      <c r="E109" s="1256"/>
      <c r="F109" s="1273"/>
      <c r="G109" s="1257"/>
    </row>
    <row r="110" spans="1:7" ht="40" customHeight="1" x14ac:dyDescent="0.35">
      <c r="A110" s="1258" t="s">
        <v>522</v>
      </c>
      <c r="B110" s="1258">
        <v>8</v>
      </c>
      <c r="C110" s="1258" t="s">
        <v>22380</v>
      </c>
      <c r="D110" s="1258" t="s">
        <v>22381</v>
      </c>
      <c r="E110" s="1258"/>
      <c r="F110" s="1274"/>
      <c r="G110" s="1259"/>
    </row>
    <row r="111" spans="1:7" ht="40" customHeight="1" x14ac:dyDescent="0.35">
      <c r="A111" s="1256" t="s">
        <v>522</v>
      </c>
      <c r="B111" s="1256">
        <v>9</v>
      </c>
      <c r="C111" s="1256" t="s">
        <v>22382</v>
      </c>
      <c r="D111" s="1256" t="s">
        <v>22383</v>
      </c>
      <c r="E111" s="1256"/>
      <c r="F111" s="1273"/>
      <c r="G111" s="1257"/>
    </row>
    <row r="112" spans="1:7" ht="40" customHeight="1" x14ac:dyDescent="0.35">
      <c r="A112" s="1258" t="s">
        <v>522</v>
      </c>
      <c r="B112" s="1258">
        <v>10</v>
      </c>
      <c r="C112" s="1258" t="s">
        <v>22384</v>
      </c>
      <c r="D112" s="1258" t="s">
        <v>22385</v>
      </c>
      <c r="E112" s="1258"/>
      <c r="F112" s="1274"/>
      <c r="G112" s="1259"/>
    </row>
    <row r="113" spans="1:7" ht="40" customHeight="1" x14ac:dyDescent="0.35">
      <c r="A113" s="1256" t="s">
        <v>522</v>
      </c>
      <c r="B113" s="1256">
        <v>11</v>
      </c>
      <c r="C113" s="1256" t="s">
        <v>22386</v>
      </c>
      <c r="D113" s="1256" t="s">
        <v>22387</v>
      </c>
      <c r="E113" s="1256"/>
      <c r="F113" s="1273"/>
      <c r="G113" s="1257"/>
    </row>
    <row r="114" spans="1:7" ht="40" customHeight="1" x14ac:dyDescent="0.35">
      <c r="A114" s="1258" t="s">
        <v>522</v>
      </c>
      <c r="B114" s="1258">
        <v>12</v>
      </c>
      <c r="C114" s="1258" t="s">
        <v>22388</v>
      </c>
      <c r="D114" s="1258" t="s">
        <v>22389</v>
      </c>
      <c r="E114" s="1258"/>
      <c r="F114" s="1274"/>
      <c r="G114" s="1259"/>
    </row>
    <row r="115" spans="1:7" ht="40" customHeight="1" x14ac:dyDescent="0.35">
      <c r="A115" s="1256" t="s">
        <v>522</v>
      </c>
      <c r="B115" s="1256">
        <v>13</v>
      </c>
      <c r="C115" s="1256" t="s">
        <v>22390</v>
      </c>
      <c r="D115" s="1256" t="s">
        <v>22391</v>
      </c>
      <c r="E115" s="1256"/>
      <c r="F115" s="1273"/>
      <c r="G115" s="1257"/>
    </row>
    <row r="116" spans="1:7" ht="40" customHeight="1" x14ac:dyDescent="0.35">
      <c r="A116" s="1258" t="s">
        <v>522</v>
      </c>
      <c r="B116" s="1258">
        <v>14</v>
      </c>
      <c r="C116" s="1258" t="s">
        <v>22392</v>
      </c>
      <c r="D116" s="1258" t="s">
        <v>22393</v>
      </c>
      <c r="E116" s="1258"/>
      <c r="F116" s="1274"/>
      <c r="G116" s="1259"/>
    </row>
    <row r="117" spans="1:7" ht="40" customHeight="1" x14ac:dyDescent="0.35">
      <c r="A117" s="1256" t="s">
        <v>522</v>
      </c>
      <c r="B117" s="1256">
        <v>15</v>
      </c>
      <c r="C117" s="1256" t="s">
        <v>22394</v>
      </c>
      <c r="D117" s="1256" t="s">
        <v>22395</v>
      </c>
      <c r="E117" s="1256"/>
      <c r="F117" s="1273"/>
      <c r="G117" s="1257"/>
    </row>
    <row r="118" spans="1:7" ht="40" customHeight="1" x14ac:dyDescent="0.35">
      <c r="A118" s="1258" t="s">
        <v>522</v>
      </c>
      <c r="B118" s="1258">
        <v>16</v>
      </c>
      <c r="C118" s="1258" t="s">
        <v>22396</v>
      </c>
      <c r="D118" s="1258" t="s">
        <v>22397</v>
      </c>
      <c r="E118" s="1258"/>
      <c r="F118" s="1274"/>
      <c r="G118" s="1259"/>
    </row>
    <row r="119" spans="1:7" ht="40" customHeight="1" x14ac:dyDescent="0.35">
      <c r="A119" s="1256" t="s">
        <v>522</v>
      </c>
      <c r="B119" s="1256">
        <v>17</v>
      </c>
      <c r="C119" s="1256" t="s">
        <v>22398</v>
      </c>
      <c r="D119" s="1256" t="s">
        <v>22399</v>
      </c>
      <c r="E119" s="1256"/>
      <c r="F119" s="1273"/>
      <c r="G119" s="1257"/>
    </row>
    <row r="120" spans="1:7" ht="40" customHeight="1" x14ac:dyDescent="0.35">
      <c r="A120" s="1258" t="s">
        <v>522</v>
      </c>
      <c r="B120" s="1258">
        <v>18</v>
      </c>
      <c r="C120" s="1258" t="s">
        <v>22400</v>
      </c>
      <c r="D120" s="1258" t="s">
        <v>22401</v>
      </c>
      <c r="E120" s="1258"/>
      <c r="F120" s="1274"/>
      <c r="G120" s="1259"/>
    </row>
    <row r="121" spans="1:7" ht="40" customHeight="1" x14ac:dyDescent="0.35">
      <c r="A121" s="1256" t="s">
        <v>522</v>
      </c>
      <c r="B121" s="1256">
        <v>19</v>
      </c>
      <c r="C121" s="1256" t="s">
        <v>22402</v>
      </c>
      <c r="D121" s="1256" t="s">
        <v>22403</v>
      </c>
      <c r="E121" s="1256"/>
      <c r="F121" s="1273"/>
      <c r="G121" s="1257"/>
    </row>
    <row r="122" spans="1:7" ht="40" customHeight="1" x14ac:dyDescent="0.35">
      <c r="A122" s="1258" t="s">
        <v>522</v>
      </c>
      <c r="B122" s="1258">
        <v>20</v>
      </c>
      <c r="C122" s="1258" t="s">
        <v>22404</v>
      </c>
      <c r="D122" s="1258" t="s">
        <v>22405</v>
      </c>
      <c r="E122" s="1258"/>
      <c r="F122" s="1274"/>
      <c r="G122" s="1259"/>
    </row>
    <row r="123" spans="1:7" ht="40" customHeight="1" x14ac:dyDescent="0.35">
      <c r="A123" s="1262" t="s">
        <v>524</v>
      </c>
      <c r="B123" s="1262">
        <v>1</v>
      </c>
      <c r="C123" s="1262" t="s">
        <v>21228</v>
      </c>
      <c r="D123" s="1262" t="s">
        <v>22406</v>
      </c>
      <c r="E123" s="1262" t="s">
        <v>22407</v>
      </c>
      <c r="F123" s="1275" t="s">
        <v>5988</v>
      </c>
      <c r="G123" s="1263" t="s">
        <v>22459</v>
      </c>
    </row>
    <row r="124" spans="1:7" ht="40" customHeight="1" x14ac:dyDescent="0.35">
      <c r="A124" s="1264" t="s">
        <v>524</v>
      </c>
      <c r="B124" s="1264">
        <v>2</v>
      </c>
      <c r="C124" s="1264" t="s">
        <v>22408</v>
      </c>
      <c r="D124" s="1264" t="s">
        <v>22409</v>
      </c>
      <c r="E124" s="1264" t="s">
        <v>22410</v>
      </c>
      <c r="F124" s="1276" t="s">
        <v>2228</v>
      </c>
      <c r="G124" s="1265" t="s">
        <v>22460</v>
      </c>
    </row>
    <row r="125" spans="1:7" ht="40" customHeight="1" x14ac:dyDescent="0.35">
      <c r="A125" s="1262" t="s">
        <v>524</v>
      </c>
      <c r="B125" s="1262">
        <v>3</v>
      </c>
      <c r="C125" s="1262" t="s">
        <v>22411</v>
      </c>
      <c r="D125" s="1262" t="s">
        <v>22412</v>
      </c>
      <c r="E125" s="1262"/>
      <c r="F125" s="1275"/>
      <c r="G125" s="1263"/>
    </row>
    <row r="126" spans="1:7" ht="40" customHeight="1" x14ac:dyDescent="0.35">
      <c r="A126" s="1264" t="s">
        <v>524</v>
      </c>
      <c r="B126" s="1264">
        <v>4</v>
      </c>
      <c r="C126" s="1264" t="s">
        <v>22413</v>
      </c>
      <c r="D126" s="1264" t="s">
        <v>22414</v>
      </c>
      <c r="E126" s="1264"/>
      <c r="F126" s="1276"/>
      <c r="G126" s="1265"/>
    </row>
    <row r="127" spans="1:7" ht="40" customHeight="1" x14ac:dyDescent="0.35">
      <c r="A127" s="1262" t="s">
        <v>524</v>
      </c>
      <c r="B127" s="1262">
        <v>5</v>
      </c>
      <c r="C127" s="1262" t="s">
        <v>22415</v>
      </c>
      <c r="D127" s="1262" t="s">
        <v>22416</v>
      </c>
      <c r="E127" s="1262"/>
      <c r="F127" s="1275"/>
      <c r="G127" s="1263"/>
    </row>
    <row r="128" spans="1:7" ht="40" customHeight="1" x14ac:dyDescent="0.35">
      <c r="A128" s="1264" t="s">
        <v>524</v>
      </c>
      <c r="B128" s="1264">
        <v>6</v>
      </c>
      <c r="C128" s="1264" t="s">
        <v>22417</v>
      </c>
      <c r="D128" s="1264" t="s">
        <v>22418</v>
      </c>
      <c r="E128" s="1264"/>
      <c r="F128" s="1276"/>
      <c r="G128" s="1265"/>
    </row>
    <row r="129" spans="1:7" ht="40" customHeight="1" x14ac:dyDescent="0.35">
      <c r="A129" s="1262" t="s">
        <v>524</v>
      </c>
      <c r="B129" s="1262">
        <v>7</v>
      </c>
      <c r="C129" s="1262" t="s">
        <v>22419</v>
      </c>
      <c r="D129" s="1262" t="s">
        <v>22420</v>
      </c>
      <c r="E129" s="1262"/>
      <c r="F129" s="1275"/>
      <c r="G129" s="1263"/>
    </row>
    <row r="130" spans="1:7" ht="40" customHeight="1" x14ac:dyDescent="0.35">
      <c r="A130" s="1264" t="s">
        <v>524</v>
      </c>
      <c r="B130" s="1264">
        <v>8</v>
      </c>
      <c r="C130" s="1264" t="s">
        <v>22421</v>
      </c>
      <c r="D130" s="1264" t="s">
        <v>22422</v>
      </c>
      <c r="E130" s="1264"/>
      <c r="F130" s="1276"/>
      <c r="G130" s="1265"/>
    </row>
    <row r="131" spans="1:7" ht="40" customHeight="1" x14ac:dyDescent="0.35">
      <c r="A131" s="1262" t="s">
        <v>524</v>
      </c>
      <c r="B131" s="1262">
        <v>9</v>
      </c>
      <c r="C131" s="1262" t="s">
        <v>22423</v>
      </c>
      <c r="D131" s="1262" t="s">
        <v>22424</v>
      </c>
      <c r="E131" s="1262"/>
      <c r="F131" s="1275"/>
      <c r="G131" s="1263"/>
    </row>
    <row r="132" spans="1:7" ht="40" customHeight="1" x14ac:dyDescent="0.35">
      <c r="A132" s="1264" t="s">
        <v>524</v>
      </c>
      <c r="B132" s="1264">
        <v>10</v>
      </c>
      <c r="C132" s="1264" t="s">
        <v>22425</v>
      </c>
      <c r="D132" s="1264" t="s">
        <v>22426</v>
      </c>
      <c r="E132" s="1264"/>
      <c r="F132" s="1276"/>
      <c r="G132" s="1265"/>
    </row>
    <row r="133" spans="1:7" ht="40" customHeight="1" x14ac:dyDescent="0.35">
      <c r="A133" s="1262" t="s">
        <v>524</v>
      </c>
      <c r="B133" s="1262">
        <v>11</v>
      </c>
      <c r="C133" s="1262" t="s">
        <v>22427</v>
      </c>
      <c r="D133" s="1262" t="s">
        <v>22428</v>
      </c>
      <c r="E133" s="1262"/>
      <c r="F133" s="1275"/>
      <c r="G133" s="1263"/>
    </row>
    <row r="134" spans="1:7" ht="40" customHeight="1" x14ac:dyDescent="0.35">
      <c r="A134" s="1264" t="s">
        <v>524</v>
      </c>
      <c r="B134" s="1264">
        <v>12</v>
      </c>
      <c r="C134" s="1264" t="s">
        <v>22429</v>
      </c>
      <c r="D134" s="1264" t="s">
        <v>22430</v>
      </c>
      <c r="E134" s="1264"/>
      <c r="F134" s="1276"/>
      <c r="G134" s="1265"/>
    </row>
    <row r="135" spans="1:7" ht="40" customHeight="1" x14ac:dyDescent="0.35">
      <c r="A135" s="1262" t="s">
        <v>524</v>
      </c>
      <c r="B135" s="1262">
        <v>13</v>
      </c>
      <c r="C135" s="1262" t="s">
        <v>22431</v>
      </c>
      <c r="D135" s="1262" t="s">
        <v>22432</v>
      </c>
      <c r="E135" s="1262"/>
      <c r="F135" s="1275"/>
      <c r="G135" s="1263"/>
    </row>
    <row r="136" spans="1:7" ht="40" customHeight="1" x14ac:dyDescent="0.35">
      <c r="A136" s="1264" t="s">
        <v>524</v>
      </c>
      <c r="B136" s="1264">
        <v>14</v>
      </c>
      <c r="C136" s="1264" t="s">
        <v>22433</v>
      </c>
      <c r="D136" s="1264" t="s">
        <v>22434</v>
      </c>
      <c r="E136" s="1264"/>
      <c r="F136" s="1276"/>
      <c r="G136" s="1265"/>
    </row>
    <row r="137" spans="1:7" ht="40" customHeight="1" x14ac:dyDescent="0.35">
      <c r="A137" s="1262" t="s">
        <v>524</v>
      </c>
      <c r="B137" s="1262">
        <v>15</v>
      </c>
      <c r="C137" s="1262" t="s">
        <v>22435</v>
      </c>
      <c r="D137" s="1262" t="s">
        <v>22436</v>
      </c>
      <c r="E137" s="1262"/>
      <c r="F137" s="1275"/>
      <c r="G137" s="1263"/>
    </row>
    <row r="138" spans="1:7" ht="40" customHeight="1" x14ac:dyDescent="0.35">
      <c r="A138" s="1264" t="s">
        <v>524</v>
      </c>
      <c r="B138" s="1264">
        <v>16</v>
      </c>
      <c r="C138" s="1264" t="s">
        <v>22437</v>
      </c>
      <c r="D138" s="1264" t="s">
        <v>22438</v>
      </c>
      <c r="E138" s="1264"/>
      <c r="F138" s="1276"/>
      <c r="G138" s="1265"/>
    </row>
    <row r="139" spans="1:7" ht="40" customHeight="1" x14ac:dyDescent="0.35">
      <c r="A139" s="1262" t="s">
        <v>524</v>
      </c>
      <c r="B139" s="1262">
        <v>17</v>
      </c>
      <c r="C139" s="1262" t="s">
        <v>22439</v>
      </c>
      <c r="D139" s="1262" t="s">
        <v>22440</v>
      </c>
      <c r="E139" s="1262"/>
      <c r="F139" s="1275"/>
      <c r="G139" s="1263"/>
    </row>
    <row r="140" spans="1:7" ht="40" customHeight="1" x14ac:dyDescent="0.35">
      <c r="A140" s="1264" t="s">
        <v>524</v>
      </c>
      <c r="B140" s="1264">
        <v>18</v>
      </c>
      <c r="C140" s="1264" t="s">
        <v>22441</v>
      </c>
      <c r="D140" s="1264" t="s">
        <v>22379</v>
      </c>
      <c r="E140" s="1264"/>
      <c r="F140" s="1276"/>
      <c r="G140" s="1265"/>
    </row>
    <row r="141" spans="1:7" ht="40" customHeight="1" x14ac:dyDescent="0.35">
      <c r="A141" s="1260" t="s">
        <v>524</v>
      </c>
      <c r="B141" s="1260">
        <v>19</v>
      </c>
      <c r="C141" s="1260" t="s">
        <v>22442</v>
      </c>
      <c r="D141" s="1260" t="s">
        <v>22443</v>
      </c>
      <c r="E141" s="1260"/>
      <c r="F141" s="1277"/>
      <c r="G141" s="1261"/>
    </row>
    <row r="142" spans="1:7" ht="40" customHeight="1" x14ac:dyDescent="0.35">
      <c r="A142" s="1241" t="s">
        <v>524</v>
      </c>
      <c r="B142" s="1241">
        <v>20</v>
      </c>
      <c r="C142" s="1241" t="s">
        <v>22444</v>
      </c>
      <c r="D142" s="1241" t="s">
        <v>22445</v>
      </c>
      <c r="E142" s="1241"/>
      <c r="F142" s="1278"/>
      <c r="G142" s="1243"/>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8"/>
  <sheetViews>
    <sheetView topLeftCell="H1" workbookViewId="0">
      <pane ySplit="3" topLeftCell="A34" activePane="bottomLeft" state="frozen"/>
      <selection pane="bottomLeft" sqref="A1:L142"/>
    </sheetView>
  </sheetViews>
  <sheetFormatPr defaultRowHeight="14.5" x14ac:dyDescent="0.35"/>
  <cols>
    <col min="1" max="1" width="4" customWidth="1"/>
    <col min="2" max="2" width="30" customWidth="1"/>
    <col min="3" max="3" width="14" customWidth="1"/>
    <col min="4" max="5" width="10" customWidth="1"/>
    <col min="6" max="7" width="9" customWidth="1"/>
    <col min="8" max="8" width="52" customWidth="1"/>
    <col min="9" max="9" width="40" customWidth="1"/>
    <col min="10" max="10" width="20" customWidth="1"/>
    <col min="11" max="11" width="26.81640625" bestFit="1" customWidth="1"/>
  </cols>
  <sheetData>
    <row r="1" spans="1:11" ht="18.5" x14ac:dyDescent="0.45">
      <c r="A1" s="1285" t="s">
        <v>18442</v>
      </c>
      <c r="B1" s="1313"/>
      <c r="C1" s="1313"/>
      <c r="D1" s="1313"/>
      <c r="E1" s="1313"/>
      <c r="F1" s="1313"/>
      <c r="G1" s="1313"/>
      <c r="H1" s="1313"/>
      <c r="I1" s="1313"/>
      <c r="J1" s="1313"/>
      <c r="K1" s="1313"/>
    </row>
    <row r="2" spans="1:11" x14ac:dyDescent="0.35">
      <c r="A2" s="1314" t="s">
        <v>18443</v>
      </c>
      <c r="B2" s="1313"/>
      <c r="C2" s="1313"/>
      <c r="D2" s="1313"/>
      <c r="E2" s="1313"/>
      <c r="F2" s="1313"/>
      <c r="G2" s="1313"/>
      <c r="H2" s="1313"/>
      <c r="I2" s="1313"/>
      <c r="J2" s="1313"/>
      <c r="K2" s="1313"/>
    </row>
    <row r="3" spans="1:11" x14ac:dyDescent="0.35">
      <c r="A3" s="587" t="s">
        <v>141</v>
      </c>
      <c r="B3" s="587" t="s">
        <v>785</v>
      </c>
      <c r="C3" s="587" t="s">
        <v>18444</v>
      </c>
      <c r="D3" s="587" t="s">
        <v>619</v>
      </c>
      <c r="E3" s="587" t="s">
        <v>786</v>
      </c>
      <c r="F3" s="587" t="s">
        <v>18445</v>
      </c>
      <c r="G3" s="587" t="s">
        <v>18446</v>
      </c>
      <c r="H3" s="587" t="s">
        <v>8</v>
      </c>
      <c r="I3" s="587" t="s">
        <v>787</v>
      </c>
      <c r="J3" s="587" t="s">
        <v>18447</v>
      </c>
      <c r="K3" s="587" t="s">
        <v>789</v>
      </c>
    </row>
    <row r="4" spans="1:11" ht="80" customHeight="1" x14ac:dyDescent="0.35">
      <c r="A4" s="97">
        <v>1</v>
      </c>
      <c r="B4" s="98" t="s">
        <v>790</v>
      </c>
      <c r="C4" s="99" t="s">
        <v>791</v>
      </c>
      <c r="D4" s="97" t="s">
        <v>792</v>
      </c>
      <c r="E4" s="97">
        <v>57</v>
      </c>
      <c r="F4" s="1279">
        <v>41.086874999999999</v>
      </c>
      <c r="G4" s="1279">
        <v>-8.1325669999999999</v>
      </c>
      <c r="H4" s="323" t="s">
        <v>793</v>
      </c>
      <c r="I4" s="100" t="s">
        <v>794</v>
      </c>
      <c r="J4" s="97" t="s">
        <v>795</v>
      </c>
      <c r="K4" s="140" t="str">
        <f>HYPERLINK("https://www.google.com/maps/search/Barragem%20de%20Carrapatelo/@41.139,-8.144,17z","🌊 Barragem de Carrapatelo")</f>
        <v>🌊 Barragem de Carrapatelo</v>
      </c>
    </row>
    <row r="5" spans="1:11" ht="80" customHeight="1" x14ac:dyDescent="0.35">
      <c r="A5" s="101">
        <v>2</v>
      </c>
      <c r="B5" s="102" t="s">
        <v>796</v>
      </c>
      <c r="C5" s="103" t="s">
        <v>791</v>
      </c>
      <c r="D5" s="101" t="s">
        <v>792</v>
      </c>
      <c r="E5" s="101">
        <v>87</v>
      </c>
      <c r="F5" s="1280">
        <v>41.219444000000003</v>
      </c>
      <c r="G5" s="1280">
        <v>-6.490278</v>
      </c>
      <c r="H5" s="324" t="s">
        <v>797</v>
      </c>
      <c r="I5" s="104" t="s">
        <v>798</v>
      </c>
      <c r="J5" s="101" t="s">
        <v>795</v>
      </c>
      <c r="K5" s="141" t="str">
        <f>HYPERLINK("https://www.google.com/maps/search/Barragem%20de%20Bemposta/@41.216,-6.495,17z","🌊 Barragem de Bemposta")</f>
        <v>🌊 Barragem de Bemposta</v>
      </c>
    </row>
    <row r="6" spans="1:11" ht="110" customHeight="1" x14ac:dyDescent="0.35">
      <c r="A6" s="97">
        <v>3</v>
      </c>
      <c r="B6" s="98" t="s">
        <v>800</v>
      </c>
      <c r="C6" s="99" t="s">
        <v>791</v>
      </c>
      <c r="D6" s="97" t="s">
        <v>792</v>
      </c>
      <c r="E6" s="97">
        <v>80</v>
      </c>
      <c r="F6" s="1279">
        <v>41.493889000000003</v>
      </c>
      <c r="G6" s="1279">
        <v>-6.2708329999999997</v>
      </c>
      <c r="H6" s="323" t="s">
        <v>801</v>
      </c>
      <c r="I6" s="100" t="s">
        <v>802</v>
      </c>
      <c r="J6" s="97" t="s">
        <v>795</v>
      </c>
      <c r="K6" s="140" t="str">
        <f>HYPERLINK("https://www.google.com/maps/search/Barragem%20de%20Miranda/@41.492,-6.264,17z","🌊 Barragem de Miranda")</f>
        <v>🌊 Barragem de Miranda</v>
      </c>
    </row>
    <row r="7" spans="1:11" ht="110" customHeight="1" x14ac:dyDescent="0.35">
      <c r="A7" s="101">
        <v>4</v>
      </c>
      <c r="B7" s="102" t="s">
        <v>803</v>
      </c>
      <c r="C7" s="103" t="s">
        <v>791</v>
      </c>
      <c r="D7" s="101" t="s">
        <v>792</v>
      </c>
      <c r="E7" s="101">
        <v>25</v>
      </c>
      <c r="F7" s="1280">
        <v>41.068055999999999</v>
      </c>
      <c r="G7" s="1280">
        <v>-8.4819440000000004</v>
      </c>
      <c r="H7" s="324" t="s">
        <v>804</v>
      </c>
      <c r="I7" s="104" t="s">
        <v>805</v>
      </c>
      <c r="J7" s="101" t="s">
        <v>795</v>
      </c>
      <c r="K7" s="141" t="str">
        <f>HYPERLINK("https://www.google.com/maps/search/Barragem%20de%20Crestuma-Lever/@41.065,-8.49,17z","🌊 Barragem de Crestuma-Lever")</f>
        <v>🌊 Barragem de Crestuma-Lever</v>
      </c>
    </row>
    <row r="8" spans="1:11" ht="110" customHeight="1" x14ac:dyDescent="0.35">
      <c r="A8" s="97">
        <v>5</v>
      </c>
      <c r="B8" s="98" t="s">
        <v>806</v>
      </c>
      <c r="C8" s="99" t="s">
        <v>791</v>
      </c>
      <c r="D8" s="97" t="s">
        <v>792</v>
      </c>
      <c r="E8" s="97">
        <v>48</v>
      </c>
      <c r="F8" s="1279">
        <v>41.164721999999998</v>
      </c>
      <c r="G8" s="1279">
        <v>-7.3361109999999998</v>
      </c>
      <c r="H8" s="323" t="s">
        <v>807</v>
      </c>
      <c r="I8" s="100" t="s">
        <v>808</v>
      </c>
      <c r="J8" s="97" t="s">
        <v>795</v>
      </c>
      <c r="K8" s="140" t="str">
        <f>HYPERLINK("https://www.google.com/maps/search/Barragem%20de%20Valeira/@41.164,-7.341,17z","🌊 Barragem de Valeira")</f>
        <v>🌊 Barragem de Valeira</v>
      </c>
    </row>
    <row r="9" spans="1:11" ht="110" customHeight="1" x14ac:dyDescent="0.35">
      <c r="A9" s="101">
        <v>6</v>
      </c>
      <c r="B9" s="102" t="s">
        <v>809</v>
      </c>
      <c r="C9" s="103" t="s">
        <v>791</v>
      </c>
      <c r="D9" s="101" t="s">
        <v>792</v>
      </c>
      <c r="E9" s="101">
        <v>49</v>
      </c>
      <c r="F9" s="1280">
        <v>41.137222000000001</v>
      </c>
      <c r="G9" s="1280">
        <v>-7.1169440000000002</v>
      </c>
      <c r="H9" s="324" t="s">
        <v>810</v>
      </c>
      <c r="I9" s="104" t="s">
        <v>811</v>
      </c>
      <c r="J9" s="101" t="s">
        <v>795</v>
      </c>
      <c r="K9" s="141" t="str">
        <f>HYPERLINK("https://www.google.com/maps/search/Barragem%20do%20Pocinho/@41.135,-7.112,17z","🌊 Barragem do Pocinho")</f>
        <v>🌊 Barragem do Pocinho</v>
      </c>
    </row>
    <row r="10" spans="1:11" ht="110" customHeight="1" x14ac:dyDescent="0.35">
      <c r="A10" s="97">
        <v>7</v>
      </c>
      <c r="B10" s="98" t="s">
        <v>812</v>
      </c>
      <c r="C10" s="99" t="s">
        <v>791</v>
      </c>
      <c r="D10" s="97" t="s">
        <v>792</v>
      </c>
      <c r="E10" s="97">
        <v>123</v>
      </c>
      <c r="F10" s="1279">
        <v>41.170833000000002</v>
      </c>
      <c r="G10" s="1279">
        <v>-7.0347220000000004</v>
      </c>
      <c r="H10" s="323" t="s">
        <v>813</v>
      </c>
      <c r="I10" s="100" t="s">
        <v>814</v>
      </c>
      <c r="J10" s="97" t="s">
        <v>795</v>
      </c>
      <c r="K10" s="140" t="str">
        <f>HYPERLINK("https://www.google.com/maps/search/Barragem%20do%20Baixo%20Sabor/@41.171,-7.036,17z","🌊 Barragem do Baixo Sabor")</f>
        <v>🌊 Barragem do Baixo Sabor</v>
      </c>
    </row>
    <row r="11" spans="1:11" ht="110" customHeight="1" x14ac:dyDescent="0.35">
      <c r="A11" s="101">
        <v>8</v>
      </c>
      <c r="B11" s="102" t="s">
        <v>815</v>
      </c>
      <c r="C11" s="103" t="s">
        <v>791</v>
      </c>
      <c r="D11" s="101" t="s">
        <v>792</v>
      </c>
      <c r="E11" s="101">
        <v>108</v>
      </c>
      <c r="F11" s="1280">
        <v>41.213611</v>
      </c>
      <c r="G11" s="1280">
        <v>-7.4227780000000001</v>
      </c>
      <c r="H11" s="324" t="s">
        <v>816</v>
      </c>
      <c r="I11" s="104" t="s">
        <v>817</v>
      </c>
      <c r="J11" s="101" t="s">
        <v>795</v>
      </c>
      <c r="K11" s="141" t="str">
        <f>HYPERLINK("https://www.google.com/maps/search/Barragem%20de%20Foz%20Tua/@41.212,-7.423,17z","🌊 Barragem de Foz Tua")</f>
        <v>🌊 Barragem de Foz Tua</v>
      </c>
    </row>
    <row r="12" spans="1:11" ht="110" customHeight="1" x14ac:dyDescent="0.35">
      <c r="A12" s="97">
        <v>9</v>
      </c>
      <c r="B12" s="98" t="s">
        <v>818</v>
      </c>
      <c r="C12" s="105" t="s">
        <v>819</v>
      </c>
      <c r="D12" s="97" t="s">
        <v>792</v>
      </c>
      <c r="E12" s="97">
        <v>110</v>
      </c>
      <c r="F12" s="1279">
        <v>41.841667000000001</v>
      </c>
      <c r="G12" s="1279">
        <v>-8.1961110000000001</v>
      </c>
      <c r="H12" s="323" t="s">
        <v>820</v>
      </c>
      <c r="I12" s="100" t="s">
        <v>821</v>
      </c>
      <c r="J12" s="97" t="s">
        <v>795</v>
      </c>
      <c r="K12" s="140" t="str">
        <f>HYPERLINK("https://www.google.com/maps/search/Barragem%20do%20Alto%20Lindoso/@41.812,-8.208,17z","🌊 Barragem do Alto Lindoso")</f>
        <v>🌊 Barragem do Alto Lindoso</v>
      </c>
    </row>
    <row r="13" spans="1:11" ht="110" customHeight="1" x14ac:dyDescent="0.35">
      <c r="A13" s="101">
        <v>10</v>
      </c>
      <c r="B13" s="102" t="s">
        <v>822</v>
      </c>
      <c r="C13" s="106" t="s">
        <v>819</v>
      </c>
      <c r="D13" s="101" t="s">
        <v>792</v>
      </c>
      <c r="E13" s="101">
        <v>97</v>
      </c>
      <c r="F13" s="1280">
        <v>41.676943999999999</v>
      </c>
      <c r="G13" s="1280">
        <v>-8.0044439999999994</v>
      </c>
      <c r="H13" s="324" t="s">
        <v>823</v>
      </c>
      <c r="I13" s="104" t="s">
        <v>824</v>
      </c>
      <c r="J13" s="101" t="s">
        <v>795</v>
      </c>
      <c r="K13" s="141" t="str">
        <f>HYPERLINK("https://www.google.com/maps/search/Barragem%20de%20Venda%20Nova/@41.67,-8.026,17z","🌊 Barragem de Venda Nova")</f>
        <v>🌊 Barragem de Venda Nova</v>
      </c>
    </row>
    <row r="14" spans="1:11" ht="110" customHeight="1" x14ac:dyDescent="0.35">
      <c r="A14" s="97">
        <v>11</v>
      </c>
      <c r="B14" s="98" t="s">
        <v>825</v>
      </c>
      <c r="C14" s="105" t="s">
        <v>819</v>
      </c>
      <c r="D14" s="97" t="s">
        <v>792</v>
      </c>
      <c r="E14" s="97">
        <v>76</v>
      </c>
      <c r="F14" s="1279">
        <v>41.649444000000003</v>
      </c>
      <c r="G14" s="1279">
        <v>-8.1441669999999995</v>
      </c>
      <c r="H14" s="323" t="s">
        <v>826</v>
      </c>
      <c r="I14" s="100" t="s">
        <v>827</v>
      </c>
      <c r="J14" s="97" t="s">
        <v>795</v>
      </c>
      <c r="K14" s="140" t="str">
        <f>HYPERLINK("https://www.google.com/maps/search/Barragem%20da%20Cani%C3%A7ada/@41.651,-8.136,17z","🌊 Barragem da Caniçada")</f>
        <v>🌊 Barragem da Caniçada</v>
      </c>
    </row>
    <row r="15" spans="1:11" ht="110" customHeight="1" x14ac:dyDescent="0.35">
      <c r="A15" s="101">
        <v>12</v>
      </c>
      <c r="B15" s="102" t="s">
        <v>828</v>
      </c>
      <c r="C15" s="106" t="s">
        <v>819</v>
      </c>
      <c r="D15" s="101" t="s">
        <v>792</v>
      </c>
      <c r="E15" s="101">
        <v>94</v>
      </c>
      <c r="F15" s="1280">
        <v>41.745832999999998</v>
      </c>
      <c r="G15" s="1280">
        <v>-7.8494440000000001</v>
      </c>
      <c r="H15" s="324" t="s">
        <v>829</v>
      </c>
      <c r="I15" s="104" t="s">
        <v>830</v>
      </c>
      <c r="J15" s="101" t="s">
        <v>795</v>
      </c>
      <c r="K15" s="141" t="str">
        <f>HYPERLINK("https://www.google.com/maps/search/Barragem%20do%20Alto%20Rabag%C3%A3o/@41.737,-7.854,17z","🌊 Barragem do Alto Rabagão")</f>
        <v>🌊 Barragem do Alto Rabagão</v>
      </c>
    </row>
    <row r="16" spans="1:11" ht="110" customHeight="1" x14ac:dyDescent="0.35">
      <c r="A16" s="97">
        <v>13</v>
      </c>
      <c r="B16" s="98" t="s">
        <v>831</v>
      </c>
      <c r="C16" s="105" t="s">
        <v>819</v>
      </c>
      <c r="D16" s="97" t="s">
        <v>792</v>
      </c>
      <c r="E16" s="97">
        <v>110</v>
      </c>
      <c r="F16" s="1279">
        <v>41.768889000000001</v>
      </c>
      <c r="G16" s="1279">
        <v>-7.9452780000000001</v>
      </c>
      <c r="H16" s="323" t="s">
        <v>832</v>
      </c>
      <c r="I16" s="100" t="s">
        <v>833</v>
      </c>
      <c r="J16" s="97" t="s">
        <v>795</v>
      </c>
      <c r="K16" s="140" t="str">
        <f>HYPERLINK("https://www.google.com/maps/search/Barragem%20de%20Paradela/@41.766,-7.954,17z","🌊 Barragem de Paradela")</f>
        <v>🌊 Barragem de Paradela</v>
      </c>
    </row>
    <row r="17" spans="1:11" ht="110" customHeight="1" x14ac:dyDescent="0.35">
      <c r="A17" s="101">
        <v>14</v>
      </c>
      <c r="B17" s="102" t="s">
        <v>834</v>
      </c>
      <c r="C17" s="107" t="s">
        <v>835</v>
      </c>
      <c r="D17" s="101" t="s">
        <v>836</v>
      </c>
      <c r="E17" s="101">
        <v>115</v>
      </c>
      <c r="F17" s="1280">
        <v>39.549166999999997</v>
      </c>
      <c r="G17" s="1280">
        <v>-8.3219440000000002</v>
      </c>
      <c r="H17" s="324" t="s">
        <v>837</v>
      </c>
      <c r="I17" s="104" t="s">
        <v>838</v>
      </c>
      <c r="J17" s="101" t="s">
        <v>795</v>
      </c>
      <c r="K17" s="141" t="str">
        <f>HYPERLINK("https://www.google.com/maps/search/Barragem%20de%20Castelo%20de%20Bode/@39.549,-8.324,17z","🌊 Barragem de Castelo de Bode")</f>
        <v>🌊 Barragem de Castelo de Bode</v>
      </c>
    </row>
    <row r="18" spans="1:11" ht="110" customHeight="1" x14ac:dyDescent="0.35">
      <c r="A18" s="97">
        <v>15</v>
      </c>
      <c r="B18" s="98" t="s">
        <v>839</v>
      </c>
      <c r="C18" s="108" t="s">
        <v>835</v>
      </c>
      <c r="D18" s="97" t="s">
        <v>836</v>
      </c>
      <c r="E18" s="97">
        <v>136</v>
      </c>
      <c r="F18" s="1279">
        <v>39.923056000000003</v>
      </c>
      <c r="G18" s="1279">
        <v>-8.1144440000000007</v>
      </c>
      <c r="H18" s="323" t="s">
        <v>840</v>
      </c>
      <c r="I18" s="100" t="s">
        <v>841</v>
      </c>
      <c r="J18" s="97" t="s">
        <v>795</v>
      </c>
      <c r="K18" s="140" t="str">
        <f>HYPERLINK("https://www.google.com/maps/search/Barragem%20do%20Cabril/@39.915,-8.134,17z","🌊 Barragem do Cabril")</f>
        <v>🌊 Barragem do Cabril</v>
      </c>
    </row>
    <row r="19" spans="1:11" ht="110" customHeight="1" x14ac:dyDescent="0.35">
      <c r="A19" s="101">
        <v>16</v>
      </c>
      <c r="B19" s="102" t="s">
        <v>842</v>
      </c>
      <c r="C19" s="107" t="s">
        <v>835</v>
      </c>
      <c r="D19" s="101" t="s">
        <v>836</v>
      </c>
      <c r="E19" s="101">
        <v>63</v>
      </c>
      <c r="F19" s="1280">
        <v>39.847222000000002</v>
      </c>
      <c r="G19" s="1280">
        <v>-8.2286110000000008</v>
      </c>
      <c r="H19" s="324" t="s">
        <v>843</v>
      </c>
      <c r="I19" s="104" t="s">
        <v>844</v>
      </c>
      <c r="J19" s="101" t="s">
        <v>795</v>
      </c>
      <c r="K19" s="141" t="str">
        <f>HYPERLINK("https://www.google.com/maps/search/Barragem%20da%20Bou%C3%A7%C3%A3/@39.845,-8.225,17z","🌊 Barragem da Bouçã")</f>
        <v>🌊 Barragem da Bouçã</v>
      </c>
    </row>
    <row r="20" spans="1:11" ht="110" customHeight="1" x14ac:dyDescent="0.35">
      <c r="A20" s="97">
        <v>17</v>
      </c>
      <c r="B20" s="98" t="s">
        <v>845</v>
      </c>
      <c r="C20" s="108" t="s">
        <v>835</v>
      </c>
      <c r="D20" s="97" t="s">
        <v>836</v>
      </c>
      <c r="E20" s="97">
        <v>60</v>
      </c>
      <c r="F20" s="1279">
        <v>39.504167000000002</v>
      </c>
      <c r="G20" s="1279">
        <v>-7.8569440000000004</v>
      </c>
      <c r="H20" s="323" t="s">
        <v>846</v>
      </c>
      <c r="I20" s="100" t="s">
        <v>847</v>
      </c>
      <c r="J20" s="97" t="s">
        <v>795</v>
      </c>
      <c r="K20" s="140" t="str">
        <f>HYPERLINK("https://www.google.com/maps/search/Barragem%20de%20Pracana/@39.501,-7.851,17z","🌊 Barragem de Pracana")</f>
        <v>🌊 Barragem de Pracana</v>
      </c>
    </row>
    <row r="21" spans="1:11" ht="110" customHeight="1" x14ac:dyDescent="0.35">
      <c r="A21" s="101">
        <v>18</v>
      </c>
      <c r="B21" s="102" t="s">
        <v>848</v>
      </c>
      <c r="C21" s="107" t="s">
        <v>835</v>
      </c>
      <c r="D21" s="101" t="s">
        <v>836</v>
      </c>
      <c r="E21" s="101">
        <v>30</v>
      </c>
      <c r="F21" s="1280">
        <v>39.489167000000002</v>
      </c>
      <c r="G21" s="1280">
        <v>-7.9483329999999999</v>
      </c>
      <c r="H21" s="324" t="s">
        <v>849</v>
      </c>
      <c r="I21" s="104" t="s">
        <v>850</v>
      </c>
      <c r="J21" s="101" t="s">
        <v>795</v>
      </c>
      <c r="K21" s="141" t="str">
        <f>HYPERLINK("https://www.google.com/maps/search/Barragem%20de%20Belver/@39.489,-7.951,17z","🌊 Barragem de Belver")</f>
        <v>🌊 Barragem de Belver</v>
      </c>
    </row>
    <row r="22" spans="1:11" ht="110" customHeight="1" x14ac:dyDescent="0.35">
      <c r="A22" s="97">
        <v>19</v>
      </c>
      <c r="B22" s="98" t="s">
        <v>851</v>
      </c>
      <c r="C22" s="109" t="s">
        <v>852</v>
      </c>
      <c r="D22" s="97" t="s">
        <v>853</v>
      </c>
      <c r="E22" s="97">
        <v>96</v>
      </c>
      <c r="F22" s="1279">
        <v>38.199167000000003</v>
      </c>
      <c r="G22" s="1279">
        <v>-7.4894439999999998</v>
      </c>
      <c r="H22" s="323" t="s">
        <v>854</v>
      </c>
      <c r="I22" s="100" t="s">
        <v>855</v>
      </c>
      <c r="J22" s="97" t="s">
        <v>856</v>
      </c>
      <c r="K22" s="140" t="str">
        <f>HYPERLINK("https://www.google.com/maps/search/Barragem%20do%20Alqueva/@38.197,-7.487,17z","🌊 Barragem do Alqueva")</f>
        <v>🌊 Barragem do Alqueva</v>
      </c>
    </row>
    <row r="23" spans="1:11" ht="110" customHeight="1" x14ac:dyDescent="0.35">
      <c r="A23" s="101">
        <v>20</v>
      </c>
      <c r="B23" s="102" t="s">
        <v>857</v>
      </c>
      <c r="C23" s="110" t="s">
        <v>852</v>
      </c>
      <c r="D23" s="101" t="s">
        <v>853</v>
      </c>
      <c r="E23" s="101">
        <v>55</v>
      </c>
      <c r="F23" s="1280">
        <v>39.050832999999997</v>
      </c>
      <c r="G23" s="1280">
        <v>-7.9402780000000002</v>
      </c>
      <c r="H23" s="324" t="s">
        <v>858</v>
      </c>
      <c r="I23" s="104" t="s">
        <v>859</v>
      </c>
      <c r="J23" s="101" t="s">
        <v>795</v>
      </c>
      <c r="K23" s="141" t="str">
        <f>HYPERLINK("https://www.google.com/maps/search/Barragem%20do%20Maranh%C3%A3o/@39.049,-7.945,17z","🌊 Barragem do Maranhão")</f>
        <v>🌊 Barragem do Maranhão</v>
      </c>
    </row>
    <row r="24" spans="1:11" ht="110" customHeight="1" x14ac:dyDescent="0.35">
      <c r="A24" s="97">
        <v>21</v>
      </c>
      <c r="B24" s="98" t="s">
        <v>860</v>
      </c>
      <c r="C24" s="109" t="s">
        <v>852</v>
      </c>
      <c r="D24" s="97" t="s">
        <v>853</v>
      </c>
      <c r="E24" s="97">
        <v>26</v>
      </c>
      <c r="F24" s="1279">
        <v>38.176389</v>
      </c>
      <c r="G24" s="1279">
        <v>-8.1141670000000001</v>
      </c>
      <c r="H24" s="323" t="s">
        <v>861</v>
      </c>
      <c r="I24" s="100" t="s">
        <v>862</v>
      </c>
      <c r="J24" s="97" t="s">
        <v>795</v>
      </c>
      <c r="K24" s="140" t="str">
        <f>HYPERLINK("https://www.google.com/maps/search/Barragem%20de%20Odivelas/@38.175,-8.112,17z","🌊 Barragem de Odivelas")</f>
        <v>🌊 Barragem de Odivelas</v>
      </c>
    </row>
    <row r="25" spans="1:11" ht="110" customHeight="1" x14ac:dyDescent="0.35">
      <c r="A25" s="101">
        <v>22</v>
      </c>
      <c r="B25" s="102" t="s">
        <v>863</v>
      </c>
      <c r="C25" s="110" t="s">
        <v>852</v>
      </c>
      <c r="D25" s="101" t="s">
        <v>853</v>
      </c>
      <c r="E25" s="101">
        <v>83</v>
      </c>
      <c r="F25" s="1280">
        <v>37.513610999999997</v>
      </c>
      <c r="G25" s="1280">
        <v>-8.4377779999999998</v>
      </c>
      <c r="H25" s="324" t="s">
        <v>864</v>
      </c>
      <c r="I25" s="104" t="s">
        <v>865</v>
      </c>
      <c r="J25" s="101" t="s">
        <v>795</v>
      </c>
      <c r="K25" s="141" t="str">
        <f>HYPERLINK("https://www.google.com/maps/search/Barragem%20de%20Santa%20Clara/@37.514,-8.441,17z","🌊 Barragem de Santa Clara")</f>
        <v>🌊 Barragem de Santa Clara</v>
      </c>
    </row>
    <row r="26" spans="1:11" ht="110" customHeight="1" x14ac:dyDescent="0.35">
      <c r="A26" s="97">
        <v>23</v>
      </c>
      <c r="B26" s="98" t="s">
        <v>866</v>
      </c>
      <c r="C26" s="109" t="s">
        <v>852</v>
      </c>
      <c r="D26" s="97" t="s">
        <v>853</v>
      </c>
      <c r="E26" s="97">
        <v>48</v>
      </c>
      <c r="F26" s="1279">
        <v>39.071666999999998</v>
      </c>
      <c r="G26" s="1279">
        <v>-8.1727779999999992</v>
      </c>
      <c r="H26" s="323" t="s">
        <v>867</v>
      </c>
      <c r="I26" s="100" t="s">
        <v>868</v>
      </c>
      <c r="J26" s="97" t="s">
        <v>795</v>
      </c>
      <c r="K26" s="140" t="str">
        <f>HYPERLINK("https://www.google.com/maps/search/Barragem%20de%20Montargil/@39.074,-8.178,17z","🌊 Barragem de Montargil")</f>
        <v>🌊 Barragem de Montargil</v>
      </c>
    </row>
    <row r="27" spans="1:11" ht="110" customHeight="1" x14ac:dyDescent="0.35">
      <c r="B27" s="111" t="s">
        <v>869</v>
      </c>
      <c r="H27" s="305" t="s">
        <v>870</v>
      </c>
    </row>
    <row r="29" spans="1:11" ht="22" customHeight="1" x14ac:dyDescent="0.35">
      <c r="A29" s="1370" t="s">
        <v>871</v>
      </c>
      <c r="B29" s="1313"/>
      <c r="C29" s="1313"/>
      <c r="D29" s="1313"/>
      <c r="E29" s="1313"/>
      <c r="F29" s="1313"/>
      <c r="G29" s="1313"/>
      <c r="H29" s="1313"/>
      <c r="I29" s="1313"/>
      <c r="J29" s="1313"/>
      <c r="K29" s="1313"/>
    </row>
    <row r="30" spans="1:11" ht="110" customHeight="1" x14ac:dyDescent="0.35">
      <c r="A30" s="350">
        <v>1</v>
      </c>
      <c r="B30" s="251" t="s">
        <v>872</v>
      </c>
      <c r="C30" s="251" t="s">
        <v>873</v>
      </c>
      <c r="D30" s="251" t="s">
        <v>524</v>
      </c>
      <c r="E30" s="251">
        <v>59</v>
      </c>
      <c r="F30" s="1281">
        <v>32.756100000000004</v>
      </c>
      <c r="G30" s="1281">
        <v>-17.068100000000001</v>
      </c>
      <c r="H30" s="321" t="s">
        <v>874</v>
      </c>
      <c r="I30" s="251" t="s">
        <v>875</v>
      </c>
      <c r="J30" s="251" t="s">
        <v>876</v>
      </c>
      <c r="K30" s="291" t="str">
        <f>HYPERLINK("https://www.google.com/maps/search/Serra%20de%20%C3%81gua%20Madeira/@32.7561,-17.0681,16z","📍 Serra de Água Madeira")</f>
        <v>📍 Serra de Água Madeira</v>
      </c>
    </row>
    <row r="31" spans="1:11" ht="110" customHeight="1" x14ac:dyDescent="0.35">
      <c r="A31" s="356">
        <v>2</v>
      </c>
      <c r="B31" s="254" t="s">
        <v>877</v>
      </c>
      <c r="C31" s="254" t="s">
        <v>878</v>
      </c>
      <c r="D31" s="254" t="s">
        <v>524</v>
      </c>
      <c r="E31" s="254">
        <v>28</v>
      </c>
      <c r="F31" s="1282">
        <v>32.728099999999998</v>
      </c>
      <c r="G31" s="1282">
        <v>-16.9481</v>
      </c>
      <c r="H31" s="322" t="s">
        <v>879</v>
      </c>
      <c r="I31" s="254" t="s">
        <v>880</v>
      </c>
      <c r="J31" s="254" t="s">
        <v>876</v>
      </c>
      <c r="K31" s="366" t="str">
        <f>HYPERLINK("https://www.google.com/maps/search/Cov%C3%A3o%20Facho%20Madeira/@32.7281,-16.9481,16z","📍 Covão Facho Madeira")</f>
        <v>📍 Covão Facho Madeira</v>
      </c>
    </row>
    <row r="32" spans="1:11" ht="110" customHeight="1" x14ac:dyDescent="0.35">
      <c r="A32" s="350">
        <v>3</v>
      </c>
      <c r="B32" s="251" t="s">
        <v>881</v>
      </c>
      <c r="C32" s="251" t="s">
        <v>882</v>
      </c>
      <c r="D32" s="251" t="s">
        <v>524</v>
      </c>
      <c r="E32" s="251">
        <v>45</v>
      </c>
      <c r="F32" s="1281">
        <v>32.7181</v>
      </c>
      <c r="G32" s="1281">
        <v>-17.178100000000001</v>
      </c>
      <c r="H32" s="321" t="s">
        <v>883</v>
      </c>
      <c r="I32" s="251" t="s">
        <v>884</v>
      </c>
      <c r="J32" s="251" t="s">
        <v>876</v>
      </c>
      <c r="K32" s="291" t="str">
        <f>HYPERLINK("https://www.google.com/maps/search/Calheta%20Levada%20Madeira/@32.7181,-17.1781,16z","📍 Calheta Levada Madeira")</f>
        <v>📍 Calheta Levada Madeira</v>
      </c>
    </row>
    <row r="34" spans="1:11" ht="22" customHeight="1" x14ac:dyDescent="0.35">
      <c r="A34" s="1369" t="s">
        <v>885</v>
      </c>
      <c r="B34" s="1313"/>
      <c r="C34" s="1313"/>
      <c r="D34" s="1313"/>
      <c r="E34" s="1313"/>
      <c r="F34" s="1313"/>
      <c r="G34" s="1313"/>
      <c r="H34" s="1313"/>
      <c r="I34" s="1313"/>
      <c r="J34" s="1313"/>
      <c r="K34" s="1313"/>
    </row>
    <row r="35" spans="1:11" ht="110" customHeight="1" x14ac:dyDescent="0.35">
      <c r="A35" s="344">
        <v>1</v>
      </c>
      <c r="B35" s="281" t="s">
        <v>886</v>
      </c>
      <c r="C35" s="281" t="s">
        <v>887</v>
      </c>
      <c r="D35" s="281" t="s">
        <v>522</v>
      </c>
      <c r="E35" s="281">
        <v>30</v>
      </c>
      <c r="F35" s="1283">
        <v>37.789400000000001</v>
      </c>
      <c r="G35" s="1283">
        <v>-25.786100000000001</v>
      </c>
      <c r="H35" s="322" t="s">
        <v>888</v>
      </c>
      <c r="I35" s="281" t="s">
        <v>889</v>
      </c>
      <c r="J35" s="281" t="s">
        <v>876</v>
      </c>
      <c r="K35" s="290" t="str">
        <f>HYPERLINK("https://www.google.com/maps/search/Sete%20Cidades%20Lagoa%20S%C3%A3o%20Miguel/@37.7894,-25.7861,16z","📍 Sete Cidades Lagoa São Miguel")</f>
        <v>📍 Sete Cidades Lagoa São Miguel</v>
      </c>
    </row>
    <row r="36" spans="1:11" ht="110" customHeight="1" x14ac:dyDescent="0.35">
      <c r="A36" s="342">
        <v>2</v>
      </c>
      <c r="B36" s="284" t="s">
        <v>891</v>
      </c>
      <c r="C36" s="284" t="s">
        <v>892</v>
      </c>
      <c r="D36" s="284" t="s">
        <v>522</v>
      </c>
      <c r="E36" s="284">
        <v>35</v>
      </c>
      <c r="F36" s="1284">
        <v>37.722799999999999</v>
      </c>
      <c r="G36" s="1284">
        <v>-25.467199999999998</v>
      </c>
      <c r="H36" s="321" t="s">
        <v>893</v>
      </c>
      <c r="I36" s="284" t="s">
        <v>894</v>
      </c>
      <c r="J36" s="284" t="s">
        <v>876</v>
      </c>
      <c r="K36" s="364" t="str">
        <f>HYPERLINK("https://www.google.com/maps/search/Lagoa%20do%20Fogo%20S%C3%A3o%20Miguel/@37.7228,-25.4672,16z","📍 Lagoa do Fogo São Miguel")</f>
        <v>📍 Lagoa do Fogo São Miguel</v>
      </c>
    </row>
    <row r="37" spans="1:11" ht="110" customHeight="1" x14ac:dyDescent="0.35">
      <c r="A37" s="344">
        <v>3</v>
      </c>
      <c r="B37" s="281" t="s">
        <v>895</v>
      </c>
      <c r="C37" s="281" t="s">
        <v>887</v>
      </c>
      <c r="D37" s="281" t="s">
        <v>522</v>
      </c>
      <c r="E37" s="281">
        <v>400</v>
      </c>
      <c r="F37" s="1283">
        <v>38.573099999999997</v>
      </c>
      <c r="G37" s="1283">
        <v>-28.716100000000001</v>
      </c>
      <c r="H37" s="322" t="s">
        <v>896</v>
      </c>
      <c r="I37" s="281" t="s">
        <v>897</v>
      </c>
      <c r="J37" s="281" t="s">
        <v>876</v>
      </c>
      <c r="K37" s="290" t="str">
        <f>HYPERLINK("https://www.google.com/maps/search/Caldeira%20Faial%20A%C3%A7ores/@38.5731,-28.7161,16z","📍 Caldeira Faial Açores")</f>
        <v>📍 Caldeira Faial Açores</v>
      </c>
    </row>
    <row r="38" spans="1:11" ht="110" customHeight="1" x14ac:dyDescent="0.35">
      <c r="A38" s="342">
        <v>4</v>
      </c>
      <c r="B38" s="284" t="s">
        <v>898</v>
      </c>
      <c r="C38" s="284" t="s">
        <v>899</v>
      </c>
      <c r="D38" s="284" t="s">
        <v>522</v>
      </c>
      <c r="E38" s="284">
        <v>20</v>
      </c>
      <c r="F38" s="1284">
        <v>37.768900000000002</v>
      </c>
      <c r="G38" s="1284">
        <v>-25.302</v>
      </c>
      <c r="H38" s="304" t="s">
        <v>900</v>
      </c>
      <c r="I38" s="284" t="s">
        <v>901</v>
      </c>
      <c r="J38" s="284" t="s">
        <v>902</v>
      </c>
      <c r="K38" s="364" t="str">
        <f>HYPERLINK("https://www.google.com/maps/search/Furnas%20Lagoa%20S%C3%A3o%20Miguel/@37.7689,-25.302,16z","📍 Furnas Lagoa São Miguel")</f>
        <v>📍 Furnas Lagoa São Miguel</v>
      </c>
    </row>
  </sheetData>
  <mergeCells count="4">
    <mergeCell ref="A34:K34"/>
    <mergeCell ref="A29:K29"/>
    <mergeCell ref="A1:K1"/>
    <mergeCell ref="A2:K2"/>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382B-E234-4577-ACCF-CD771BF6F182}">
  <dimension ref="A1:N408"/>
  <sheetViews>
    <sheetView zoomScale="98" zoomScaleNormal="98" workbookViewId="0">
      <pane ySplit="3" topLeftCell="A4" activePane="bottomLeft" state="frozen"/>
      <selection pane="bottomLeft" sqref="A1:XFD1048576"/>
    </sheetView>
  </sheetViews>
  <sheetFormatPr defaultRowHeight="14.5" x14ac:dyDescent="0.35"/>
  <cols>
    <col min="1" max="1" width="5.453125" customWidth="1"/>
    <col min="2" max="2" width="32.7265625" customWidth="1"/>
    <col min="3" max="3" width="12.7265625" customWidth="1"/>
    <col min="4" max="4" width="23.81640625" bestFit="1" customWidth="1"/>
    <col min="5" max="5" width="155.90625" style="333" bestFit="1" customWidth="1"/>
    <col min="6" max="6" width="55.1796875" style="333" bestFit="1" customWidth="1"/>
    <col min="7" max="7" width="21.81640625" customWidth="1"/>
    <col min="8" max="8" width="36.36328125" style="333" customWidth="1"/>
    <col min="9" max="9" width="21.81640625" customWidth="1"/>
    <col min="10" max="11" width="36.36328125" customWidth="1"/>
  </cols>
  <sheetData>
    <row r="1" spans="1:14" ht="35" customHeight="1" x14ac:dyDescent="0.35">
      <c r="A1" s="1371" t="s">
        <v>20877</v>
      </c>
      <c r="B1" s="1371"/>
      <c r="C1" s="1371"/>
      <c r="D1" s="1371"/>
      <c r="E1" s="1371"/>
      <c r="F1" s="1371"/>
      <c r="G1" s="1371"/>
      <c r="H1" s="1371"/>
      <c r="I1" s="1371"/>
      <c r="J1" s="1371"/>
      <c r="K1" s="1371"/>
    </row>
    <row r="2" spans="1:14" s="1165" customFormat="1" ht="25" customHeight="1" x14ac:dyDescent="0.35">
      <c r="A2" s="1372" t="s">
        <v>20933</v>
      </c>
      <c r="B2" s="1372"/>
      <c r="C2" s="1372"/>
      <c r="D2" s="1372"/>
      <c r="E2" s="1372"/>
      <c r="F2" s="1372"/>
      <c r="G2" s="1372"/>
      <c r="H2" s="1372"/>
      <c r="I2" s="1372"/>
      <c r="J2" s="1372"/>
      <c r="K2" s="1372"/>
      <c r="L2"/>
      <c r="M2"/>
      <c r="N2"/>
    </row>
    <row r="3" spans="1:14" ht="28" customHeight="1" x14ac:dyDescent="0.35">
      <c r="A3" s="1166" t="s">
        <v>141</v>
      </c>
      <c r="B3" s="1166" t="s">
        <v>20878</v>
      </c>
      <c r="C3" s="1166" t="s">
        <v>619</v>
      </c>
      <c r="D3" s="1166" t="s">
        <v>13178</v>
      </c>
      <c r="E3" s="1166" t="s">
        <v>8</v>
      </c>
      <c r="F3" s="1166" t="s">
        <v>20879</v>
      </c>
      <c r="G3" s="1166" t="s">
        <v>20880</v>
      </c>
      <c r="H3" s="1166" t="s">
        <v>20881</v>
      </c>
      <c r="I3" s="1166" t="s">
        <v>20882</v>
      </c>
      <c r="J3" s="1177" t="s">
        <v>21520</v>
      </c>
      <c r="K3" s="1177" t="s">
        <v>21521</v>
      </c>
    </row>
    <row r="4" spans="1:14" ht="28" customHeight="1" x14ac:dyDescent="0.35">
      <c r="A4" s="1373" t="s">
        <v>21511</v>
      </c>
      <c r="B4" s="1373"/>
      <c r="C4" s="1373"/>
      <c r="D4" s="1373"/>
      <c r="E4" s="1373"/>
      <c r="F4" s="1373"/>
      <c r="G4" s="1373"/>
      <c r="H4" s="1373"/>
      <c r="I4" s="1373"/>
      <c r="J4" s="1373"/>
      <c r="K4" s="1373"/>
    </row>
    <row r="5" spans="1:14" ht="22" customHeight="1" x14ac:dyDescent="0.35">
      <c r="A5" s="1175">
        <v>1</v>
      </c>
      <c r="B5" s="1170" t="s">
        <v>11027</v>
      </c>
      <c r="C5" s="1170" t="s">
        <v>792</v>
      </c>
      <c r="D5" s="1170" t="s">
        <v>3082</v>
      </c>
      <c r="E5" s="1174" t="s">
        <v>20883</v>
      </c>
      <c r="F5" s="1170" t="s">
        <v>20884</v>
      </c>
      <c r="G5" s="1170" t="s">
        <v>22722</v>
      </c>
      <c r="H5" s="1170" t="s">
        <v>20885</v>
      </c>
      <c r="I5" s="1170" t="s">
        <v>22824</v>
      </c>
      <c r="J5" s="1178" t="s">
        <v>22925</v>
      </c>
      <c r="K5" s="1178" t="s">
        <v>23027</v>
      </c>
    </row>
    <row r="6" spans="1:14" ht="22" customHeight="1" x14ac:dyDescent="0.35">
      <c r="A6" s="1176">
        <v>2</v>
      </c>
      <c r="B6" s="1167" t="s">
        <v>3757</v>
      </c>
      <c r="C6" s="1167" t="s">
        <v>792</v>
      </c>
      <c r="D6" s="1167" t="s">
        <v>3082</v>
      </c>
      <c r="E6" s="1168" t="s">
        <v>20886</v>
      </c>
      <c r="F6" s="1167" t="s">
        <v>20887</v>
      </c>
      <c r="G6" s="1167" t="s">
        <v>22723</v>
      </c>
      <c r="H6" s="1167" t="s">
        <v>20888</v>
      </c>
      <c r="I6" s="1167" t="s">
        <v>22825</v>
      </c>
      <c r="J6" s="1179" t="s">
        <v>22926</v>
      </c>
      <c r="K6" s="1179" t="s">
        <v>23028</v>
      </c>
    </row>
    <row r="7" spans="1:14" ht="22" customHeight="1" x14ac:dyDescent="0.35">
      <c r="A7" s="1175">
        <v>3</v>
      </c>
      <c r="B7" s="1170" t="s">
        <v>3275</v>
      </c>
      <c r="C7" s="1170" t="s">
        <v>792</v>
      </c>
      <c r="D7" s="1170" t="s">
        <v>1985</v>
      </c>
      <c r="E7" s="1174" t="s">
        <v>20889</v>
      </c>
      <c r="F7" s="1170" t="s">
        <v>20890</v>
      </c>
      <c r="G7" s="1170" t="s">
        <v>22724</v>
      </c>
      <c r="H7" s="1170" t="s">
        <v>20891</v>
      </c>
      <c r="I7" s="1170" t="s">
        <v>22826</v>
      </c>
      <c r="J7" s="1178" t="s">
        <v>22927</v>
      </c>
      <c r="K7" s="1178" t="s">
        <v>23029</v>
      </c>
    </row>
    <row r="8" spans="1:14" ht="22" customHeight="1" x14ac:dyDescent="0.35">
      <c r="A8" s="1176">
        <v>4</v>
      </c>
      <c r="B8" s="1167" t="s">
        <v>20892</v>
      </c>
      <c r="C8" s="1167" t="s">
        <v>792</v>
      </c>
      <c r="D8" s="1167" t="s">
        <v>1552</v>
      </c>
      <c r="E8" s="1168" t="s">
        <v>20893</v>
      </c>
      <c r="F8" s="1167" t="s">
        <v>20894</v>
      </c>
      <c r="G8" s="1167" t="s">
        <v>22725</v>
      </c>
      <c r="H8" s="1167" t="s">
        <v>20895</v>
      </c>
      <c r="I8" s="1167" t="s">
        <v>22827</v>
      </c>
      <c r="J8" s="1179" t="s">
        <v>22928</v>
      </c>
      <c r="K8" s="1179" t="s">
        <v>23030</v>
      </c>
    </row>
    <row r="9" spans="1:14" ht="22" customHeight="1" x14ac:dyDescent="0.35">
      <c r="A9" s="1175">
        <v>5</v>
      </c>
      <c r="B9" s="1170" t="s">
        <v>3767</v>
      </c>
      <c r="C9" s="1170" t="s">
        <v>792</v>
      </c>
      <c r="D9" s="1170" t="s">
        <v>1935</v>
      </c>
      <c r="E9" s="1174" t="s">
        <v>20896</v>
      </c>
      <c r="F9" s="1170" t="s">
        <v>20897</v>
      </c>
      <c r="G9" s="1170" t="s">
        <v>22726</v>
      </c>
      <c r="H9" s="1170" t="s">
        <v>20898</v>
      </c>
      <c r="I9" s="1170" t="s">
        <v>22828</v>
      </c>
      <c r="J9" s="1178" t="s">
        <v>22929</v>
      </c>
      <c r="K9" s="1178" t="s">
        <v>23031</v>
      </c>
    </row>
    <row r="10" spans="1:14" ht="22" customHeight="1" x14ac:dyDescent="0.35">
      <c r="A10" s="1176">
        <v>6</v>
      </c>
      <c r="B10" s="1167" t="s">
        <v>20899</v>
      </c>
      <c r="C10" s="1167" t="s">
        <v>792</v>
      </c>
      <c r="D10" s="1167" t="s">
        <v>3812</v>
      </c>
      <c r="E10" s="1168" t="s">
        <v>20900</v>
      </c>
      <c r="F10" s="1167" t="s">
        <v>20901</v>
      </c>
      <c r="G10" s="1167" t="s">
        <v>22727</v>
      </c>
      <c r="H10" s="1167" t="s">
        <v>20902</v>
      </c>
      <c r="I10" s="1167" t="s">
        <v>22829</v>
      </c>
      <c r="J10" s="1179" t="s">
        <v>22930</v>
      </c>
      <c r="K10" s="1179" t="s">
        <v>23032</v>
      </c>
    </row>
    <row r="11" spans="1:14" ht="22" customHeight="1" x14ac:dyDescent="0.35">
      <c r="A11" s="1175">
        <v>7</v>
      </c>
      <c r="B11" s="1170" t="s">
        <v>20903</v>
      </c>
      <c r="C11" s="1170" t="s">
        <v>792</v>
      </c>
      <c r="D11" s="1170" t="s">
        <v>1149</v>
      </c>
      <c r="E11" s="1174" t="s">
        <v>20904</v>
      </c>
      <c r="F11" s="1170" t="s">
        <v>20905</v>
      </c>
      <c r="G11" s="1170" t="s">
        <v>22728</v>
      </c>
      <c r="H11" s="1170" t="s">
        <v>20906</v>
      </c>
      <c r="I11" s="1170" t="s">
        <v>22830</v>
      </c>
      <c r="J11" s="1178" t="s">
        <v>22931</v>
      </c>
      <c r="K11" s="1178" t="s">
        <v>23033</v>
      </c>
    </row>
    <row r="12" spans="1:14" ht="22" customHeight="1" x14ac:dyDescent="0.35">
      <c r="A12" s="1176">
        <v>8</v>
      </c>
      <c r="B12" s="1167" t="s">
        <v>20907</v>
      </c>
      <c r="C12" s="1167" t="s">
        <v>792</v>
      </c>
      <c r="D12" s="1167" t="s">
        <v>1902</v>
      </c>
      <c r="E12" s="1168" t="s">
        <v>20908</v>
      </c>
      <c r="F12" s="1167" t="s">
        <v>20909</v>
      </c>
      <c r="G12" s="1167" t="s">
        <v>22729</v>
      </c>
      <c r="H12" s="1167" t="s">
        <v>20910</v>
      </c>
      <c r="I12" s="1167" t="s">
        <v>22831</v>
      </c>
      <c r="J12" s="1179" t="s">
        <v>22932</v>
      </c>
      <c r="K12" s="1179" t="s">
        <v>23034</v>
      </c>
    </row>
    <row r="13" spans="1:14" ht="22" customHeight="1" x14ac:dyDescent="0.35">
      <c r="A13" s="1175">
        <v>9</v>
      </c>
      <c r="B13" s="1170" t="s">
        <v>20911</v>
      </c>
      <c r="C13" s="1170" t="s">
        <v>792</v>
      </c>
      <c r="D13" s="1170" t="s">
        <v>9798</v>
      </c>
      <c r="E13" s="1174" t="s">
        <v>20912</v>
      </c>
      <c r="F13" s="1170" t="s">
        <v>20913</v>
      </c>
      <c r="G13" s="1170" t="s">
        <v>22730</v>
      </c>
      <c r="H13" s="1170" t="s">
        <v>20914</v>
      </c>
      <c r="I13" s="1170" t="s">
        <v>22832</v>
      </c>
      <c r="J13" s="1178" t="s">
        <v>22933</v>
      </c>
      <c r="K13" s="1178" t="s">
        <v>23035</v>
      </c>
    </row>
    <row r="14" spans="1:14" ht="22" customHeight="1" x14ac:dyDescent="0.35">
      <c r="A14" s="1176">
        <v>10</v>
      </c>
      <c r="B14" s="1167" t="s">
        <v>3997</v>
      </c>
      <c r="C14" s="1167" t="s">
        <v>792</v>
      </c>
      <c r="D14" s="1167" t="s">
        <v>1776</v>
      </c>
      <c r="E14" s="1168" t="s">
        <v>20915</v>
      </c>
      <c r="F14" s="1167" t="s">
        <v>20934</v>
      </c>
      <c r="G14" s="1167" t="s">
        <v>22731</v>
      </c>
      <c r="H14" s="1167" t="s">
        <v>20935</v>
      </c>
      <c r="I14" s="1167" t="s">
        <v>22833</v>
      </c>
      <c r="J14" s="1179" t="s">
        <v>22934</v>
      </c>
      <c r="K14" s="1179" t="s">
        <v>23036</v>
      </c>
    </row>
    <row r="15" spans="1:14" ht="22" customHeight="1" x14ac:dyDescent="0.35">
      <c r="A15" s="1175">
        <v>11</v>
      </c>
      <c r="B15" s="1170" t="s">
        <v>20936</v>
      </c>
      <c r="C15" s="1170" t="s">
        <v>792</v>
      </c>
      <c r="D15" s="1170" t="s">
        <v>3082</v>
      </c>
      <c r="E15" s="1174" t="s">
        <v>20937</v>
      </c>
      <c r="F15" s="1170" t="s">
        <v>20938</v>
      </c>
      <c r="G15" s="1170" t="s">
        <v>22732</v>
      </c>
      <c r="H15" s="1170" t="s">
        <v>20939</v>
      </c>
      <c r="I15" s="1170" t="s">
        <v>22834</v>
      </c>
      <c r="J15" s="1178" t="s">
        <v>22935</v>
      </c>
      <c r="K15" s="1178" t="s">
        <v>23037</v>
      </c>
    </row>
    <row r="16" spans="1:14" ht="22" customHeight="1" x14ac:dyDescent="0.35">
      <c r="A16" s="1176">
        <v>12</v>
      </c>
      <c r="B16" s="1167" t="s">
        <v>20940</v>
      </c>
      <c r="C16" s="1167" t="s">
        <v>792</v>
      </c>
      <c r="D16" s="1167" t="s">
        <v>1149</v>
      </c>
      <c r="E16" s="1168" t="s">
        <v>20941</v>
      </c>
      <c r="F16" s="1167" t="s">
        <v>20942</v>
      </c>
      <c r="G16" s="1167" t="s">
        <v>22733</v>
      </c>
      <c r="H16" s="1167" t="s">
        <v>20943</v>
      </c>
      <c r="I16" s="1167" t="s">
        <v>22835</v>
      </c>
      <c r="J16" s="1179" t="s">
        <v>22936</v>
      </c>
      <c r="K16" s="1179" t="s">
        <v>23038</v>
      </c>
    </row>
    <row r="17" spans="1:11" ht="22" customHeight="1" x14ac:dyDescent="0.35">
      <c r="A17" s="1175">
        <v>13</v>
      </c>
      <c r="B17" s="1170" t="s">
        <v>20944</v>
      </c>
      <c r="C17" s="1170" t="s">
        <v>792</v>
      </c>
      <c r="D17" s="1170" t="s">
        <v>1823</v>
      </c>
      <c r="E17" s="1174" t="s">
        <v>20945</v>
      </c>
      <c r="F17" s="1170" t="s">
        <v>20946</v>
      </c>
      <c r="G17" s="1170" t="s">
        <v>22734</v>
      </c>
      <c r="H17" s="1170" t="s">
        <v>20947</v>
      </c>
      <c r="I17" s="1170" t="s">
        <v>22836</v>
      </c>
      <c r="J17" s="1178" t="s">
        <v>22937</v>
      </c>
      <c r="K17" s="1178" t="s">
        <v>23039</v>
      </c>
    </row>
    <row r="18" spans="1:11" ht="22" customHeight="1" x14ac:dyDescent="0.35">
      <c r="A18" s="1176">
        <v>14</v>
      </c>
      <c r="B18" s="1167" t="s">
        <v>20948</v>
      </c>
      <c r="C18" s="1167" t="s">
        <v>792</v>
      </c>
      <c r="D18" s="1167" t="s">
        <v>3082</v>
      </c>
      <c r="E18" s="1168" t="s">
        <v>20949</v>
      </c>
      <c r="F18" s="1167" t="s">
        <v>20950</v>
      </c>
      <c r="G18" s="1167" t="s">
        <v>22735</v>
      </c>
      <c r="H18" s="1167" t="s">
        <v>7536</v>
      </c>
      <c r="I18" s="1167" t="s">
        <v>22837</v>
      </c>
      <c r="J18" s="1179" t="s">
        <v>22938</v>
      </c>
      <c r="K18" s="1179" t="s">
        <v>23040</v>
      </c>
    </row>
    <row r="19" spans="1:11" ht="22" customHeight="1" x14ac:dyDescent="0.35">
      <c r="A19" s="1175">
        <v>15</v>
      </c>
      <c r="B19" s="1170" t="s">
        <v>20951</v>
      </c>
      <c r="C19" s="1170" t="s">
        <v>792</v>
      </c>
      <c r="D19" s="1170" t="s">
        <v>1784</v>
      </c>
      <c r="E19" s="1174" t="s">
        <v>20952</v>
      </c>
      <c r="F19" s="1170" t="s">
        <v>20953</v>
      </c>
      <c r="G19" s="1170" t="s">
        <v>22736</v>
      </c>
      <c r="H19" s="1170" t="s">
        <v>7208</v>
      </c>
      <c r="I19" s="1170" t="s">
        <v>22838</v>
      </c>
      <c r="J19" s="1178" t="s">
        <v>22939</v>
      </c>
      <c r="K19" s="1178" t="s">
        <v>23041</v>
      </c>
    </row>
    <row r="20" spans="1:11" ht="22" customHeight="1" x14ac:dyDescent="0.35">
      <c r="A20" s="1176">
        <v>16</v>
      </c>
      <c r="B20" s="1167" t="s">
        <v>20954</v>
      </c>
      <c r="C20" s="1167" t="s">
        <v>792</v>
      </c>
      <c r="D20" s="1167" t="s">
        <v>20955</v>
      </c>
      <c r="E20" s="1168" t="s">
        <v>20956</v>
      </c>
      <c r="F20" s="1167" t="s">
        <v>20957</v>
      </c>
      <c r="G20" s="1167" t="s">
        <v>22737</v>
      </c>
      <c r="H20" s="1167" t="s">
        <v>6751</v>
      </c>
      <c r="I20" s="1167" t="s">
        <v>22839</v>
      </c>
      <c r="J20" s="1179" t="s">
        <v>22940</v>
      </c>
      <c r="K20" s="1179" t="s">
        <v>23042</v>
      </c>
    </row>
    <row r="21" spans="1:11" ht="22" customHeight="1" x14ac:dyDescent="0.35">
      <c r="A21" s="1175">
        <v>17</v>
      </c>
      <c r="B21" s="1170" t="s">
        <v>20958</v>
      </c>
      <c r="C21" s="1170" t="s">
        <v>792</v>
      </c>
      <c r="D21" s="1170" t="s">
        <v>20959</v>
      </c>
      <c r="E21" s="1174" t="s">
        <v>20960</v>
      </c>
      <c r="F21" s="1170" t="s">
        <v>20961</v>
      </c>
      <c r="G21" s="1170" t="s">
        <v>22738</v>
      </c>
      <c r="H21" s="1170" t="s">
        <v>20962</v>
      </c>
      <c r="I21" s="1170" t="s">
        <v>22840</v>
      </c>
      <c r="J21" s="1178" t="s">
        <v>22941</v>
      </c>
      <c r="K21" s="1178" t="s">
        <v>23043</v>
      </c>
    </row>
    <row r="22" spans="1:11" ht="22" customHeight="1" x14ac:dyDescent="0.35">
      <c r="A22" s="1176">
        <v>18</v>
      </c>
      <c r="B22" s="1167" t="s">
        <v>20963</v>
      </c>
      <c r="C22" s="1167" t="s">
        <v>792</v>
      </c>
      <c r="D22" s="1167" t="s">
        <v>1928</v>
      </c>
      <c r="E22" s="1168" t="s">
        <v>20964</v>
      </c>
      <c r="F22" s="1167" t="s">
        <v>20965</v>
      </c>
      <c r="G22" s="1167" t="s">
        <v>22739</v>
      </c>
      <c r="H22" s="1167" t="s">
        <v>20966</v>
      </c>
      <c r="I22" s="1167" t="s">
        <v>22841</v>
      </c>
      <c r="J22" s="1179" t="s">
        <v>22942</v>
      </c>
      <c r="K22" s="1179" t="s">
        <v>23044</v>
      </c>
    </row>
    <row r="23" spans="1:11" ht="22" customHeight="1" x14ac:dyDescent="0.35">
      <c r="A23" s="1175">
        <v>19</v>
      </c>
      <c r="B23" s="1170" t="s">
        <v>20967</v>
      </c>
      <c r="C23" s="1170" t="s">
        <v>792</v>
      </c>
      <c r="D23" s="1170" t="s">
        <v>1149</v>
      </c>
      <c r="E23" s="1174" t="s">
        <v>20968</v>
      </c>
      <c r="F23" s="1170" t="s">
        <v>20969</v>
      </c>
      <c r="G23" s="1170" t="s">
        <v>22740</v>
      </c>
      <c r="H23" s="1170" t="s">
        <v>20970</v>
      </c>
      <c r="I23" s="1170" t="s">
        <v>22842</v>
      </c>
      <c r="J23" s="1178" t="s">
        <v>22943</v>
      </c>
      <c r="K23" s="1178" t="s">
        <v>23045</v>
      </c>
    </row>
    <row r="24" spans="1:11" ht="22" customHeight="1" x14ac:dyDescent="0.35">
      <c r="A24" s="1176">
        <v>20</v>
      </c>
      <c r="B24" s="1167" t="s">
        <v>20971</v>
      </c>
      <c r="C24" s="1167" t="s">
        <v>792</v>
      </c>
      <c r="D24" s="1167" t="s">
        <v>1149</v>
      </c>
      <c r="E24" s="1168" t="s">
        <v>20972</v>
      </c>
      <c r="F24" s="1167" t="s">
        <v>20973</v>
      </c>
      <c r="G24" s="1167" t="s">
        <v>22741</v>
      </c>
      <c r="H24" s="1167" t="s">
        <v>20974</v>
      </c>
      <c r="I24" s="1167" t="s">
        <v>22843</v>
      </c>
      <c r="J24" s="1179" t="s">
        <v>22944</v>
      </c>
      <c r="K24" s="1179" t="s">
        <v>23046</v>
      </c>
    </row>
    <row r="25" spans="1:11" ht="22" customHeight="1" x14ac:dyDescent="0.35">
      <c r="A25" s="1175">
        <v>21</v>
      </c>
      <c r="B25" s="1170" t="s">
        <v>20916</v>
      </c>
      <c r="C25" s="1170" t="s">
        <v>792</v>
      </c>
      <c r="D25" s="1170" t="s">
        <v>1784</v>
      </c>
      <c r="E25" s="1174" t="s">
        <v>21370</v>
      </c>
      <c r="F25" s="1170" t="s">
        <v>21371</v>
      </c>
      <c r="G25" s="1170" t="s">
        <v>22736</v>
      </c>
      <c r="H25" s="1170" t="s">
        <v>7244</v>
      </c>
      <c r="I25" s="1170" t="s">
        <v>22838</v>
      </c>
      <c r="J25" s="1178" t="s">
        <v>22939</v>
      </c>
      <c r="K25" s="1178" t="s">
        <v>23041</v>
      </c>
    </row>
    <row r="26" spans="1:11" ht="22" customHeight="1" x14ac:dyDescent="0.35">
      <c r="A26" s="1176">
        <v>22</v>
      </c>
      <c r="B26" s="1167" t="s">
        <v>21372</v>
      </c>
      <c r="C26" s="1167" t="s">
        <v>792</v>
      </c>
      <c r="D26" s="1167" t="s">
        <v>1964</v>
      </c>
      <c r="E26" s="1168" t="s">
        <v>21373</v>
      </c>
      <c r="F26" s="1167" t="s">
        <v>21374</v>
      </c>
      <c r="G26" s="1167" t="s">
        <v>22742</v>
      </c>
      <c r="H26" s="1167" t="s">
        <v>1456</v>
      </c>
      <c r="I26" s="1167" t="s">
        <v>22844</v>
      </c>
      <c r="J26" s="1179" t="s">
        <v>22945</v>
      </c>
      <c r="K26" s="1179" t="s">
        <v>23047</v>
      </c>
    </row>
    <row r="27" spans="1:11" ht="22" customHeight="1" x14ac:dyDescent="0.35">
      <c r="A27" s="1175">
        <v>23</v>
      </c>
      <c r="B27" s="1170" t="s">
        <v>21375</v>
      </c>
      <c r="C27" s="1170" t="s">
        <v>792</v>
      </c>
      <c r="D27" s="1170" t="s">
        <v>3082</v>
      </c>
      <c r="E27" s="1174" t="s">
        <v>21376</v>
      </c>
      <c r="F27" s="1170" t="s">
        <v>21377</v>
      </c>
      <c r="G27" s="1170" t="s">
        <v>22743</v>
      </c>
      <c r="H27" s="1170" t="s">
        <v>21378</v>
      </c>
      <c r="I27" s="1170" t="s">
        <v>22845</v>
      </c>
      <c r="J27" s="1178" t="s">
        <v>22946</v>
      </c>
      <c r="K27" s="1178" t="s">
        <v>23048</v>
      </c>
    </row>
    <row r="28" spans="1:11" ht="22" customHeight="1" x14ac:dyDescent="0.35">
      <c r="A28" s="1176">
        <v>24</v>
      </c>
      <c r="B28" s="1167" t="s">
        <v>21379</v>
      </c>
      <c r="C28" s="1167" t="s">
        <v>792</v>
      </c>
      <c r="D28" s="1167" t="s">
        <v>3812</v>
      </c>
      <c r="E28" s="1168" t="s">
        <v>21380</v>
      </c>
      <c r="F28" s="1167" t="s">
        <v>21381</v>
      </c>
      <c r="G28" s="1167" t="s">
        <v>22744</v>
      </c>
      <c r="H28" s="1167" t="s">
        <v>21382</v>
      </c>
      <c r="I28" s="1167" t="s">
        <v>22846</v>
      </c>
      <c r="J28" s="1179" t="s">
        <v>22947</v>
      </c>
      <c r="K28" s="1179" t="s">
        <v>23049</v>
      </c>
    </row>
    <row r="29" spans="1:11" ht="22" customHeight="1" x14ac:dyDescent="0.35">
      <c r="A29" s="1175">
        <v>25</v>
      </c>
      <c r="B29" s="1170" t="s">
        <v>21383</v>
      </c>
      <c r="C29" s="1170" t="s">
        <v>792</v>
      </c>
      <c r="D29" s="1170" t="s">
        <v>4641</v>
      </c>
      <c r="E29" s="1174" t="s">
        <v>21384</v>
      </c>
      <c r="F29" s="1170" t="s">
        <v>21385</v>
      </c>
      <c r="G29" s="1170" t="s">
        <v>22745</v>
      </c>
      <c r="H29" s="1170" t="s">
        <v>21386</v>
      </c>
      <c r="I29" s="1170" t="s">
        <v>22847</v>
      </c>
      <c r="J29" s="1178" t="s">
        <v>22948</v>
      </c>
      <c r="K29" s="1178" t="s">
        <v>23050</v>
      </c>
    </row>
    <row r="30" spans="1:11" ht="22" customHeight="1" x14ac:dyDescent="0.35">
      <c r="A30" s="1176">
        <v>26</v>
      </c>
      <c r="B30" s="1167" t="s">
        <v>21387</v>
      </c>
      <c r="C30" s="1167" t="s">
        <v>792</v>
      </c>
      <c r="D30" s="1167" t="s">
        <v>1791</v>
      </c>
      <c r="E30" s="1168" t="s">
        <v>21388</v>
      </c>
      <c r="F30" s="1167" t="s">
        <v>21389</v>
      </c>
      <c r="G30" s="1167" t="s">
        <v>22746</v>
      </c>
      <c r="H30" s="1167" t="s">
        <v>21390</v>
      </c>
      <c r="I30" s="1167" t="s">
        <v>22848</v>
      </c>
      <c r="J30" s="1179" t="s">
        <v>22949</v>
      </c>
      <c r="K30" s="1179" t="s">
        <v>23051</v>
      </c>
    </row>
    <row r="31" spans="1:11" ht="22" customHeight="1" x14ac:dyDescent="0.35">
      <c r="A31" s="1175">
        <v>27</v>
      </c>
      <c r="B31" s="1170" t="s">
        <v>21391</v>
      </c>
      <c r="C31" s="1170" t="s">
        <v>792</v>
      </c>
      <c r="D31" s="1170" t="s">
        <v>4526</v>
      </c>
      <c r="E31" s="1174" t="s">
        <v>21392</v>
      </c>
      <c r="F31" s="1170" t="s">
        <v>21393</v>
      </c>
      <c r="G31" s="1170" t="s">
        <v>22747</v>
      </c>
      <c r="H31" s="1170" t="s">
        <v>21394</v>
      </c>
      <c r="I31" s="1170" t="s">
        <v>22849</v>
      </c>
      <c r="J31" s="1178" t="s">
        <v>22950</v>
      </c>
      <c r="K31" s="1178" t="s">
        <v>23052</v>
      </c>
    </row>
    <row r="32" spans="1:11" ht="22" customHeight="1" x14ac:dyDescent="0.35">
      <c r="A32" s="1176">
        <v>28</v>
      </c>
      <c r="B32" s="1167" t="s">
        <v>21408</v>
      </c>
      <c r="C32" s="1167" t="s">
        <v>792</v>
      </c>
      <c r="D32" s="1167" t="s">
        <v>3812</v>
      </c>
      <c r="E32" s="1168" t="s">
        <v>21409</v>
      </c>
      <c r="F32" s="1167" t="s">
        <v>21410</v>
      </c>
      <c r="G32" s="1167" t="s">
        <v>22724</v>
      </c>
      <c r="H32" s="1167" t="s">
        <v>21411</v>
      </c>
      <c r="I32" s="1167" t="s">
        <v>22826</v>
      </c>
      <c r="J32" s="1179" t="s">
        <v>22927</v>
      </c>
      <c r="K32" s="1179" t="s">
        <v>23029</v>
      </c>
    </row>
    <row r="33" spans="1:11" ht="22" customHeight="1" x14ac:dyDescent="0.35">
      <c r="A33" s="1175">
        <v>29</v>
      </c>
      <c r="B33" s="1170" t="s">
        <v>21412</v>
      </c>
      <c r="C33" s="1170" t="s">
        <v>792</v>
      </c>
      <c r="D33" s="1170" t="s">
        <v>2365</v>
      </c>
      <c r="E33" s="1174" t="s">
        <v>21413</v>
      </c>
      <c r="F33" s="1170" t="s">
        <v>21414</v>
      </c>
      <c r="G33" s="1170" t="s">
        <v>22748</v>
      </c>
      <c r="H33" s="1170" t="s">
        <v>21415</v>
      </c>
      <c r="I33" s="1170" t="s">
        <v>22850</v>
      </c>
      <c r="J33" s="1178" t="s">
        <v>22951</v>
      </c>
      <c r="K33" s="1178" t="s">
        <v>23053</v>
      </c>
    </row>
    <row r="34" spans="1:11" ht="22" customHeight="1" x14ac:dyDescent="0.35">
      <c r="A34" s="1176">
        <v>30</v>
      </c>
      <c r="B34" s="1167" t="s">
        <v>21469</v>
      </c>
      <c r="C34" s="1167" t="s">
        <v>792</v>
      </c>
      <c r="D34" s="1167" t="s">
        <v>3082</v>
      </c>
      <c r="E34" s="1168" t="s">
        <v>21470</v>
      </c>
      <c r="F34" s="1167" t="s">
        <v>21471</v>
      </c>
      <c r="G34" s="1167" t="s">
        <v>22749</v>
      </c>
      <c r="H34" s="1167" t="s">
        <v>21472</v>
      </c>
      <c r="I34" s="1167" t="s">
        <v>22851</v>
      </c>
      <c r="J34" s="1179" t="s">
        <v>22952</v>
      </c>
      <c r="K34" s="1179" t="s">
        <v>23054</v>
      </c>
    </row>
    <row r="35" spans="1:11" ht="22" customHeight="1" x14ac:dyDescent="0.35">
      <c r="A35" s="1175">
        <v>31</v>
      </c>
      <c r="B35" s="1170" t="s">
        <v>21473</v>
      </c>
      <c r="C35" s="1170" t="s">
        <v>792</v>
      </c>
      <c r="D35" s="1170" t="s">
        <v>1552</v>
      </c>
      <c r="E35" s="1174" t="s">
        <v>21474</v>
      </c>
      <c r="F35" s="1170" t="s">
        <v>21475</v>
      </c>
      <c r="G35" s="1170" t="s">
        <v>22750</v>
      </c>
      <c r="H35" s="1170" t="s">
        <v>1551</v>
      </c>
      <c r="I35" s="1170" t="s">
        <v>22852</v>
      </c>
      <c r="J35" s="1178" t="s">
        <v>22953</v>
      </c>
      <c r="K35" s="1178" t="s">
        <v>23055</v>
      </c>
    </row>
    <row r="36" spans="1:11" ht="22" customHeight="1" x14ac:dyDescent="0.35">
      <c r="A36" s="1176">
        <v>32</v>
      </c>
      <c r="B36" s="1167" t="s">
        <v>21482</v>
      </c>
      <c r="C36" s="1167" t="s">
        <v>792</v>
      </c>
      <c r="D36" s="1167" t="s">
        <v>1094</v>
      </c>
      <c r="E36" s="1168" t="s">
        <v>21483</v>
      </c>
      <c r="F36" s="1167" t="s">
        <v>21484</v>
      </c>
      <c r="G36" s="1167" t="s">
        <v>22751</v>
      </c>
      <c r="H36" s="1167" t="s">
        <v>21485</v>
      </c>
      <c r="I36" s="1167" t="s">
        <v>22853</v>
      </c>
      <c r="J36" s="1179" t="s">
        <v>22954</v>
      </c>
      <c r="K36" s="1179" t="s">
        <v>23056</v>
      </c>
    </row>
    <row r="37" spans="1:11" ht="22" customHeight="1" x14ac:dyDescent="0.35">
      <c r="A37" s="1175">
        <v>33</v>
      </c>
      <c r="B37" s="1170" t="s">
        <v>21486</v>
      </c>
      <c r="C37" s="1170" t="s">
        <v>792</v>
      </c>
      <c r="D37" s="1170" t="s">
        <v>1779</v>
      </c>
      <c r="E37" s="1174" t="s">
        <v>21487</v>
      </c>
      <c r="F37" s="1170" t="s">
        <v>21488</v>
      </c>
      <c r="G37" s="1170" t="s">
        <v>22752</v>
      </c>
      <c r="H37" s="1170" t="s">
        <v>21489</v>
      </c>
      <c r="I37" s="1170" t="s">
        <v>22854</v>
      </c>
      <c r="J37" s="1178" t="s">
        <v>22955</v>
      </c>
      <c r="K37" s="1178" t="s">
        <v>23057</v>
      </c>
    </row>
    <row r="38" spans="1:11" ht="22" customHeight="1" x14ac:dyDescent="0.35">
      <c r="A38" s="1176">
        <v>34</v>
      </c>
      <c r="B38" s="1167" t="s">
        <v>21490</v>
      </c>
      <c r="C38" s="1167" t="s">
        <v>792</v>
      </c>
      <c r="D38" s="1167" t="s">
        <v>3812</v>
      </c>
      <c r="E38" s="1168" t="s">
        <v>21491</v>
      </c>
      <c r="F38" s="1167" t="s">
        <v>21492</v>
      </c>
      <c r="G38" s="1167" t="s">
        <v>22744</v>
      </c>
      <c r="H38" s="1167" t="s">
        <v>21493</v>
      </c>
      <c r="I38" s="1167" t="s">
        <v>22846</v>
      </c>
      <c r="J38" s="1179" t="s">
        <v>22947</v>
      </c>
      <c r="K38" s="1179" t="s">
        <v>23049</v>
      </c>
    </row>
    <row r="39" spans="1:11" ht="22" customHeight="1" x14ac:dyDescent="0.35">
      <c r="A39" s="1175">
        <v>35</v>
      </c>
      <c r="B39" s="1170" t="s">
        <v>21494</v>
      </c>
      <c r="C39" s="1170" t="s">
        <v>792</v>
      </c>
      <c r="D39" s="1170" t="s">
        <v>2365</v>
      </c>
      <c r="E39" s="1174" t="s">
        <v>21495</v>
      </c>
      <c r="F39" s="1170" t="s">
        <v>21496</v>
      </c>
      <c r="G39" s="1170" t="s">
        <v>22742</v>
      </c>
      <c r="H39" s="1170" t="s">
        <v>21497</v>
      </c>
      <c r="I39" s="1170" t="s">
        <v>22855</v>
      </c>
      <c r="J39" s="1178" t="s">
        <v>22945</v>
      </c>
      <c r="K39" s="1178" t="s">
        <v>23058</v>
      </c>
    </row>
    <row r="40" spans="1:11" ht="28" customHeight="1" x14ac:dyDescent="0.35">
      <c r="A40" s="1378" t="s">
        <v>21512</v>
      </c>
      <c r="B40" s="1378"/>
      <c r="C40" s="1378"/>
      <c r="D40" s="1378"/>
      <c r="E40" s="1378"/>
      <c r="F40" s="1378"/>
      <c r="G40" s="1378"/>
      <c r="H40" s="1378"/>
      <c r="I40" s="1378"/>
      <c r="J40" s="1379"/>
      <c r="K40" s="1379"/>
    </row>
    <row r="41" spans="1:11" ht="22" customHeight="1" x14ac:dyDescent="0.35">
      <c r="A41" s="1176">
        <v>36</v>
      </c>
      <c r="B41" s="1167" t="s">
        <v>20975</v>
      </c>
      <c r="C41" s="1167" t="s">
        <v>836</v>
      </c>
      <c r="D41" s="1167" t="s">
        <v>20917</v>
      </c>
      <c r="E41" s="1168" t="s">
        <v>20976</v>
      </c>
      <c r="F41" s="1167" t="s">
        <v>20977</v>
      </c>
      <c r="G41" s="1167" t="s">
        <v>22753</v>
      </c>
      <c r="H41" s="1167" t="s">
        <v>20978</v>
      </c>
      <c r="I41" s="1167" t="s">
        <v>22856</v>
      </c>
      <c r="J41" s="1179" t="s">
        <v>22956</v>
      </c>
      <c r="K41" s="1179" t="s">
        <v>23059</v>
      </c>
    </row>
    <row r="42" spans="1:11" ht="22" customHeight="1" x14ac:dyDescent="0.35">
      <c r="A42" s="1175">
        <v>37</v>
      </c>
      <c r="B42" s="1170" t="s">
        <v>20979</v>
      </c>
      <c r="C42" s="1170" t="s">
        <v>836</v>
      </c>
      <c r="D42" s="1170" t="s">
        <v>6532</v>
      </c>
      <c r="E42" s="1174" t="s">
        <v>20980</v>
      </c>
      <c r="F42" s="1170" t="s">
        <v>20981</v>
      </c>
      <c r="G42" s="1170" t="s">
        <v>22754</v>
      </c>
      <c r="H42" s="1170" t="s">
        <v>20982</v>
      </c>
      <c r="I42" s="1170" t="s">
        <v>22857</v>
      </c>
      <c r="J42" s="1178" t="s">
        <v>22957</v>
      </c>
      <c r="K42" s="1178" t="s">
        <v>23060</v>
      </c>
    </row>
    <row r="43" spans="1:11" ht="22" customHeight="1" x14ac:dyDescent="0.35">
      <c r="A43" s="1176">
        <v>38</v>
      </c>
      <c r="B43" s="1167" t="s">
        <v>20983</v>
      </c>
      <c r="C43" s="1167" t="s">
        <v>836</v>
      </c>
      <c r="D43" s="1167" t="s">
        <v>2049</v>
      </c>
      <c r="E43" s="1168" t="s">
        <v>20984</v>
      </c>
      <c r="F43" s="1167" t="s">
        <v>20985</v>
      </c>
      <c r="G43" s="1167" t="s">
        <v>22755</v>
      </c>
      <c r="H43" s="1167" t="s">
        <v>6805</v>
      </c>
      <c r="I43" s="1167" t="s">
        <v>22858</v>
      </c>
      <c r="J43" s="1179" t="s">
        <v>22958</v>
      </c>
      <c r="K43" s="1179" t="s">
        <v>23061</v>
      </c>
    </row>
    <row r="44" spans="1:11" ht="22" customHeight="1" x14ac:dyDescent="0.35">
      <c r="A44" s="1175">
        <v>39</v>
      </c>
      <c r="B44" s="1170" t="s">
        <v>20986</v>
      </c>
      <c r="C44" s="1170" t="s">
        <v>836</v>
      </c>
      <c r="D44" s="1170" t="s">
        <v>5497</v>
      </c>
      <c r="E44" s="1174" t="s">
        <v>20987</v>
      </c>
      <c r="F44" s="1170" t="s">
        <v>20988</v>
      </c>
      <c r="G44" s="1170" t="s">
        <v>22756</v>
      </c>
      <c r="H44" s="1170" t="s">
        <v>20989</v>
      </c>
      <c r="I44" s="1170" t="s">
        <v>22859</v>
      </c>
      <c r="J44" s="1178" t="s">
        <v>22959</v>
      </c>
      <c r="K44" s="1178" t="s">
        <v>23062</v>
      </c>
    </row>
    <row r="45" spans="1:11" ht="22" customHeight="1" x14ac:dyDescent="0.35">
      <c r="A45" s="1176">
        <v>40</v>
      </c>
      <c r="B45" s="1167" t="s">
        <v>20990</v>
      </c>
      <c r="C45" s="1167" t="s">
        <v>836</v>
      </c>
      <c r="D45" s="1167" t="s">
        <v>950</v>
      </c>
      <c r="E45" s="1168" t="s">
        <v>20991</v>
      </c>
      <c r="F45" s="1167" t="s">
        <v>20992</v>
      </c>
      <c r="G45" s="1167" t="s">
        <v>22757</v>
      </c>
      <c r="H45" s="1167" t="s">
        <v>20993</v>
      </c>
      <c r="I45" s="1167" t="s">
        <v>22860</v>
      </c>
      <c r="J45" s="1179" t="s">
        <v>22960</v>
      </c>
      <c r="K45" s="1179" t="s">
        <v>23063</v>
      </c>
    </row>
    <row r="46" spans="1:11" ht="22" customHeight="1" x14ac:dyDescent="0.35">
      <c r="A46" s="1175">
        <v>41</v>
      </c>
      <c r="B46" s="1170" t="s">
        <v>20994</v>
      </c>
      <c r="C46" s="1170" t="s">
        <v>836</v>
      </c>
      <c r="D46" s="1170" t="s">
        <v>20995</v>
      </c>
      <c r="E46" s="1174" t="s">
        <v>20996</v>
      </c>
      <c r="F46" s="1170" t="s">
        <v>20997</v>
      </c>
      <c r="G46" s="1170" t="s">
        <v>22758</v>
      </c>
      <c r="H46" s="1170" t="s">
        <v>20998</v>
      </c>
      <c r="I46" s="1170" t="s">
        <v>22861</v>
      </c>
      <c r="J46" s="1178" t="s">
        <v>22961</v>
      </c>
      <c r="K46" s="1178" t="s">
        <v>23064</v>
      </c>
    </row>
    <row r="47" spans="1:11" ht="22" customHeight="1" x14ac:dyDescent="0.35">
      <c r="A47" s="1176">
        <v>42</v>
      </c>
      <c r="B47" s="1167" t="s">
        <v>20999</v>
      </c>
      <c r="C47" s="1167" t="s">
        <v>836</v>
      </c>
      <c r="D47" s="1167" t="s">
        <v>8501</v>
      </c>
      <c r="E47" s="1168" t="s">
        <v>21000</v>
      </c>
      <c r="F47" s="1167" t="s">
        <v>21001</v>
      </c>
      <c r="G47" s="1167" t="s">
        <v>22759</v>
      </c>
      <c r="H47" s="1167" t="s">
        <v>21002</v>
      </c>
      <c r="I47" s="1167" t="s">
        <v>22862</v>
      </c>
      <c r="J47" s="1179" t="s">
        <v>22962</v>
      </c>
      <c r="K47" s="1179" t="s">
        <v>23065</v>
      </c>
    </row>
    <row r="48" spans="1:11" ht="22" customHeight="1" x14ac:dyDescent="0.35">
      <c r="A48" s="1175">
        <v>43</v>
      </c>
      <c r="B48" s="1170" t="s">
        <v>21003</v>
      </c>
      <c r="C48" s="1170" t="s">
        <v>836</v>
      </c>
      <c r="D48" s="1170" t="s">
        <v>2091</v>
      </c>
      <c r="E48" s="1174" t="s">
        <v>21004</v>
      </c>
      <c r="F48" s="1170" t="s">
        <v>21005</v>
      </c>
      <c r="G48" s="1170" t="s">
        <v>22760</v>
      </c>
      <c r="H48" s="1170" t="s">
        <v>21006</v>
      </c>
      <c r="I48" s="1170" t="s">
        <v>22863</v>
      </c>
      <c r="J48" s="1178" t="s">
        <v>22963</v>
      </c>
      <c r="K48" s="1178" t="s">
        <v>23066</v>
      </c>
    </row>
    <row r="49" spans="1:11" ht="22" customHeight="1" x14ac:dyDescent="0.35">
      <c r="A49" s="1176">
        <v>44</v>
      </c>
      <c r="B49" s="1167" t="s">
        <v>21007</v>
      </c>
      <c r="C49" s="1167" t="s">
        <v>836</v>
      </c>
      <c r="D49" s="1167" t="s">
        <v>8011</v>
      </c>
      <c r="E49" s="1168" t="s">
        <v>21008</v>
      </c>
      <c r="F49" s="1167" t="s">
        <v>21009</v>
      </c>
      <c r="G49" s="1167" t="s">
        <v>22761</v>
      </c>
      <c r="H49" s="1167" t="s">
        <v>21010</v>
      </c>
      <c r="I49" s="1167" t="s">
        <v>22864</v>
      </c>
      <c r="J49" s="1179" t="s">
        <v>22964</v>
      </c>
      <c r="K49" s="1179" t="s">
        <v>23067</v>
      </c>
    </row>
    <row r="50" spans="1:11" ht="22" customHeight="1" x14ac:dyDescent="0.35">
      <c r="A50" s="1175">
        <v>45</v>
      </c>
      <c r="B50" s="1170" t="s">
        <v>21011</v>
      </c>
      <c r="C50" s="1170" t="s">
        <v>836</v>
      </c>
      <c r="D50" s="1170" t="s">
        <v>950</v>
      </c>
      <c r="E50" s="1174" t="s">
        <v>21012</v>
      </c>
      <c r="F50" s="1170" t="s">
        <v>21013</v>
      </c>
      <c r="G50" s="1170" t="s">
        <v>22762</v>
      </c>
      <c r="H50" s="1170" t="s">
        <v>21014</v>
      </c>
      <c r="I50" s="1170" t="s">
        <v>22865</v>
      </c>
      <c r="J50" s="1178" t="s">
        <v>22965</v>
      </c>
      <c r="K50" s="1178" t="s">
        <v>23068</v>
      </c>
    </row>
    <row r="51" spans="1:11" ht="22" customHeight="1" x14ac:dyDescent="0.35">
      <c r="A51" s="1176">
        <v>46</v>
      </c>
      <c r="B51" s="1167" t="s">
        <v>21015</v>
      </c>
      <c r="C51" s="1167" t="s">
        <v>836</v>
      </c>
      <c r="D51" s="1167" t="s">
        <v>1363</v>
      </c>
      <c r="E51" s="1168" t="s">
        <v>21016</v>
      </c>
      <c r="F51" s="1167" t="s">
        <v>21017</v>
      </c>
      <c r="G51" s="1167" t="s">
        <v>22763</v>
      </c>
      <c r="H51" s="1167" t="s">
        <v>19071</v>
      </c>
      <c r="I51" s="1167" t="s">
        <v>22866</v>
      </c>
      <c r="J51" s="1179" t="s">
        <v>22966</v>
      </c>
      <c r="K51" s="1179" t="s">
        <v>23069</v>
      </c>
    </row>
    <row r="52" spans="1:11" ht="22" customHeight="1" x14ac:dyDescent="0.35">
      <c r="A52" s="1175">
        <v>47</v>
      </c>
      <c r="B52" s="1170" t="s">
        <v>21018</v>
      </c>
      <c r="C52" s="1170" t="s">
        <v>836</v>
      </c>
      <c r="D52" s="1170" t="s">
        <v>1363</v>
      </c>
      <c r="E52" s="1174" t="s">
        <v>21019</v>
      </c>
      <c r="F52" s="1170" t="s">
        <v>21020</v>
      </c>
      <c r="G52" s="1170" t="s">
        <v>22764</v>
      </c>
      <c r="H52" s="1170" t="s">
        <v>21021</v>
      </c>
      <c r="I52" s="1170" t="s">
        <v>22867</v>
      </c>
      <c r="J52" s="1178" t="s">
        <v>22967</v>
      </c>
      <c r="K52" s="1178" t="s">
        <v>23070</v>
      </c>
    </row>
    <row r="53" spans="1:11" ht="22" customHeight="1" x14ac:dyDescent="0.35">
      <c r="A53" s="1176">
        <v>48</v>
      </c>
      <c r="B53" s="1167" t="s">
        <v>21022</v>
      </c>
      <c r="C53" s="1167" t="s">
        <v>836</v>
      </c>
      <c r="D53" s="1167" t="s">
        <v>7002</v>
      </c>
      <c r="E53" s="1168" t="s">
        <v>21023</v>
      </c>
      <c r="F53" s="1167" t="s">
        <v>21024</v>
      </c>
      <c r="G53" s="1167" t="s">
        <v>22765</v>
      </c>
      <c r="H53" s="1167" t="s">
        <v>7698</v>
      </c>
      <c r="I53" s="1167" t="s">
        <v>22868</v>
      </c>
      <c r="J53" s="1179" t="s">
        <v>22968</v>
      </c>
      <c r="K53" s="1179" t="s">
        <v>23071</v>
      </c>
    </row>
    <row r="54" spans="1:11" ht="22" customHeight="1" x14ac:dyDescent="0.35">
      <c r="A54" s="1175">
        <v>49</v>
      </c>
      <c r="B54" s="1170" t="s">
        <v>21025</v>
      </c>
      <c r="C54" s="1170" t="s">
        <v>836</v>
      </c>
      <c r="D54" s="1170" t="s">
        <v>9844</v>
      </c>
      <c r="E54" s="1174" t="s">
        <v>21026</v>
      </c>
      <c r="F54" s="1170" t="s">
        <v>21027</v>
      </c>
      <c r="G54" s="1170" t="s">
        <v>22766</v>
      </c>
      <c r="H54" s="1170" t="s">
        <v>15098</v>
      </c>
      <c r="I54" s="1170" t="s">
        <v>22869</v>
      </c>
      <c r="J54" s="1178" t="s">
        <v>22969</v>
      </c>
      <c r="K54" s="1178" t="s">
        <v>23072</v>
      </c>
    </row>
    <row r="55" spans="1:11" ht="22" customHeight="1" x14ac:dyDescent="0.35">
      <c r="A55" s="1176">
        <v>50</v>
      </c>
      <c r="B55" s="1167" t="s">
        <v>21028</v>
      </c>
      <c r="C55" s="1167" t="s">
        <v>836</v>
      </c>
      <c r="D55" s="1167" t="s">
        <v>7973</v>
      </c>
      <c r="E55" s="1168" t="s">
        <v>21029</v>
      </c>
      <c r="F55" s="1167" t="s">
        <v>21030</v>
      </c>
      <c r="G55" s="1167" t="s">
        <v>22767</v>
      </c>
      <c r="H55" s="1167" t="s">
        <v>21031</v>
      </c>
      <c r="I55" s="1167" t="s">
        <v>22870</v>
      </c>
      <c r="J55" s="1179" t="s">
        <v>22970</v>
      </c>
      <c r="K55" s="1179" t="s">
        <v>23073</v>
      </c>
    </row>
    <row r="56" spans="1:11" ht="22" customHeight="1" x14ac:dyDescent="0.35">
      <c r="A56" s="1175">
        <v>51</v>
      </c>
      <c r="B56" s="1170" t="s">
        <v>21395</v>
      </c>
      <c r="C56" s="1170" t="s">
        <v>836</v>
      </c>
      <c r="D56" s="1170" t="s">
        <v>20917</v>
      </c>
      <c r="E56" s="1174" t="s">
        <v>21396</v>
      </c>
      <c r="F56" s="1170" t="s">
        <v>21397</v>
      </c>
      <c r="G56" s="1170" t="s">
        <v>22768</v>
      </c>
      <c r="H56" s="1170" t="s">
        <v>21398</v>
      </c>
      <c r="I56" s="1170" t="s">
        <v>22856</v>
      </c>
      <c r="J56" s="1178" t="s">
        <v>22971</v>
      </c>
      <c r="K56" s="1178" t="s">
        <v>23059</v>
      </c>
    </row>
    <row r="57" spans="1:11" ht="22" customHeight="1" x14ac:dyDescent="0.35">
      <c r="A57" s="1176">
        <v>52</v>
      </c>
      <c r="B57" s="1167" t="s">
        <v>21399</v>
      </c>
      <c r="C57" s="1167" t="s">
        <v>836</v>
      </c>
      <c r="D57" s="1167" t="s">
        <v>6555</v>
      </c>
      <c r="E57" s="1168" t="s">
        <v>21400</v>
      </c>
      <c r="F57" s="1167" t="s">
        <v>21401</v>
      </c>
      <c r="G57" s="1167" t="s">
        <v>22769</v>
      </c>
      <c r="H57" s="1167" t="s">
        <v>7379</v>
      </c>
      <c r="I57" s="1167" t="s">
        <v>22871</v>
      </c>
      <c r="J57" s="1179" t="s">
        <v>22972</v>
      </c>
      <c r="K57" s="1179" t="s">
        <v>23074</v>
      </c>
    </row>
    <row r="58" spans="1:11" ht="22" customHeight="1" x14ac:dyDescent="0.35">
      <c r="A58" s="1175">
        <v>53</v>
      </c>
      <c r="B58" s="1170" t="s">
        <v>21402</v>
      </c>
      <c r="C58" s="1170" t="s">
        <v>836</v>
      </c>
      <c r="D58" s="1170" t="s">
        <v>7006</v>
      </c>
      <c r="E58" s="1174" t="s">
        <v>21403</v>
      </c>
      <c r="F58" s="1170" t="s">
        <v>21404</v>
      </c>
      <c r="G58" s="1170" t="s">
        <v>22770</v>
      </c>
      <c r="H58" s="1170" t="s">
        <v>4745</v>
      </c>
      <c r="I58" s="1170" t="s">
        <v>22872</v>
      </c>
      <c r="J58" s="1178" t="s">
        <v>22973</v>
      </c>
      <c r="K58" s="1178" t="s">
        <v>23075</v>
      </c>
    </row>
    <row r="59" spans="1:11" ht="22" customHeight="1" x14ac:dyDescent="0.35">
      <c r="A59" s="1176">
        <v>54</v>
      </c>
      <c r="B59" s="1167" t="s">
        <v>21405</v>
      </c>
      <c r="C59" s="1167" t="s">
        <v>836</v>
      </c>
      <c r="D59" s="1167" t="s">
        <v>2555</v>
      </c>
      <c r="E59" s="1168" t="s">
        <v>21406</v>
      </c>
      <c r="F59" s="1167" t="s">
        <v>21407</v>
      </c>
      <c r="G59" s="1167" t="s">
        <v>22771</v>
      </c>
      <c r="H59" s="1167" t="s">
        <v>7316</v>
      </c>
      <c r="I59" s="1167" t="s">
        <v>22873</v>
      </c>
      <c r="J59" s="1179" t="s">
        <v>22974</v>
      </c>
      <c r="K59" s="1179" t="s">
        <v>23076</v>
      </c>
    </row>
    <row r="60" spans="1:11" ht="22" customHeight="1" x14ac:dyDescent="0.35">
      <c r="A60" s="1175">
        <v>55</v>
      </c>
      <c r="B60" s="1170" t="s">
        <v>21476</v>
      </c>
      <c r="C60" s="1170" t="s">
        <v>836</v>
      </c>
      <c r="D60" s="1170" t="s">
        <v>2099</v>
      </c>
      <c r="E60" s="1174" t="s">
        <v>21477</v>
      </c>
      <c r="F60" s="1170" t="s">
        <v>21478</v>
      </c>
      <c r="G60" s="1170" t="s">
        <v>22772</v>
      </c>
      <c r="H60" s="1170" t="s">
        <v>16945</v>
      </c>
      <c r="I60" s="1170" t="s">
        <v>22874</v>
      </c>
      <c r="J60" s="1180" t="s">
        <v>22975</v>
      </c>
      <c r="K60" s="1178" t="s">
        <v>23077</v>
      </c>
    </row>
    <row r="61" spans="1:11" ht="22" customHeight="1" x14ac:dyDescent="0.35">
      <c r="A61" s="1176">
        <v>56</v>
      </c>
      <c r="B61" s="1167" t="s">
        <v>21479</v>
      </c>
      <c r="C61" s="1167" t="s">
        <v>836</v>
      </c>
      <c r="D61" s="1167" t="s">
        <v>2555</v>
      </c>
      <c r="E61" s="1168" t="s">
        <v>21480</v>
      </c>
      <c r="F61" s="1167" t="s">
        <v>21407</v>
      </c>
      <c r="G61" s="1167" t="s">
        <v>22771</v>
      </c>
      <c r="H61" s="1167" t="s">
        <v>21481</v>
      </c>
      <c r="I61" s="1167" t="s">
        <v>22873</v>
      </c>
      <c r="J61" s="1179" t="s">
        <v>22974</v>
      </c>
      <c r="K61" s="1179" t="s">
        <v>23076</v>
      </c>
    </row>
    <row r="62" spans="1:11" ht="22" customHeight="1" x14ac:dyDescent="0.35">
      <c r="A62" s="1175">
        <v>57</v>
      </c>
      <c r="B62" s="1170" t="s">
        <v>21498</v>
      </c>
      <c r="C62" s="1170" t="s">
        <v>836</v>
      </c>
      <c r="D62" s="1170" t="s">
        <v>8972</v>
      </c>
      <c r="E62" s="1174" t="s">
        <v>21499</v>
      </c>
      <c r="F62" s="1170" t="s">
        <v>21500</v>
      </c>
      <c r="G62" s="1170" t="s">
        <v>22755</v>
      </c>
      <c r="H62" s="1170" t="s">
        <v>2452</v>
      </c>
      <c r="I62" s="1170" t="s">
        <v>22858</v>
      </c>
      <c r="J62" s="1178" t="s">
        <v>22958</v>
      </c>
      <c r="K62" s="1178" t="s">
        <v>23061</v>
      </c>
    </row>
    <row r="63" spans="1:11" ht="22" customHeight="1" x14ac:dyDescent="0.35">
      <c r="A63" s="1176">
        <v>58</v>
      </c>
      <c r="B63" s="1167" t="s">
        <v>21501</v>
      </c>
      <c r="C63" s="1167" t="s">
        <v>836</v>
      </c>
      <c r="D63" s="1167" t="s">
        <v>5497</v>
      </c>
      <c r="E63" s="1168" t="s">
        <v>21502</v>
      </c>
      <c r="F63" s="1167" t="s">
        <v>21503</v>
      </c>
      <c r="G63" s="1167" t="s">
        <v>22773</v>
      </c>
      <c r="H63" s="1167" t="s">
        <v>21504</v>
      </c>
      <c r="I63" s="1167" t="s">
        <v>22859</v>
      </c>
      <c r="J63" s="1179" t="s">
        <v>22976</v>
      </c>
      <c r="K63" s="1179" t="s">
        <v>23062</v>
      </c>
    </row>
    <row r="64" spans="1:11" ht="28" customHeight="1" x14ac:dyDescent="0.35">
      <c r="A64" s="1380" t="s">
        <v>21513</v>
      </c>
      <c r="B64" s="1380"/>
      <c r="C64" s="1380"/>
      <c r="D64" s="1380"/>
      <c r="E64" s="1380"/>
      <c r="F64" s="1380"/>
      <c r="G64" s="1380"/>
      <c r="H64" s="1380"/>
      <c r="I64" s="1380"/>
      <c r="J64" s="1381"/>
      <c r="K64" s="1381"/>
    </row>
    <row r="65" spans="1:11" ht="22" customHeight="1" x14ac:dyDescent="0.35">
      <c r="A65" s="1175">
        <v>59</v>
      </c>
      <c r="B65" s="1170" t="s">
        <v>20918</v>
      </c>
      <c r="C65" s="1170" t="s">
        <v>913</v>
      </c>
      <c r="D65" s="1170" t="s">
        <v>913</v>
      </c>
      <c r="E65" s="1174" t="s">
        <v>21032</v>
      </c>
      <c r="F65" s="1170" t="s">
        <v>21033</v>
      </c>
      <c r="G65" s="1170" t="s">
        <v>22774</v>
      </c>
      <c r="H65" s="1170" t="s">
        <v>21034</v>
      </c>
      <c r="I65" s="1170" t="s">
        <v>22875</v>
      </c>
      <c r="J65" s="1178" t="s">
        <v>22977</v>
      </c>
      <c r="K65" s="1178" t="s">
        <v>23078</v>
      </c>
    </row>
    <row r="66" spans="1:11" ht="22" customHeight="1" x14ac:dyDescent="0.35">
      <c r="A66" s="1176">
        <v>60</v>
      </c>
      <c r="B66" s="1167" t="s">
        <v>20919</v>
      </c>
      <c r="C66" s="1167" t="s">
        <v>913</v>
      </c>
      <c r="D66" s="1167" t="s">
        <v>913</v>
      </c>
      <c r="E66" s="1168" t="s">
        <v>21035</v>
      </c>
      <c r="F66" s="1167" t="s">
        <v>21036</v>
      </c>
      <c r="G66" s="1167" t="s">
        <v>22775</v>
      </c>
      <c r="H66" s="1167" t="s">
        <v>21037</v>
      </c>
      <c r="I66" s="1167" t="s">
        <v>22876</v>
      </c>
      <c r="J66" s="1179" t="s">
        <v>22978</v>
      </c>
      <c r="K66" s="1179" t="s">
        <v>23079</v>
      </c>
    </row>
    <row r="67" spans="1:11" ht="22" customHeight="1" x14ac:dyDescent="0.35">
      <c r="A67" s="1175">
        <v>61</v>
      </c>
      <c r="B67" s="1170" t="s">
        <v>20920</v>
      </c>
      <c r="C67" s="1170" t="s">
        <v>913</v>
      </c>
      <c r="D67" s="1170" t="s">
        <v>913</v>
      </c>
      <c r="E67" s="1174" t="s">
        <v>21038</v>
      </c>
      <c r="F67" s="1170" t="s">
        <v>21039</v>
      </c>
      <c r="G67" s="1170" t="s">
        <v>22776</v>
      </c>
      <c r="H67" s="1170" t="s">
        <v>21040</v>
      </c>
      <c r="I67" s="1170" t="s">
        <v>22774</v>
      </c>
      <c r="J67" s="1178" t="s">
        <v>22979</v>
      </c>
      <c r="K67" s="1178" t="s">
        <v>22977</v>
      </c>
    </row>
    <row r="68" spans="1:11" ht="22" customHeight="1" x14ac:dyDescent="0.35">
      <c r="A68" s="1176">
        <v>62</v>
      </c>
      <c r="B68" s="1167" t="s">
        <v>20921</v>
      </c>
      <c r="C68" s="1167" t="s">
        <v>913</v>
      </c>
      <c r="D68" s="1167" t="s">
        <v>20922</v>
      </c>
      <c r="E68" s="1168" t="s">
        <v>21041</v>
      </c>
      <c r="F68" s="1167" t="s">
        <v>21042</v>
      </c>
      <c r="G68" s="1167" t="s">
        <v>22777</v>
      </c>
      <c r="H68" s="1167" t="s">
        <v>1396</v>
      </c>
      <c r="I68" s="1167" t="s">
        <v>22877</v>
      </c>
      <c r="J68" s="1179" t="s">
        <v>22980</v>
      </c>
      <c r="K68" s="1179" t="s">
        <v>23080</v>
      </c>
    </row>
    <row r="69" spans="1:11" ht="22" customHeight="1" x14ac:dyDescent="0.35">
      <c r="A69" s="1175">
        <v>63</v>
      </c>
      <c r="B69" s="1170" t="s">
        <v>20923</v>
      </c>
      <c r="C69" s="1170" t="s">
        <v>913</v>
      </c>
      <c r="D69" s="1170" t="s">
        <v>913</v>
      </c>
      <c r="E69" s="1174" t="s">
        <v>21043</v>
      </c>
      <c r="F69" s="1170" t="s">
        <v>21044</v>
      </c>
      <c r="G69" s="1170" t="s">
        <v>22778</v>
      </c>
      <c r="H69" s="1170" t="s">
        <v>21045</v>
      </c>
      <c r="I69" s="1170" t="s">
        <v>22878</v>
      </c>
      <c r="J69" s="1178" t="s">
        <v>22981</v>
      </c>
      <c r="K69" s="1178" t="s">
        <v>23081</v>
      </c>
    </row>
    <row r="70" spans="1:11" ht="22" customHeight="1" x14ac:dyDescent="0.35">
      <c r="A70" s="1176">
        <v>64</v>
      </c>
      <c r="B70" s="1167" t="s">
        <v>21046</v>
      </c>
      <c r="C70" s="1167" t="s">
        <v>913</v>
      </c>
      <c r="D70" s="1167" t="s">
        <v>913</v>
      </c>
      <c r="E70" s="1168" t="s">
        <v>21047</v>
      </c>
      <c r="F70" s="1167" t="s">
        <v>21039</v>
      </c>
      <c r="G70" s="1167" t="s">
        <v>22776</v>
      </c>
      <c r="H70" s="1167" t="s">
        <v>21048</v>
      </c>
      <c r="I70" s="1167" t="s">
        <v>22879</v>
      </c>
      <c r="J70" s="1179" t="s">
        <v>22979</v>
      </c>
      <c r="K70" s="1179" t="s">
        <v>23082</v>
      </c>
    </row>
    <row r="71" spans="1:11" ht="22" customHeight="1" x14ac:dyDescent="0.35">
      <c r="A71" s="1175">
        <v>65</v>
      </c>
      <c r="B71" s="1170" t="s">
        <v>21049</v>
      </c>
      <c r="C71" s="1170" t="s">
        <v>913</v>
      </c>
      <c r="D71" s="1170" t="s">
        <v>913</v>
      </c>
      <c r="E71" s="1174" t="s">
        <v>21050</v>
      </c>
      <c r="F71" s="1170" t="s">
        <v>21051</v>
      </c>
      <c r="G71" s="1170" t="s">
        <v>22779</v>
      </c>
      <c r="H71" s="1170" t="s">
        <v>21052</v>
      </c>
      <c r="I71" s="1170" t="s">
        <v>22880</v>
      </c>
      <c r="J71" s="1178" t="s">
        <v>22982</v>
      </c>
      <c r="K71" s="1178" t="s">
        <v>23083</v>
      </c>
    </row>
    <row r="72" spans="1:11" ht="22" customHeight="1" x14ac:dyDescent="0.35">
      <c r="A72" s="1176">
        <v>66</v>
      </c>
      <c r="B72" s="1167" t="s">
        <v>21053</v>
      </c>
      <c r="C72" s="1167" t="s">
        <v>913</v>
      </c>
      <c r="D72" s="1167" t="s">
        <v>1347</v>
      </c>
      <c r="E72" s="1168" t="s">
        <v>21054</v>
      </c>
      <c r="F72" s="1167" t="s">
        <v>21055</v>
      </c>
      <c r="G72" s="1167" t="s">
        <v>22780</v>
      </c>
      <c r="H72" s="1167" t="s">
        <v>21056</v>
      </c>
      <c r="I72" s="1167" t="s">
        <v>22881</v>
      </c>
      <c r="J72" s="1179" t="s">
        <v>22983</v>
      </c>
      <c r="K72" s="1179" t="s">
        <v>23084</v>
      </c>
    </row>
    <row r="73" spans="1:11" ht="22" customHeight="1" x14ac:dyDescent="0.35">
      <c r="A73" s="1175">
        <v>67</v>
      </c>
      <c r="B73" s="1170" t="s">
        <v>21057</v>
      </c>
      <c r="C73" s="1170" t="s">
        <v>913</v>
      </c>
      <c r="D73" s="1170" t="s">
        <v>913</v>
      </c>
      <c r="E73" s="1174" t="s">
        <v>21058</v>
      </c>
      <c r="F73" s="1170" t="s">
        <v>21059</v>
      </c>
      <c r="G73" s="1170" t="s">
        <v>22781</v>
      </c>
      <c r="H73" s="1170" t="s">
        <v>21051</v>
      </c>
      <c r="I73" s="1170" t="s">
        <v>22779</v>
      </c>
      <c r="J73" s="1178" t="s">
        <v>22984</v>
      </c>
      <c r="K73" s="1178" t="s">
        <v>22982</v>
      </c>
    </row>
    <row r="74" spans="1:11" ht="22" customHeight="1" x14ac:dyDescent="0.35">
      <c r="A74" s="1176">
        <v>68</v>
      </c>
      <c r="B74" s="1167" t="s">
        <v>11745</v>
      </c>
      <c r="C74" s="1167" t="s">
        <v>913</v>
      </c>
      <c r="D74" s="1167" t="s">
        <v>1347</v>
      </c>
      <c r="E74" s="1168" t="s">
        <v>21060</v>
      </c>
      <c r="F74" s="1167" t="s">
        <v>21061</v>
      </c>
      <c r="G74" s="1167" t="s">
        <v>22782</v>
      </c>
      <c r="H74" s="1167" t="s">
        <v>21062</v>
      </c>
      <c r="I74" s="1167" t="s">
        <v>22882</v>
      </c>
      <c r="J74" s="1179" t="s">
        <v>22985</v>
      </c>
      <c r="K74" s="1179" t="s">
        <v>23085</v>
      </c>
    </row>
    <row r="75" spans="1:11" ht="22" customHeight="1" x14ac:dyDescent="0.35">
      <c r="A75" s="1175">
        <v>69</v>
      </c>
      <c r="B75" s="1170" t="s">
        <v>21063</v>
      </c>
      <c r="C75" s="1170" t="s">
        <v>913</v>
      </c>
      <c r="D75" s="1170" t="s">
        <v>5947</v>
      </c>
      <c r="E75" s="1174" t="s">
        <v>21064</v>
      </c>
      <c r="F75" s="1170" t="s">
        <v>21055</v>
      </c>
      <c r="G75" s="1170" t="s">
        <v>22780</v>
      </c>
      <c r="H75" s="1170" t="s">
        <v>21065</v>
      </c>
      <c r="I75" s="1170" t="s">
        <v>22883</v>
      </c>
      <c r="J75" s="1178" t="s">
        <v>22983</v>
      </c>
      <c r="K75" s="1178" t="s">
        <v>23086</v>
      </c>
    </row>
    <row r="76" spans="1:11" ht="22" customHeight="1" x14ac:dyDescent="0.35">
      <c r="A76" s="1176">
        <v>70</v>
      </c>
      <c r="B76" s="1167" t="s">
        <v>21066</v>
      </c>
      <c r="C76" s="1167" t="s">
        <v>913</v>
      </c>
      <c r="D76" s="1167" t="s">
        <v>2567</v>
      </c>
      <c r="E76" s="1168" t="s">
        <v>21067</v>
      </c>
      <c r="F76" s="1167" t="s">
        <v>21068</v>
      </c>
      <c r="G76" s="1167" t="s">
        <v>22783</v>
      </c>
      <c r="H76" s="1167" t="s">
        <v>1416</v>
      </c>
      <c r="I76" s="1167" t="s">
        <v>22884</v>
      </c>
      <c r="J76" s="1179" t="s">
        <v>22986</v>
      </c>
      <c r="K76" s="1179" t="s">
        <v>23087</v>
      </c>
    </row>
    <row r="77" spans="1:11" ht="22" customHeight="1" x14ac:dyDescent="0.35">
      <c r="A77" s="1175">
        <v>71</v>
      </c>
      <c r="B77" s="1170" t="s">
        <v>21069</v>
      </c>
      <c r="C77" s="1170" t="s">
        <v>913</v>
      </c>
      <c r="D77" s="1170" t="s">
        <v>2567</v>
      </c>
      <c r="E77" s="1174" t="s">
        <v>21070</v>
      </c>
      <c r="F77" s="1170" t="s">
        <v>21071</v>
      </c>
      <c r="G77" s="1170" t="s">
        <v>22783</v>
      </c>
      <c r="H77" s="1170" t="s">
        <v>7057</v>
      </c>
      <c r="I77" s="1170" t="s">
        <v>22885</v>
      </c>
      <c r="J77" s="1178" t="s">
        <v>22986</v>
      </c>
      <c r="K77" s="1178" t="s">
        <v>23088</v>
      </c>
    </row>
    <row r="78" spans="1:11" ht="22" customHeight="1" x14ac:dyDescent="0.35">
      <c r="A78" s="1176">
        <v>72</v>
      </c>
      <c r="B78" s="1167" t="s">
        <v>21072</v>
      </c>
      <c r="C78" s="1167" t="s">
        <v>913</v>
      </c>
      <c r="D78" s="1167" t="s">
        <v>5527</v>
      </c>
      <c r="E78" s="1168" t="s">
        <v>21073</v>
      </c>
      <c r="F78" s="1167" t="s">
        <v>21074</v>
      </c>
      <c r="G78" s="1167" t="s">
        <v>22784</v>
      </c>
      <c r="H78" s="1167" t="s">
        <v>21075</v>
      </c>
      <c r="I78" s="1167" t="s">
        <v>22813</v>
      </c>
      <c r="J78" s="1179" t="s">
        <v>22987</v>
      </c>
      <c r="K78" s="1179" t="s">
        <v>23016</v>
      </c>
    </row>
    <row r="79" spans="1:11" ht="22" customHeight="1" x14ac:dyDescent="0.35">
      <c r="A79" s="1175">
        <v>73</v>
      </c>
      <c r="B79" s="1170" t="s">
        <v>21076</v>
      </c>
      <c r="C79" s="1170" t="s">
        <v>913</v>
      </c>
      <c r="D79" s="1170" t="s">
        <v>913</v>
      </c>
      <c r="E79" s="1174" t="s">
        <v>21077</v>
      </c>
      <c r="F79" s="1170" t="s">
        <v>21078</v>
      </c>
      <c r="G79" s="1170" t="s">
        <v>22785</v>
      </c>
      <c r="H79" s="1170" t="s">
        <v>13444</v>
      </c>
      <c r="I79" s="1170" t="s">
        <v>22886</v>
      </c>
      <c r="J79" s="1178" t="s">
        <v>22988</v>
      </c>
      <c r="K79" s="1178" t="s">
        <v>23089</v>
      </c>
    </row>
    <row r="80" spans="1:11" ht="22" customHeight="1" x14ac:dyDescent="0.35">
      <c r="A80" s="1176">
        <v>74</v>
      </c>
      <c r="B80" s="1167" t="s">
        <v>21416</v>
      </c>
      <c r="C80" s="1167" t="s">
        <v>913</v>
      </c>
      <c r="D80" s="1167" t="s">
        <v>913</v>
      </c>
      <c r="E80" s="1168" t="s">
        <v>21417</v>
      </c>
      <c r="F80" s="1167" t="s">
        <v>21418</v>
      </c>
      <c r="G80" s="1167" t="s">
        <v>22776</v>
      </c>
      <c r="H80" s="1167" t="s">
        <v>7365</v>
      </c>
      <c r="I80" s="1167" t="s">
        <v>22887</v>
      </c>
      <c r="J80" s="1179" t="s">
        <v>22979</v>
      </c>
      <c r="K80" s="1179" t="s">
        <v>23090</v>
      </c>
    </row>
    <row r="81" spans="1:11" ht="22" customHeight="1" x14ac:dyDescent="0.35">
      <c r="A81" s="1175">
        <v>75</v>
      </c>
      <c r="B81" s="1170" t="s">
        <v>3707</v>
      </c>
      <c r="C81" s="1170" t="s">
        <v>913</v>
      </c>
      <c r="D81" s="1170" t="s">
        <v>1347</v>
      </c>
      <c r="E81" s="1174" t="s">
        <v>21419</v>
      </c>
      <c r="F81" s="1170" t="s">
        <v>21420</v>
      </c>
      <c r="G81" s="1170" t="s">
        <v>22786</v>
      </c>
      <c r="H81" s="1170" t="s">
        <v>21421</v>
      </c>
      <c r="I81" s="1170" t="s">
        <v>22888</v>
      </c>
      <c r="J81" s="1178" t="s">
        <v>22989</v>
      </c>
      <c r="K81" s="1178" t="s">
        <v>23091</v>
      </c>
    </row>
    <row r="82" spans="1:11" ht="22" customHeight="1" x14ac:dyDescent="0.35">
      <c r="A82" s="1176">
        <v>76</v>
      </c>
      <c r="B82" s="1167" t="s">
        <v>21422</v>
      </c>
      <c r="C82" s="1167" t="s">
        <v>913</v>
      </c>
      <c r="D82" s="1167" t="s">
        <v>913</v>
      </c>
      <c r="E82" s="1168" t="s">
        <v>21423</v>
      </c>
      <c r="F82" s="1167" t="s">
        <v>21424</v>
      </c>
      <c r="G82" s="1167" t="s">
        <v>22787</v>
      </c>
      <c r="H82" s="1167" t="s">
        <v>1143</v>
      </c>
      <c r="I82" s="1167" t="s">
        <v>22889</v>
      </c>
      <c r="J82" s="1179" t="s">
        <v>22990</v>
      </c>
      <c r="K82" s="1179" t="s">
        <v>23092</v>
      </c>
    </row>
    <row r="83" spans="1:11" ht="22" customHeight="1" x14ac:dyDescent="0.35">
      <c r="A83" s="1175">
        <v>77</v>
      </c>
      <c r="B83" s="1170" t="s">
        <v>21425</v>
      </c>
      <c r="C83" s="1170" t="s">
        <v>913</v>
      </c>
      <c r="D83" s="1170" t="s">
        <v>1077</v>
      </c>
      <c r="E83" s="1174" t="s">
        <v>21426</v>
      </c>
      <c r="F83" s="1170" t="s">
        <v>21427</v>
      </c>
      <c r="G83" s="1170" t="s">
        <v>22788</v>
      </c>
      <c r="H83" s="1170" t="s">
        <v>6176</v>
      </c>
      <c r="I83" s="1170" t="s">
        <v>22890</v>
      </c>
      <c r="J83" s="1178" t="s">
        <v>22991</v>
      </c>
      <c r="K83" s="1178" t="s">
        <v>23093</v>
      </c>
    </row>
    <row r="84" spans="1:11" ht="22" customHeight="1" x14ac:dyDescent="0.35">
      <c r="A84" s="1176">
        <v>78</v>
      </c>
      <c r="B84" s="1167" t="s">
        <v>21428</v>
      </c>
      <c r="C84" s="1167" t="s">
        <v>913</v>
      </c>
      <c r="D84" s="1167" t="s">
        <v>913</v>
      </c>
      <c r="E84" s="1168" t="s">
        <v>21429</v>
      </c>
      <c r="F84" s="1167" t="s">
        <v>21033</v>
      </c>
      <c r="G84" s="1167" t="s">
        <v>22774</v>
      </c>
      <c r="H84" s="1167" t="s">
        <v>21430</v>
      </c>
      <c r="I84" s="1167" t="s">
        <v>22891</v>
      </c>
      <c r="J84" s="1179" t="s">
        <v>22977</v>
      </c>
      <c r="K84" s="1179" t="s">
        <v>23094</v>
      </c>
    </row>
    <row r="85" spans="1:11" ht="22" customHeight="1" x14ac:dyDescent="0.35">
      <c r="A85" s="1175">
        <v>79</v>
      </c>
      <c r="B85" s="1170" t="s">
        <v>21465</v>
      </c>
      <c r="C85" s="1170" t="s">
        <v>913</v>
      </c>
      <c r="D85" s="1170" t="s">
        <v>913</v>
      </c>
      <c r="E85" s="1174" t="s">
        <v>21466</v>
      </c>
      <c r="F85" s="1170" t="s">
        <v>21467</v>
      </c>
      <c r="G85" s="1170" t="s">
        <v>22789</v>
      </c>
      <c r="H85" s="1170" t="s">
        <v>21468</v>
      </c>
      <c r="I85" s="1170" t="s">
        <v>22892</v>
      </c>
      <c r="J85" s="1178" t="s">
        <v>22992</v>
      </c>
      <c r="K85" s="1178" t="s">
        <v>23095</v>
      </c>
    </row>
    <row r="86" spans="1:11" ht="22" customHeight="1" x14ac:dyDescent="0.35">
      <c r="A86" s="1176">
        <v>80</v>
      </c>
      <c r="B86" s="1167" t="s">
        <v>21505</v>
      </c>
      <c r="C86" s="1167" t="s">
        <v>913</v>
      </c>
      <c r="D86" s="1167" t="s">
        <v>913</v>
      </c>
      <c r="E86" s="1168" t="s">
        <v>21506</v>
      </c>
      <c r="F86" s="1167" t="s">
        <v>21467</v>
      </c>
      <c r="G86" s="1167" t="s">
        <v>22789</v>
      </c>
      <c r="H86" s="1167" t="s">
        <v>11785</v>
      </c>
      <c r="I86" s="1167" t="s">
        <v>22893</v>
      </c>
      <c r="J86" s="1179" t="s">
        <v>22992</v>
      </c>
      <c r="K86" s="1179" t="s">
        <v>23096</v>
      </c>
    </row>
    <row r="87" spans="1:11" ht="28" customHeight="1" x14ac:dyDescent="0.35">
      <c r="A87" s="1382" t="s">
        <v>21514</v>
      </c>
      <c r="B87" s="1382"/>
      <c r="C87" s="1382"/>
      <c r="D87" s="1382"/>
      <c r="E87" s="1382"/>
      <c r="F87" s="1382"/>
      <c r="G87" s="1382"/>
      <c r="H87" s="1382"/>
      <c r="I87" s="1382"/>
      <c r="J87" s="1383"/>
      <c r="K87" s="1383"/>
    </row>
    <row r="88" spans="1:11" ht="22" customHeight="1" x14ac:dyDescent="0.35">
      <c r="A88" s="1175">
        <v>81</v>
      </c>
      <c r="B88" s="1170" t="s">
        <v>20924</v>
      </c>
      <c r="C88" s="1170" t="s">
        <v>853</v>
      </c>
      <c r="D88" s="1170" t="s">
        <v>1412</v>
      </c>
      <c r="E88" s="1174" t="s">
        <v>21079</v>
      </c>
      <c r="F88" s="1170" t="s">
        <v>21080</v>
      </c>
      <c r="G88" s="1170" t="s">
        <v>22790</v>
      </c>
      <c r="H88" s="1170" t="s">
        <v>21081</v>
      </c>
      <c r="I88" s="1170" t="s">
        <v>22792</v>
      </c>
      <c r="J88" s="1178" t="s">
        <v>22993</v>
      </c>
      <c r="K88" s="1178" t="s">
        <v>22995</v>
      </c>
    </row>
    <row r="89" spans="1:11" ht="22" customHeight="1" x14ac:dyDescent="0.35">
      <c r="A89" s="1176">
        <v>82</v>
      </c>
      <c r="B89" s="1167" t="s">
        <v>20925</v>
      </c>
      <c r="C89" s="1167" t="s">
        <v>853</v>
      </c>
      <c r="D89" s="1167" t="s">
        <v>2538</v>
      </c>
      <c r="E89" s="1168" t="s">
        <v>21082</v>
      </c>
      <c r="F89" s="1167" t="s">
        <v>21083</v>
      </c>
      <c r="G89" s="1167" t="s">
        <v>22791</v>
      </c>
      <c r="H89" s="1167" t="s">
        <v>21084</v>
      </c>
      <c r="I89" s="1167" t="s">
        <v>22894</v>
      </c>
      <c r="J89" s="1179" t="s">
        <v>22994</v>
      </c>
      <c r="K89" s="1179" t="s">
        <v>23097</v>
      </c>
    </row>
    <row r="90" spans="1:11" ht="22" customHeight="1" x14ac:dyDescent="0.35">
      <c r="A90" s="1175">
        <v>83</v>
      </c>
      <c r="B90" s="1170" t="s">
        <v>21085</v>
      </c>
      <c r="C90" s="1170" t="s">
        <v>853</v>
      </c>
      <c r="D90" s="1170" t="s">
        <v>1412</v>
      </c>
      <c r="E90" s="1174" t="s">
        <v>21086</v>
      </c>
      <c r="F90" s="1170" t="s">
        <v>21087</v>
      </c>
      <c r="G90" s="1170" t="s">
        <v>22792</v>
      </c>
      <c r="H90" s="1170" t="s">
        <v>21088</v>
      </c>
      <c r="I90" s="1170" t="s">
        <v>22895</v>
      </c>
      <c r="J90" s="1178" t="s">
        <v>22995</v>
      </c>
      <c r="K90" s="1178" t="s">
        <v>23098</v>
      </c>
    </row>
    <row r="91" spans="1:11" ht="22" customHeight="1" x14ac:dyDescent="0.35">
      <c r="A91" s="1176">
        <v>84</v>
      </c>
      <c r="B91" s="1167" t="s">
        <v>20927</v>
      </c>
      <c r="C91" s="1167" t="s">
        <v>853</v>
      </c>
      <c r="D91" s="1167" t="s">
        <v>7955</v>
      </c>
      <c r="E91" s="1168" t="s">
        <v>21089</v>
      </c>
      <c r="F91" s="1167" t="s">
        <v>21090</v>
      </c>
      <c r="G91" s="1167" t="s">
        <v>22793</v>
      </c>
      <c r="H91" s="1167" t="s">
        <v>21091</v>
      </c>
      <c r="I91" s="1167" t="s">
        <v>22896</v>
      </c>
      <c r="J91" s="1179" t="s">
        <v>22996</v>
      </c>
      <c r="K91" s="1179" t="s">
        <v>23099</v>
      </c>
    </row>
    <row r="92" spans="1:11" ht="22" customHeight="1" x14ac:dyDescent="0.35">
      <c r="A92" s="1175">
        <v>85</v>
      </c>
      <c r="B92" s="1170" t="s">
        <v>20926</v>
      </c>
      <c r="C92" s="1170" t="s">
        <v>853</v>
      </c>
      <c r="D92" s="1170" t="s">
        <v>2143</v>
      </c>
      <c r="E92" s="1174" t="s">
        <v>21092</v>
      </c>
      <c r="F92" s="1170" t="s">
        <v>21093</v>
      </c>
      <c r="G92" s="1170" t="s">
        <v>22794</v>
      </c>
      <c r="H92" s="1170" t="s">
        <v>21094</v>
      </c>
      <c r="I92" s="1170" t="s">
        <v>22897</v>
      </c>
      <c r="J92" s="1178" t="s">
        <v>22997</v>
      </c>
      <c r="K92" s="1178" t="s">
        <v>23100</v>
      </c>
    </row>
    <row r="93" spans="1:11" ht="22" customHeight="1" x14ac:dyDescent="0.35">
      <c r="A93" s="1176">
        <v>86</v>
      </c>
      <c r="B93" s="1167" t="s">
        <v>21095</v>
      </c>
      <c r="C93" s="1167" t="s">
        <v>853</v>
      </c>
      <c r="D93" s="1167" t="s">
        <v>7792</v>
      </c>
      <c r="E93" s="1168" t="s">
        <v>21096</v>
      </c>
      <c r="F93" s="1167" t="s">
        <v>21097</v>
      </c>
      <c r="G93" s="1167" t="s">
        <v>22795</v>
      </c>
      <c r="H93" s="1167" t="s">
        <v>21098</v>
      </c>
      <c r="I93" s="1167" t="s">
        <v>22898</v>
      </c>
      <c r="J93" s="1179" t="s">
        <v>22998</v>
      </c>
      <c r="K93" s="1179" t="s">
        <v>23101</v>
      </c>
    </row>
    <row r="94" spans="1:11" ht="22" customHeight="1" x14ac:dyDescent="0.35">
      <c r="A94" s="1175">
        <v>87</v>
      </c>
      <c r="B94" s="1170" t="s">
        <v>21099</v>
      </c>
      <c r="C94" s="1170" t="s">
        <v>853</v>
      </c>
      <c r="D94" s="1170" t="s">
        <v>1233</v>
      </c>
      <c r="E94" s="1174" t="s">
        <v>21100</v>
      </c>
      <c r="F94" s="1170" t="s">
        <v>21101</v>
      </c>
      <c r="G94" s="1170" t="s">
        <v>22796</v>
      </c>
      <c r="H94" s="1170" t="s">
        <v>7410</v>
      </c>
      <c r="I94" s="1170" t="s">
        <v>22899</v>
      </c>
      <c r="J94" s="1178" t="s">
        <v>22999</v>
      </c>
      <c r="K94" s="1178" t="s">
        <v>23102</v>
      </c>
    </row>
    <row r="95" spans="1:11" ht="22" customHeight="1" x14ac:dyDescent="0.35">
      <c r="A95" s="1176">
        <v>88</v>
      </c>
      <c r="B95" s="1167" t="s">
        <v>21102</v>
      </c>
      <c r="C95" s="1167" t="s">
        <v>853</v>
      </c>
      <c r="D95" s="1167" t="s">
        <v>1412</v>
      </c>
      <c r="E95" s="1168" t="s">
        <v>21103</v>
      </c>
      <c r="F95" s="1167" t="s">
        <v>21104</v>
      </c>
      <c r="G95" s="1167" t="s">
        <v>22797</v>
      </c>
      <c r="H95" s="1167" t="s">
        <v>21105</v>
      </c>
      <c r="I95" s="1167" t="s">
        <v>22900</v>
      </c>
      <c r="J95" s="1179" t="s">
        <v>23000</v>
      </c>
      <c r="K95" s="1179" t="s">
        <v>23103</v>
      </c>
    </row>
    <row r="96" spans="1:11" ht="22" customHeight="1" x14ac:dyDescent="0.35">
      <c r="A96" s="1175">
        <v>89</v>
      </c>
      <c r="B96" s="1170" t="s">
        <v>21106</v>
      </c>
      <c r="C96" s="1170" t="s">
        <v>853</v>
      </c>
      <c r="D96" s="1170" t="s">
        <v>853</v>
      </c>
      <c r="E96" s="1174" t="s">
        <v>21107</v>
      </c>
      <c r="F96" s="1170" t="s">
        <v>21108</v>
      </c>
      <c r="G96" s="1170" t="s">
        <v>22798</v>
      </c>
      <c r="H96" s="1170" t="s">
        <v>7418</v>
      </c>
      <c r="I96" s="1170" t="s">
        <v>22901</v>
      </c>
      <c r="J96" s="1178" t="s">
        <v>23001</v>
      </c>
      <c r="K96" s="1178" t="s">
        <v>23104</v>
      </c>
    </row>
    <row r="97" spans="1:13" ht="22" customHeight="1" x14ac:dyDescent="0.35">
      <c r="A97" s="1176">
        <v>90</v>
      </c>
      <c r="B97" s="1167" t="s">
        <v>21109</v>
      </c>
      <c r="C97" s="1167" t="s">
        <v>853</v>
      </c>
      <c r="D97" s="1167" t="s">
        <v>2126</v>
      </c>
      <c r="E97" s="1168" t="s">
        <v>21110</v>
      </c>
      <c r="F97" s="1167" t="s">
        <v>21111</v>
      </c>
      <c r="G97" s="1167" t="s">
        <v>22799</v>
      </c>
      <c r="H97" s="1167" t="s">
        <v>21112</v>
      </c>
      <c r="I97" s="1167" t="s">
        <v>22902</v>
      </c>
      <c r="J97" s="1179" t="s">
        <v>23002</v>
      </c>
      <c r="K97" s="1179" t="s">
        <v>23105</v>
      </c>
    </row>
    <row r="98" spans="1:13" ht="22" customHeight="1" x14ac:dyDescent="0.35">
      <c r="A98" s="1175">
        <v>91</v>
      </c>
      <c r="B98" s="1170" t="s">
        <v>21113</v>
      </c>
      <c r="C98" s="1170" t="s">
        <v>853</v>
      </c>
      <c r="D98" s="1170" t="s">
        <v>2538</v>
      </c>
      <c r="E98" s="1174" t="s">
        <v>21114</v>
      </c>
      <c r="F98" s="1170" t="s">
        <v>21115</v>
      </c>
      <c r="G98" s="1170" t="s">
        <v>22800</v>
      </c>
      <c r="H98" s="1170" t="s">
        <v>21116</v>
      </c>
      <c r="I98" s="1170" t="s">
        <v>22903</v>
      </c>
      <c r="J98" s="1178" t="s">
        <v>23003</v>
      </c>
      <c r="K98" s="1178" t="s">
        <v>23106</v>
      </c>
    </row>
    <row r="99" spans="1:13" ht="22" customHeight="1" x14ac:dyDescent="0.35">
      <c r="A99" s="1176">
        <v>92</v>
      </c>
      <c r="B99" s="1167" t="s">
        <v>21117</v>
      </c>
      <c r="C99" s="1167" t="s">
        <v>853</v>
      </c>
      <c r="D99" s="1167" t="s">
        <v>7968</v>
      </c>
      <c r="E99" s="1168" t="s">
        <v>21118</v>
      </c>
      <c r="F99" s="1167" t="s">
        <v>21119</v>
      </c>
      <c r="G99" s="1167" t="s">
        <v>22801</v>
      </c>
      <c r="H99" s="1167" t="s">
        <v>21120</v>
      </c>
      <c r="I99" s="1167" t="s">
        <v>22904</v>
      </c>
      <c r="J99" s="1179" t="s">
        <v>23004</v>
      </c>
      <c r="K99" s="1179" t="s">
        <v>23107</v>
      </c>
    </row>
    <row r="100" spans="1:13" ht="22" customHeight="1" x14ac:dyDescent="0.35">
      <c r="A100" s="1175">
        <v>93</v>
      </c>
      <c r="B100" s="1170" t="s">
        <v>21121</v>
      </c>
      <c r="C100" s="1170" t="s">
        <v>853</v>
      </c>
      <c r="D100" s="1170" t="s">
        <v>2528</v>
      </c>
      <c r="E100" s="1174" t="s">
        <v>21122</v>
      </c>
      <c r="F100" s="1170" t="s">
        <v>21123</v>
      </c>
      <c r="G100" s="1170" t="s">
        <v>22802</v>
      </c>
      <c r="H100" s="1170" t="s">
        <v>1433</v>
      </c>
      <c r="I100" s="1170" t="s">
        <v>22905</v>
      </c>
      <c r="J100" s="1178" t="s">
        <v>23005</v>
      </c>
      <c r="K100" s="1178" t="s">
        <v>23108</v>
      </c>
    </row>
    <row r="101" spans="1:13" ht="22" customHeight="1" x14ac:dyDescent="0.35">
      <c r="A101" s="1176">
        <v>94</v>
      </c>
      <c r="B101" s="1167" t="s">
        <v>21124</v>
      </c>
      <c r="C101" s="1167" t="s">
        <v>853</v>
      </c>
      <c r="D101" s="1167" t="s">
        <v>1412</v>
      </c>
      <c r="E101" s="1168" t="s">
        <v>21125</v>
      </c>
      <c r="F101" s="1167" t="s">
        <v>21126</v>
      </c>
      <c r="G101" s="1167" t="s">
        <v>22803</v>
      </c>
      <c r="H101" s="1167" t="s">
        <v>21127</v>
      </c>
      <c r="I101" s="1167" t="s">
        <v>22906</v>
      </c>
      <c r="J101" s="1179" t="s">
        <v>23006</v>
      </c>
      <c r="K101" s="1179" t="s">
        <v>23109</v>
      </c>
    </row>
    <row r="102" spans="1:13" ht="22" customHeight="1" x14ac:dyDescent="0.35">
      <c r="A102" s="1175">
        <v>95</v>
      </c>
      <c r="B102" s="1170" t="s">
        <v>21438</v>
      </c>
      <c r="C102" s="1170" t="s">
        <v>853</v>
      </c>
      <c r="D102" s="1170" t="s">
        <v>2528</v>
      </c>
      <c r="E102" s="1174" t="s">
        <v>21439</v>
      </c>
      <c r="F102" s="1170" t="s">
        <v>21440</v>
      </c>
      <c r="G102" s="1170" t="s">
        <v>22804</v>
      </c>
      <c r="H102" s="1170" t="s">
        <v>21441</v>
      </c>
      <c r="I102" s="1170" t="s">
        <v>22907</v>
      </c>
      <c r="J102" s="1178" t="s">
        <v>23007</v>
      </c>
      <c r="K102" s="1178" t="s">
        <v>23110</v>
      </c>
    </row>
    <row r="103" spans="1:13" s="1165" customFormat="1" ht="22" customHeight="1" x14ac:dyDescent="0.35">
      <c r="A103" s="1176">
        <v>96</v>
      </c>
      <c r="B103" s="1167" t="s">
        <v>21442</v>
      </c>
      <c r="C103" s="1167" t="s">
        <v>853</v>
      </c>
      <c r="D103" s="1167" t="s">
        <v>2159</v>
      </c>
      <c r="E103" s="1168" t="s">
        <v>21443</v>
      </c>
      <c r="F103" s="1167" t="s">
        <v>21444</v>
      </c>
      <c r="G103" s="1167" t="s">
        <v>22805</v>
      </c>
      <c r="H103" s="1167" t="s">
        <v>21445</v>
      </c>
      <c r="I103" s="1167" t="s">
        <v>22908</v>
      </c>
      <c r="J103" s="1179" t="s">
        <v>23008</v>
      </c>
      <c r="K103" s="1179" t="s">
        <v>23111</v>
      </c>
      <c r="L103"/>
      <c r="M103"/>
    </row>
    <row r="104" spans="1:13" ht="22" customHeight="1" x14ac:dyDescent="0.35">
      <c r="A104" s="1175">
        <v>97</v>
      </c>
      <c r="B104" s="1170" t="s">
        <v>21446</v>
      </c>
      <c r="C104" s="1170" t="s">
        <v>853</v>
      </c>
      <c r="D104" s="1170" t="s">
        <v>2538</v>
      </c>
      <c r="E104" s="1174" t="s">
        <v>21413</v>
      </c>
      <c r="F104" s="1170" t="s">
        <v>21447</v>
      </c>
      <c r="G104" s="1170" t="s">
        <v>22806</v>
      </c>
      <c r="H104" s="1170" t="s">
        <v>21448</v>
      </c>
      <c r="I104" s="1170" t="s">
        <v>22909</v>
      </c>
      <c r="J104" s="1178" t="s">
        <v>23009</v>
      </c>
      <c r="K104" s="1178" t="s">
        <v>23112</v>
      </c>
    </row>
    <row r="105" spans="1:13" ht="22" customHeight="1" x14ac:dyDescent="0.35">
      <c r="A105" s="1176">
        <v>98</v>
      </c>
      <c r="B105" s="1167" t="s">
        <v>21349</v>
      </c>
      <c r="C105" s="1167" t="s">
        <v>853</v>
      </c>
      <c r="D105" s="1167" t="s">
        <v>1412</v>
      </c>
      <c r="E105" s="1168" t="s">
        <v>21449</v>
      </c>
      <c r="F105" s="1167" t="s">
        <v>21450</v>
      </c>
      <c r="G105" s="1167" t="s">
        <v>22803</v>
      </c>
      <c r="H105" s="1167" t="s">
        <v>21451</v>
      </c>
      <c r="I105" s="1167" t="s">
        <v>22797</v>
      </c>
      <c r="J105" s="1179" t="s">
        <v>23006</v>
      </c>
      <c r="K105" s="1179" t="s">
        <v>23000</v>
      </c>
    </row>
    <row r="106" spans="1:13" ht="22" customHeight="1" x14ac:dyDescent="0.35">
      <c r="A106" s="1175">
        <v>99</v>
      </c>
      <c r="B106" s="1170" t="s">
        <v>21452</v>
      </c>
      <c r="C106" s="1170" t="s">
        <v>853</v>
      </c>
      <c r="D106" s="1170" t="s">
        <v>1412</v>
      </c>
      <c r="E106" s="1174" t="s">
        <v>21453</v>
      </c>
      <c r="F106" s="1170" t="s">
        <v>21454</v>
      </c>
      <c r="G106" s="1170" t="s">
        <v>22807</v>
      </c>
      <c r="H106" s="1170" t="s">
        <v>21455</v>
      </c>
      <c r="I106" s="1170" t="s">
        <v>22910</v>
      </c>
      <c r="J106" s="1178" t="s">
        <v>23010</v>
      </c>
      <c r="K106" s="1178" t="s">
        <v>23113</v>
      </c>
    </row>
    <row r="107" spans="1:13" ht="22" customHeight="1" x14ac:dyDescent="0.35">
      <c r="A107" s="1176">
        <v>100</v>
      </c>
      <c r="B107" s="1167" t="s">
        <v>21456</v>
      </c>
      <c r="C107" s="1167" t="s">
        <v>853</v>
      </c>
      <c r="D107" s="1167" t="s">
        <v>1233</v>
      </c>
      <c r="E107" s="1168" t="s">
        <v>21457</v>
      </c>
      <c r="F107" s="1167" t="s">
        <v>21458</v>
      </c>
      <c r="G107" s="1167" t="s">
        <v>22808</v>
      </c>
      <c r="H107" s="1167" t="s">
        <v>21459</v>
      </c>
      <c r="I107" s="1167" t="s">
        <v>22911</v>
      </c>
      <c r="J107" s="1179" t="s">
        <v>23011</v>
      </c>
      <c r="K107" s="1179" t="s">
        <v>23114</v>
      </c>
    </row>
    <row r="108" spans="1:13" ht="22" customHeight="1" x14ac:dyDescent="0.35">
      <c r="A108" s="1175">
        <v>101</v>
      </c>
      <c r="B108" s="1170" t="s">
        <v>17301</v>
      </c>
      <c r="C108" s="1170" t="s">
        <v>853</v>
      </c>
      <c r="D108" s="1170" t="s">
        <v>11360</v>
      </c>
      <c r="E108" s="1174" t="s">
        <v>21460</v>
      </c>
      <c r="F108" s="1170" t="s">
        <v>21461</v>
      </c>
      <c r="G108" s="1170" t="s">
        <v>22809</v>
      </c>
      <c r="H108" s="1170" t="s">
        <v>21462</v>
      </c>
      <c r="I108" s="1170" t="s">
        <v>22912</v>
      </c>
      <c r="J108" s="1178" t="s">
        <v>23012</v>
      </c>
      <c r="K108" s="1178" t="s">
        <v>23115</v>
      </c>
    </row>
    <row r="109" spans="1:13" ht="22" customHeight="1" x14ac:dyDescent="0.35">
      <c r="A109" s="1176">
        <v>102</v>
      </c>
      <c r="B109" s="1167" t="s">
        <v>21018</v>
      </c>
      <c r="C109" s="1167" t="s">
        <v>853</v>
      </c>
      <c r="D109" s="1167" t="s">
        <v>5516</v>
      </c>
      <c r="E109" s="1168" t="s">
        <v>21463</v>
      </c>
      <c r="F109" s="1167" t="s">
        <v>21464</v>
      </c>
      <c r="G109" s="1167" t="s">
        <v>22810</v>
      </c>
      <c r="H109" s="1167" t="s">
        <v>7442</v>
      </c>
      <c r="I109" s="1167" t="s">
        <v>22913</v>
      </c>
      <c r="J109" s="1179" t="s">
        <v>23013</v>
      </c>
      <c r="K109" s="1179" t="s">
        <v>23116</v>
      </c>
    </row>
    <row r="110" spans="1:13" ht="28" customHeight="1" x14ac:dyDescent="0.35">
      <c r="A110" s="1384" t="s">
        <v>21515</v>
      </c>
      <c r="B110" s="1384"/>
      <c r="C110" s="1384"/>
      <c r="D110" s="1384"/>
      <c r="E110" s="1384"/>
      <c r="F110" s="1384"/>
      <c r="G110" s="1384"/>
      <c r="H110" s="1384"/>
      <c r="I110" s="1384"/>
      <c r="J110" s="1385"/>
      <c r="K110" s="1385"/>
    </row>
    <row r="111" spans="1:13" ht="22" customHeight="1" x14ac:dyDescent="0.35">
      <c r="A111" s="1175">
        <v>103</v>
      </c>
      <c r="B111" s="1170" t="s">
        <v>20928</v>
      </c>
      <c r="C111" s="1170" t="s">
        <v>767</v>
      </c>
      <c r="D111" s="1170" t="s">
        <v>5761</v>
      </c>
      <c r="E111" s="1174" t="s">
        <v>21128</v>
      </c>
      <c r="F111" s="1170" t="s">
        <v>21129</v>
      </c>
      <c r="G111" s="1170" t="s">
        <v>22811</v>
      </c>
      <c r="H111" s="1170" t="s">
        <v>2719</v>
      </c>
      <c r="I111" s="1170" t="s">
        <v>22914</v>
      </c>
      <c r="J111" s="1178" t="s">
        <v>23014</v>
      </c>
      <c r="K111" s="1178" t="s">
        <v>23117</v>
      </c>
    </row>
    <row r="112" spans="1:13" ht="22" customHeight="1" x14ac:dyDescent="0.35">
      <c r="A112" s="1176">
        <v>104</v>
      </c>
      <c r="B112" s="1167" t="s">
        <v>20929</v>
      </c>
      <c r="C112" s="1167" t="s">
        <v>767</v>
      </c>
      <c r="D112" s="1167" t="s">
        <v>2201</v>
      </c>
      <c r="E112" s="1168" t="s">
        <v>21130</v>
      </c>
      <c r="F112" s="1167" t="s">
        <v>21131</v>
      </c>
      <c r="G112" s="1167" t="s">
        <v>22812</v>
      </c>
      <c r="H112" s="1167" t="s">
        <v>21132</v>
      </c>
      <c r="I112" s="1167" t="s">
        <v>22915</v>
      </c>
      <c r="J112" s="1179" t="s">
        <v>23015</v>
      </c>
      <c r="K112" s="1179" t="s">
        <v>23118</v>
      </c>
    </row>
    <row r="113" spans="1:11" ht="22" customHeight="1" x14ac:dyDescent="0.35">
      <c r="A113" s="1175">
        <v>105</v>
      </c>
      <c r="B113" s="1170" t="s">
        <v>20930</v>
      </c>
      <c r="C113" s="1170" t="s">
        <v>767</v>
      </c>
      <c r="D113" s="1170" t="s">
        <v>5527</v>
      </c>
      <c r="E113" s="1174" t="s">
        <v>21133</v>
      </c>
      <c r="F113" s="1170" t="s">
        <v>21134</v>
      </c>
      <c r="G113" s="1170" t="s">
        <v>22813</v>
      </c>
      <c r="H113" s="1170" t="s">
        <v>21075</v>
      </c>
      <c r="I113" s="1170" t="s">
        <v>22813</v>
      </c>
      <c r="J113" s="1178" t="s">
        <v>23016</v>
      </c>
      <c r="K113" s="1178" t="s">
        <v>23016</v>
      </c>
    </row>
    <row r="114" spans="1:11" ht="22" customHeight="1" x14ac:dyDescent="0.35">
      <c r="A114" s="1176">
        <v>106</v>
      </c>
      <c r="B114" s="1167" t="s">
        <v>21135</v>
      </c>
      <c r="C114" s="1167" t="s">
        <v>767</v>
      </c>
      <c r="D114" s="1167" t="s">
        <v>21136</v>
      </c>
      <c r="E114" s="1168" t="s">
        <v>21137</v>
      </c>
      <c r="F114" s="1167" t="s">
        <v>21138</v>
      </c>
      <c r="G114" s="1167" t="s">
        <v>22814</v>
      </c>
      <c r="H114" s="1167" t="s">
        <v>21139</v>
      </c>
      <c r="I114" s="1167" t="s">
        <v>22916</v>
      </c>
      <c r="J114" s="1179" t="s">
        <v>23017</v>
      </c>
      <c r="K114" s="1179" t="s">
        <v>23119</v>
      </c>
    </row>
    <row r="115" spans="1:11" ht="22" customHeight="1" x14ac:dyDescent="0.35">
      <c r="A115" s="1175">
        <v>107</v>
      </c>
      <c r="B115" s="1170" t="s">
        <v>20932</v>
      </c>
      <c r="C115" s="1170" t="s">
        <v>767</v>
      </c>
      <c r="D115" s="1170" t="s">
        <v>2201</v>
      </c>
      <c r="E115" s="1174" t="s">
        <v>21140</v>
      </c>
      <c r="F115" s="1170" t="s">
        <v>21141</v>
      </c>
      <c r="G115" s="1170" t="s">
        <v>22815</v>
      </c>
      <c r="H115" s="1170" t="s">
        <v>21142</v>
      </c>
      <c r="I115" s="1170" t="s">
        <v>22917</v>
      </c>
      <c r="J115" s="1178" t="s">
        <v>23018</v>
      </c>
      <c r="K115" s="1178" t="s">
        <v>23120</v>
      </c>
    </row>
    <row r="116" spans="1:11" ht="22" customHeight="1" x14ac:dyDescent="0.35">
      <c r="A116" s="1176">
        <v>108</v>
      </c>
      <c r="B116" s="1167" t="s">
        <v>21143</v>
      </c>
      <c r="C116" s="1167" t="s">
        <v>767</v>
      </c>
      <c r="D116" s="1167" t="s">
        <v>5764</v>
      </c>
      <c r="E116" s="1168" t="s">
        <v>21144</v>
      </c>
      <c r="F116" s="1167" t="s">
        <v>21145</v>
      </c>
      <c r="G116" s="1167" t="s">
        <v>22816</v>
      </c>
      <c r="H116" s="1167" t="s">
        <v>21146</v>
      </c>
      <c r="I116" s="1167" t="s">
        <v>22918</v>
      </c>
      <c r="J116" s="1179" t="s">
        <v>23019</v>
      </c>
      <c r="K116" s="1179" t="s">
        <v>23121</v>
      </c>
    </row>
    <row r="117" spans="1:11" ht="22" customHeight="1" x14ac:dyDescent="0.35">
      <c r="A117" s="1175">
        <v>109</v>
      </c>
      <c r="B117" s="1170" t="s">
        <v>21147</v>
      </c>
      <c r="C117" s="1170" t="s">
        <v>767</v>
      </c>
      <c r="D117" s="1170" t="s">
        <v>13675</v>
      </c>
      <c r="E117" s="1174" t="s">
        <v>21148</v>
      </c>
      <c r="F117" s="1170" t="s">
        <v>21149</v>
      </c>
      <c r="G117" s="1170" t="s">
        <v>22817</v>
      </c>
      <c r="H117" s="1170" t="s">
        <v>21150</v>
      </c>
      <c r="I117" s="1170" t="s">
        <v>22919</v>
      </c>
      <c r="J117" s="1178" t="s">
        <v>23020</v>
      </c>
      <c r="K117" s="1178" t="s">
        <v>23122</v>
      </c>
    </row>
    <row r="118" spans="1:11" ht="22" customHeight="1" x14ac:dyDescent="0.35">
      <c r="A118" s="1176">
        <v>110</v>
      </c>
      <c r="B118" s="1167" t="s">
        <v>21151</v>
      </c>
      <c r="C118" s="1167" t="s">
        <v>767</v>
      </c>
      <c r="D118" s="1167" t="s">
        <v>5964</v>
      </c>
      <c r="E118" s="1168" t="s">
        <v>21152</v>
      </c>
      <c r="F118" s="1167" t="s">
        <v>21153</v>
      </c>
      <c r="G118" s="1167" t="s">
        <v>22818</v>
      </c>
      <c r="H118" s="1167" t="s">
        <v>7494</v>
      </c>
      <c r="I118" s="1167" t="s">
        <v>22920</v>
      </c>
      <c r="J118" s="1179" t="s">
        <v>23021</v>
      </c>
      <c r="K118" s="1179" t="s">
        <v>23123</v>
      </c>
    </row>
    <row r="119" spans="1:11" ht="22" customHeight="1" x14ac:dyDescent="0.35">
      <c r="A119" s="1175">
        <v>111</v>
      </c>
      <c r="B119" s="1170" t="s">
        <v>21154</v>
      </c>
      <c r="C119" s="1170" t="s">
        <v>767</v>
      </c>
      <c r="D119" s="1170" t="s">
        <v>2205</v>
      </c>
      <c r="E119" s="1174" t="s">
        <v>21155</v>
      </c>
      <c r="F119" s="1170" t="s">
        <v>21156</v>
      </c>
      <c r="G119" s="1170" t="s">
        <v>22819</v>
      </c>
      <c r="H119" s="1170" t="s">
        <v>21157</v>
      </c>
      <c r="I119" s="1170" t="s">
        <v>22921</v>
      </c>
      <c r="J119" s="1178" t="s">
        <v>23022</v>
      </c>
      <c r="K119" s="1178" t="s">
        <v>23124</v>
      </c>
    </row>
    <row r="120" spans="1:11" ht="22" customHeight="1" x14ac:dyDescent="0.35">
      <c r="A120" s="1176">
        <v>112</v>
      </c>
      <c r="B120" s="1167" t="s">
        <v>21158</v>
      </c>
      <c r="C120" s="1167" t="s">
        <v>767</v>
      </c>
      <c r="D120" s="1167" t="s">
        <v>2180</v>
      </c>
      <c r="E120" s="1168" t="s">
        <v>21159</v>
      </c>
      <c r="F120" s="1167" t="s">
        <v>21160</v>
      </c>
      <c r="G120" s="1167" t="s">
        <v>22820</v>
      </c>
      <c r="H120" s="1167" t="s">
        <v>7479</v>
      </c>
      <c r="I120" s="1167" t="s">
        <v>22922</v>
      </c>
      <c r="J120" s="1179" t="s">
        <v>23023</v>
      </c>
      <c r="K120" s="1179" t="s">
        <v>23125</v>
      </c>
    </row>
    <row r="121" spans="1:11" ht="22" customHeight="1" x14ac:dyDescent="0.35">
      <c r="A121" s="1175">
        <v>113</v>
      </c>
      <c r="B121" s="1170" t="s">
        <v>21161</v>
      </c>
      <c r="C121" s="1170" t="s">
        <v>767</v>
      </c>
      <c r="D121" s="1170" t="s">
        <v>2172</v>
      </c>
      <c r="E121" s="1174" t="s">
        <v>21162</v>
      </c>
      <c r="F121" s="1170" t="s">
        <v>21163</v>
      </c>
      <c r="G121" s="1170" t="s">
        <v>22821</v>
      </c>
      <c r="H121" s="1170" t="s">
        <v>21164</v>
      </c>
      <c r="I121" s="1170" t="s">
        <v>22923</v>
      </c>
      <c r="J121" s="1178" t="s">
        <v>23024</v>
      </c>
      <c r="K121" s="1178" t="s">
        <v>23126</v>
      </c>
    </row>
    <row r="122" spans="1:11" ht="22" customHeight="1" x14ac:dyDescent="0.35">
      <c r="A122" s="1176">
        <v>114</v>
      </c>
      <c r="B122" s="1167" t="s">
        <v>21431</v>
      </c>
      <c r="C122" s="1167" t="s">
        <v>767</v>
      </c>
      <c r="D122" s="1167" t="s">
        <v>5761</v>
      </c>
      <c r="E122" s="1168" t="s">
        <v>21432</v>
      </c>
      <c r="F122" s="1167" t="s">
        <v>21433</v>
      </c>
      <c r="G122" s="1167" t="s">
        <v>22822</v>
      </c>
      <c r="H122" s="1167" t="s">
        <v>21434</v>
      </c>
      <c r="I122" s="1167" t="s">
        <v>22924</v>
      </c>
      <c r="J122" s="1179" t="s">
        <v>23025</v>
      </c>
      <c r="K122" s="1179" t="s">
        <v>23127</v>
      </c>
    </row>
    <row r="123" spans="1:11" ht="22" customHeight="1" x14ac:dyDescent="0.35">
      <c r="A123" s="1175">
        <v>115</v>
      </c>
      <c r="B123" s="1170" t="s">
        <v>21435</v>
      </c>
      <c r="C123" s="1170" t="s">
        <v>767</v>
      </c>
      <c r="D123" s="1170" t="s">
        <v>5764</v>
      </c>
      <c r="E123" s="1174" t="s">
        <v>21436</v>
      </c>
      <c r="F123" s="1170" t="s">
        <v>21437</v>
      </c>
      <c r="G123" s="1170" t="s">
        <v>22823</v>
      </c>
      <c r="H123" s="1170" t="s">
        <v>21146</v>
      </c>
      <c r="I123" s="1170" t="s">
        <v>22918</v>
      </c>
      <c r="J123" s="1178" t="s">
        <v>23026</v>
      </c>
      <c r="K123" s="1178" t="s">
        <v>23121</v>
      </c>
    </row>
    <row r="124" spans="1:11" ht="28" customHeight="1" x14ac:dyDescent="0.35">
      <c r="A124" s="1374" t="s">
        <v>21516</v>
      </c>
      <c r="B124" s="1374"/>
      <c r="C124" s="1374"/>
      <c r="D124" s="1374"/>
      <c r="E124" s="1374"/>
      <c r="F124" s="1374"/>
      <c r="G124" s="1374"/>
      <c r="H124" s="1374"/>
      <c r="I124" s="1374"/>
      <c r="J124" s="1375"/>
      <c r="K124" s="1375"/>
    </row>
    <row r="125" spans="1:11" ht="22" customHeight="1" x14ac:dyDescent="0.35">
      <c r="A125" s="1176">
        <v>116</v>
      </c>
      <c r="B125" s="1167" t="s">
        <v>21165</v>
      </c>
      <c r="C125" s="1167" t="s">
        <v>522</v>
      </c>
      <c r="D125" s="1167" t="s">
        <v>2815</v>
      </c>
      <c r="E125" s="1168" t="s">
        <v>21166</v>
      </c>
      <c r="F125" s="1167" t="s">
        <v>21167</v>
      </c>
      <c r="G125" s="1167" t="s">
        <v>22461</v>
      </c>
      <c r="H125" s="1167" t="s">
        <v>21168</v>
      </c>
      <c r="I125" s="1167" t="s">
        <v>22485</v>
      </c>
      <c r="J125" s="1179" t="s">
        <v>22506</v>
      </c>
      <c r="K125" s="1179" t="s">
        <v>22530</v>
      </c>
    </row>
    <row r="126" spans="1:11" ht="22" customHeight="1" x14ac:dyDescent="0.35">
      <c r="A126" s="1175">
        <v>117</v>
      </c>
      <c r="B126" s="1170" t="s">
        <v>21169</v>
      </c>
      <c r="C126" s="1170" t="s">
        <v>522</v>
      </c>
      <c r="D126" s="1170" t="s">
        <v>2841</v>
      </c>
      <c r="E126" s="1174" t="s">
        <v>21170</v>
      </c>
      <c r="F126" s="1170" t="s">
        <v>21171</v>
      </c>
      <c r="G126" s="1170" t="s">
        <v>22462</v>
      </c>
      <c r="H126" s="1170" t="s">
        <v>21172</v>
      </c>
      <c r="I126" s="1170" t="s">
        <v>22468</v>
      </c>
      <c r="J126" s="1178" t="s">
        <v>22507</v>
      </c>
      <c r="K126" s="1178" t="s">
        <v>22513</v>
      </c>
    </row>
    <row r="127" spans="1:11" ht="22" customHeight="1" x14ac:dyDescent="0.35">
      <c r="A127" s="1176">
        <v>118</v>
      </c>
      <c r="B127" s="1167" t="s">
        <v>21173</v>
      </c>
      <c r="C127" s="1167" t="s">
        <v>522</v>
      </c>
      <c r="D127" s="1167" t="s">
        <v>2828</v>
      </c>
      <c r="E127" s="1168" t="s">
        <v>21174</v>
      </c>
      <c r="F127" s="1167" t="s">
        <v>21175</v>
      </c>
      <c r="G127" s="1167" t="s">
        <v>22463</v>
      </c>
      <c r="H127" s="1167" t="s">
        <v>21176</v>
      </c>
      <c r="I127" s="1167" t="s">
        <v>22486</v>
      </c>
      <c r="J127" s="1179" t="s">
        <v>22508</v>
      </c>
      <c r="K127" s="1179" t="s">
        <v>22531</v>
      </c>
    </row>
    <row r="128" spans="1:11" ht="22" customHeight="1" x14ac:dyDescent="0.35">
      <c r="A128" s="1175">
        <v>119</v>
      </c>
      <c r="B128" s="1170" t="s">
        <v>21177</v>
      </c>
      <c r="C128" s="1170" t="s">
        <v>522</v>
      </c>
      <c r="D128" s="1170" t="s">
        <v>2823</v>
      </c>
      <c r="E128" s="1174" t="s">
        <v>21178</v>
      </c>
      <c r="F128" s="1170" t="s">
        <v>21179</v>
      </c>
      <c r="G128" s="1170" t="s">
        <v>22464</v>
      </c>
      <c r="H128" s="1170" t="s">
        <v>18655</v>
      </c>
      <c r="I128" s="1170" t="s">
        <v>22487</v>
      </c>
      <c r="J128" s="1178" t="s">
        <v>22509</v>
      </c>
      <c r="K128" s="1178" t="s">
        <v>22532</v>
      </c>
    </row>
    <row r="129" spans="1:11" ht="22" customHeight="1" x14ac:dyDescent="0.35">
      <c r="A129" s="1176">
        <v>120</v>
      </c>
      <c r="B129" s="1167" t="s">
        <v>21180</v>
      </c>
      <c r="C129" s="1167" t="s">
        <v>522</v>
      </c>
      <c r="D129" s="1167" t="s">
        <v>2848</v>
      </c>
      <c r="E129" s="1168" t="s">
        <v>21181</v>
      </c>
      <c r="F129" s="1167" t="s">
        <v>21182</v>
      </c>
      <c r="G129" s="1167" t="s">
        <v>22465</v>
      </c>
      <c r="H129" s="1167" t="s">
        <v>21183</v>
      </c>
      <c r="I129" s="1167" t="s">
        <v>22488</v>
      </c>
      <c r="J129" s="1179" t="s">
        <v>22510</v>
      </c>
      <c r="K129" s="1179" t="s">
        <v>22533</v>
      </c>
    </row>
    <row r="130" spans="1:11" ht="22" customHeight="1" x14ac:dyDescent="0.35">
      <c r="A130" s="1175">
        <v>121</v>
      </c>
      <c r="B130" s="1170" t="s">
        <v>21184</v>
      </c>
      <c r="C130" s="1170" t="s">
        <v>522</v>
      </c>
      <c r="D130" s="1170" t="s">
        <v>2815</v>
      </c>
      <c r="E130" s="1174" t="s">
        <v>21185</v>
      </c>
      <c r="F130" s="1170" t="s">
        <v>21186</v>
      </c>
      <c r="G130" s="1170" t="s">
        <v>22466</v>
      </c>
      <c r="H130" s="1170" t="s">
        <v>21187</v>
      </c>
      <c r="I130" s="1170" t="s">
        <v>22489</v>
      </c>
      <c r="J130" s="1178" t="s">
        <v>22511</v>
      </c>
      <c r="K130" s="1178" t="s">
        <v>22534</v>
      </c>
    </row>
    <row r="131" spans="1:11" ht="22" customHeight="1" x14ac:dyDescent="0.35">
      <c r="A131" s="1176">
        <v>122</v>
      </c>
      <c r="B131" s="1167" t="s">
        <v>21188</v>
      </c>
      <c r="C131" s="1167" t="s">
        <v>522</v>
      </c>
      <c r="D131" s="1167" t="s">
        <v>2815</v>
      </c>
      <c r="E131" s="1168" t="s">
        <v>21189</v>
      </c>
      <c r="F131" s="1167" t="s">
        <v>21190</v>
      </c>
      <c r="G131" s="1167" t="s">
        <v>22467</v>
      </c>
      <c r="H131" s="1167" t="s">
        <v>17498</v>
      </c>
      <c r="I131" s="1167" t="s">
        <v>22490</v>
      </c>
      <c r="J131" s="1179" t="s">
        <v>22512</v>
      </c>
      <c r="K131" s="1179" t="s">
        <v>22535</v>
      </c>
    </row>
    <row r="132" spans="1:11" ht="22" customHeight="1" x14ac:dyDescent="0.35">
      <c r="A132" s="1175">
        <v>123</v>
      </c>
      <c r="B132" s="1170" t="s">
        <v>17656</v>
      </c>
      <c r="C132" s="1170" t="s">
        <v>522</v>
      </c>
      <c r="D132" s="1170" t="s">
        <v>2848</v>
      </c>
      <c r="E132" s="1174" t="s">
        <v>21191</v>
      </c>
      <c r="F132" s="1170" t="s">
        <v>21192</v>
      </c>
      <c r="G132" s="1170" t="s">
        <v>22465</v>
      </c>
      <c r="H132" s="1170" t="s">
        <v>21193</v>
      </c>
      <c r="I132" s="1170" t="s">
        <v>22491</v>
      </c>
      <c r="J132" s="1178" t="s">
        <v>22510</v>
      </c>
      <c r="K132" s="1178" t="s">
        <v>22536</v>
      </c>
    </row>
    <row r="133" spans="1:11" ht="22" customHeight="1" x14ac:dyDescent="0.35">
      <c r="A133" s="1176">
        <v>124</v>
      </c>
      <c r="B133" s="1167" t="s">
        <v>21194</v>
      </c>
      <c r="C133" s="1167" t="s">
        <v>522</v>
      </c>
      <c r="D133" s="1167" t="s">
        <v>2841</v>
      </c>
      <c r="E133" s="1168" t="s">
        <v>21195</v>
      </c>
      <c r="F133" s="1167" t="s">
        <v>21196</v>
      </c>
      <c r="G133" s="1167" t="s">
        <v>22468</v>
      </c>
      <c r="H133" s="1167" t="s">
        <v>21197</v>
      </c>
      <c r="I133" s="1167" t="s">
        <v>22462</v>
      </c>
      <c r="J133" s="1179" t="s">
        <v>22513</v>
      </c>
      <c r="K133" s="1179" t="s">
        <v>22507</v>
      </c>
    </row>
    <row r="134" spans="1:11" ht="22" customHeight="1" x14ac:dyDescent="0.35">
      <c r="A134" s="1175">
        <v>125</v>
      </c>
      <c r="B134" s="1170" t="s">
        <v>21198</v>
      </c>
      <c r="C134" s="1170" t="s">
        <v>522</v>
      </c>
      <c r="D134" s="1170" t="s">
        <v>2841</v>
      </c>
      <c r="E134" s="1174" t="s">
        <v>21199</v>
      </c>
      <c r="F134" s="1170" t="s">
        <v>21200</v>
      </c>
      <c r="G134" s="1170" t="s">
        <v>22469</v>
      </c>
      <c r="H134" s="1170" t="s">
        <v>21201</v>
      </c>
      <c r="I134" s="1170" t="s">
        <v>22492</v>
      </c>
      <c r="J134" s="1178" t="s">
        <v>22514</v>
      </c>
      <c r="K134" s="1178" t="s">
        <v>22537</v>
      </c>
    </row>
    <row r="135" spans="1:11" ht="28" customHeight="1" x14ac:dyDescent="0.35">
      <c r="A135" s="1376" t="s">
        <v>21517</v>
      </c>
      <c r="B135" s="1376"/>
      <c r="C135" s="1376"/>
      <c r="D135" s="1376"/>
      <c r="E135" s="1376"/>
      <c r="F135" s="1376"/>
      <c r="G135" s="1376"/>
      <c r="H135" s="1376"/>
      <c r="I135" s="1376"/>
      <c r="J135" s="1377"/>
      <c r="K135" s="1377"/>
    </row>
    <row r="136" spans="1:11" ht="22" customHeight="1" x14ac:dyDescent="0.35">
      <c r="A136" s="1176">
        <v>126</v>
      </c>
      <c r="B136" s="1167" t="s">
        <v>21202</v>
      </c>
      <c r="C136" s="1167" t="s">
        <v>524</v>
      </c>
      <c r="D136" s="1167" t="s">
        <v>2219</v>
      </c>
      <c r="E136" s="1168" t="s">
        <v>21203</v>
      </c>
      <c r="F136" s="1167" t="s">
        <v>21204</v>
      </c>
      <c r="G136" s="1167" t="s">
        <v>22470</v>
      </c>
      <c r="H136" s="1167" t="s">
        <v>3593</v>
      </c>
      <c r="I136" s="1167" t="s">
        <v>22493</v>
      </c>
      <c r="J136" s="1179" t="s">
        <v>22515</v>
      </c>
      <c r="K136" s="1179" t="s">
        <v>22538</v>
      </c>
    </row>
    <row r="137" spans="1:11" ht="22" customHeight="1" x14ac:dyDescent="0.35">
      <c r="A137" s="1175">
        <v>127</v>
      </c>
      <c r="B137" s="1170" t="s">
        <v>21205</v>
      </c>
      <c r="C137" s="1170" t="s">
        <v>524</v>
      </c>
      <c r="D137" s="1170" t="s">
        <v>2219</v>
      </c>
      <c r="E137" s="1174" t="s">
        <v>21206</v>
      </c>
      <c r="F137" s="1170" t="s">
        <v>21207</v>
      </c>
      <c r="G137" s="1170" t="s">
        <v>22471</v>
      </c>
      <c r="H137" s="1170" t="s">
        <v>21208</v>
      </c>
      <c r="I137" s="1170" t="s">
        <v>22494</v>
      </c>
      <c r="J137" s="1178" t="s">
        <v>22516</v>
      </c>
      <c r="K137" s="1178" t="s">
        <v>22539</v>
      </c>
    </row>
    <row r="138" spans="1:11" ht="22" customHeight="1" x14ac:dyDescent="0.35">
      <c r="A138" s="1176">
        <v>128</v>
      </c>
      <c r="B138" s="1167" t="s">
        <v>21209</v>
      </c>
      <c r="C138" s="1167" t="s">
        <v>524</v>
      </c>
      <c r="D138" s="1167" t="s">
        <v>2219</v>
      </c>
      <c r="E138" s="1168" t="s">
        <v>21210</v>
      </c>
      <c r="F138" s="1167" t="s">
        <v>21211</v>
      </c>
      <c r="G138" s="1167" t="s">
        <v>22472</v>
      </c>
      <c r="H138" s="1167" t="s">
        <v>21212</v>
      </c>
      <c r="I138" s="1167" t="s">
        <v>22495</v>
      </c>
      <c r="J138" s="1179" t="s">
        <v>22517</v>
      </c>
      <c r="K138" s="1179" t="s">
        <v>22540</v>
      </c>
    </row>
    <row r="139" spans="1:11" ht="22" customHeight="1" x14ac:dyDescent="0.35">
      <c r="A139" s="1175">
        <v>129</v>
      </c>
      <c r="B139" s="1170" t="s">
        <v>21213</v>
      </c>
      <c r="C139" s="1170" t="s">
        <v>524</v>
      </c>
      <c r="D139" s="1170" t="s">
        <v>2219</v>
      </c>
      <c r="E139" s="1174" t="s">
        <v>21214</v>
      </c>
      <c r="F139" s="1170" t="s">
        <v>21215</v>
      </c>
      <c r="G139" s="1170" t="s">
        <v>22473</v>
      </c>
      <c r="H139" s="1170" t="s">
        <v>21216</v>
      </c>
      <c r="I139" s="1170" t="s">
        <v>22496</v>
      </c>
      <c r="J139" s="1178" t="s">
        <v>22518</v>
      </c>
      <c r="K139" s="1178" t="s">
        <v>22541</v>
      </c>
    </row>
    <row r="140" spans="1:11" ht="22" customHeight="1" x14ac:dyDescent="0.35">
      <c r="A140" s="1176">
        <v>130</v>
      </c>
      <c r="B140" s="1167" t="s">
        <v>21217</v>
      </c>
      <c r="C140" s="1167" t="s">
        <v>524</v>
      </c>
      <c r="D140" s="1167" t="s">
        <v>2228</v>
      </c>
      <c r="E140" s="1168" t="s">
        <v>21218</v>
      </c>
      <c r="F140" s="1167" t="s">
        <v>21219</v>
      </c>
      <c r="G140" s="1167" t="s">
        <v>22474</v>
      </c>
      <c r="H140" s="1167" t="s">
        <v>21220</v>
      </c>
      <c r="I140" s="1167" t="s">
        <v>22497</v>
      </c>
      <c r="J140" s="1179" t="s">
        <v>22519</v>
      </c>
      <c r="K140" s="1179" t="s">
        <v>22542</v>
      </c>
    </row>
    <row r="141" spans="1:11" ht="22" customHeight="1" x14ac:dyDescent="0.35">
      <c r="A141" s="1175">
        <v>131</v>
      </c>
      <c r="B141" s="1170" t="s">
        <v>21221</v>
      </c>
      <c r="C141" s="1170" t="s">
        <v>524</v>
      </c>
      <c r="D141" s="1170" t="s">
        <v>2219</v>
      </c>
      <c r="E141" s="1174" t="s">
        <v>21222</v>
      </c>
      <c r="F141" s="1170" t="s">
        <v>21223</v>
      </c>
      <c r="G141" s="1170" t="s">
        <v>22475</v>
      </c>
      <c r="H141" s="1170" t="s">
        <v>5417</v>
      </c>
      <c r="I141" s="1170" t="s">
        <v>22498</v>
      </c>
      <c r="J141" s="1178" t="s">
        <v>22520</v>
      </c>
      <c r="K141" s="1178" t="s">
        <v>22543</v>
      </c>
    </row>
    <row r="142" spans="1:11" ht="22" customHeight="1" x14ac:dyDescent="0.35">
      <c r="A142" s="1176">
        <v>132</v>
      </c>
      <c r="B142" s="1167" t="s">
        <v>21224</v>
      </c>
      <c r="C142" s="1167" t="s">
        <v>524</v>
      </c>
      <c r="D142" s="1167" t="s">
        <v>2228</v>
      </c>
      <c r="E142" s="1168" t="s">
        <v>21225</v>
      </c>
      <c r="F142" s="1167" t="s">
        <v>21226</v>
      </c>
      <c r="G142" s="1167" t="s">
        <v>22476</v>
      </c>
      <c r="H142" s="1167" t="s">
        <v>21227</v>
      </c>
      <c r="I142" s="1167" t="s">
        <v>22499</v>
      </c>
      <c r="J142" s="1179" t="s">
        <v>22521</v>
      </c>
      <c r="K142" s="1179" t="s">
        <v>22544</v>
      </c>
    </row>
    <row r="143" spans="1:11" ht="22" customHeight="1" x14ac:dyDescent="0.35">
      <c r="A143" s="1175">
        <v>133</v>
      </c>
      <c r="B143" s="1170" t="s">
        <v>21228</v>
      </c>
      <c r="C143" s="1170" t="s">
        <v>524</v>
      </c>
      <c r="D143" s="1170" t="s">
        <v>10009</v>
      </c>
      <c r="E143" s="1174" t="s">
        <v>21229</v>
      </c>
      <c r="F143" s="1170" t="s">
        <v>21230</v>
      </c>
      <c r="G143" s="1170" t="s">
        <v>22477</v>
      </c>
      <c r="H143" s="1170" t="s">
        <v>21231</v>
      </c>
      <c r="I143" s="1170" t="s">
        <v>22500</v>
      </c>
      <c r="J143" s="1178" t="s">
        <v>22522</v>
      </c>
      <c r="K143" s="1178" t="s">
        <v>22545</v>
      </c>
    </row>
    <row r="144" spans="1:11" ht="22" customHeight="1" x14ac:dyDescent="0.35">
      <c r="A144" s="1176">
        <v>134</v>
      </c>
      <c r="B144" s="1167" t="s">
        <v>21232</v>
      </c>
      <c r="C144" s="1167" t="s">
        <v>524</v>
      </c>
      <c r="D144" s="1167" t="s">
        <v>2219</v>
      </c>
      <c r="E144" s="1168" t="s">
        <v>21233</v>
      </c>
      <c r="F144" s="1168" t="s">
        <v>21234</v>
      </c>
      <c r="G144" s="1167" t="s">
        <v>22478</v>
      </c>
      <c r="H144" s="1168" t="s">
        <v>21235</v>
      </c>
      <c r="I144" s="1167" t="s">
        <v>22484</v>
      </c>
      <c r="J144" s="1179" t="s">
        <v>22523</v>
      </c>
      <c r="K144" s="1179" t="s">
        <v>22529</v>
      </c>
    </row>
    <row r="145" spans="1:11" ht="22" customHeight="1" x14ac:dyDescent="0.35">
      <c r="A145" s="1175">
        <v>135</v>
      </c>
      <c r="B145" s="1170" t="s">
        <v>21236</v>
      </c>
      <c r="C145" s="1170" t="s">
        <v>524</v>
      </c>
      <c r="D145" s="1170" t="s">
        <v>5988</v>
      </c>
      <c r="E145" s="1174" t="s">
        <v>21237</v>
      </c>
      <c r="F145" s="1174" t="s">
        <v>21238</v>
      </c>
      <c r="G145" s="1170" t="s">
        <v>22479</v>
      </c>
      <c r="H145" s="1174" t="s">
        <v>21239</v>
      </c>
      <c r="I145" s="1170" t="s">
        <v>22501</v>
      </c>
      <c r="J145" s="1178" t="s">
        <v>22524</v>
      </c>
      <c r="K145" s="1178" t="s">
        <v>22546</v>
      </c>
    </row>
    <row r="146" spans="1:11" ht="22" customHeight="1" x14ac:dyDescent="0.35">
      <c r="A146" s="1176">
        <v>136</v>
      </c>
      <c r="B146" s="1167" t="s">
        <v>21240</v>
      </c>
      <c r="C146" s="1167" t="s">
        <v>524</v>
      </c>
      <c r="D146" s="1167" t="s">
        <v>2219</v>
      </c>
      <c r="E146" s="1168" t="s">
        <v>21241</v>
      </c>
      <c r="F146" s="1168" t="s">
        <v>21242</v>
      </c>
      <c r="G146" s="1167" t="s">
        <v>22480</v>
      </c>
      <c r="H146" s="1168" t="s">
        <v>21243</v>
      </c>
      <c r="I146" s="1167" t="s">
        <v>22502</v>
      </c>
      <c r="J146" s="1179" t="s">
        <v>22525</v>
      </c>
      <c r="K146" s="1179" t="s">
        <v>22547</v>
      </c>
    </row>
    <row r="147" spans="1:11" ht="22" customHeight="1" x14ac:dyDescent="0.35">
      <c r="A147" s="1175">
        <v>137</v>
      </c>
      <c r="B147" s="1170" t="s">
        <v>21244</v>
      </c>
      <c r="C147" s="1170" t="s">
        <v>524</v>
      </c>
      <c r="D147" s="1170" t="s">
        <v>2219</v>
      </c>
      <c r="E147" s="1174" t="s">
        <v>21245</v>
      </c>
      <c r="F147" s="1174" t="s">
        <v>21246</v>
      </c>
      <c r="G147" s="1170" t="s">
        <v>22481</v>
      </c>
      <c r="H147" s="1174" t="s">
        <v>21247</v>
      </c>
      <c r="I147" s="1170" t="s">
        <v>22496</v>
      </c>
      <c r="J147" s="1178" t="s">
        <v>22526</v>
      </c>
      <c r="K147" s="1178" t="s">
        <v>22541</v>
      </c>
    </row>
    <row r="148" spans="1:11" ht="22" customHeight="1" x14ac:dyDescent="0.35">
      <c r="A148" s="1176">
        <v>138</v>
      </c>
      <c r="B148" s="1167" t="s">
        <v>21248</v>
      </c>
      <c r="C148" s="1167" t="s">
        <v>524</v>
      </c>
      <c r="D148" s="1167" t="s">
        <v>2219</v>
      </c>
      <c r="E148" s="1168" t="s">
        <v>21249</v>
      </c>
      <c r="F148" s="1168" t="s">
        <v>21250</v>
      </c>
      <c r="G148" s="1167" t="s">
        <v>22482</v>
      </c>
      <c r="H148" s="1168" t="s">
        <v>5983</v>
      </c>
      <c r="I148" s="1167" t="s">
        <v>22503</v>
      </c>
      <c r="J148" s="1179" t="s">
        <v>22527</v>
      </c>
      <c r="K148" s="1179" t="s">
        <v>22548</v>
      </c>
    </row>
    <row r="149" spans="1:11" ht="22" customHeight="1" x14ac:dyDescent="0.35">
      <c r="A149" s="1175">
        <v>139</v>
      </c>
      <c r="B149" s="1170" t="s">
        <v>21251</v>
      </c>
      <c r="C149" s="1170" t="s">
        <v>524</v>
      </c>
      <c r="D149" s="1170" t="s">
        <v>2219</v>
      </c>
      <c r="E149" s="1174" t="s">
        <v>21252</v>
      </c>
      <c r="F149" s="1174" t="s">
        <v>21253</v>
      </c>
      <c r="G149" s="1170" t="s">
        <v>22483</v>
      </c>
      <c r="H149" s="1174" t="s">
        <v>7149</v>
      </c>
      <c r="I149" s="1170" t="s">
        <v>22504</v>
      </c>
      <c r="J149" s="1178" t="s">
        <v>22528</v>
      </c>
      <c r="K149" s="1178" t="s">
        <v>22549</v>
      </c>
    </row>
    <row r="150" spans="1:11" ht="22" customHeight="1" x14ac:dyDescent="0.35">
      <c r="A150" s="1176">
        <v>140</v>
      </c>
      <c r="B150" s="1167" t="s">
        <v>21254</v>
      </c>
      <c r="C150" s="1167" t="s">
        <v>524</v>
      </c>
      <c r="D150" s="1167" t="s">
        <v>8733</v>
      </c>
      <c r="E150" s="1168" t="s">
        <v>21255</v>
      </c>
      <c r="F150" s="1168" t="s">
        <v>21256</v>
      </c>
      <c r="G150" s="1167" t="s">
        <v>22484</v>
      </c>
      <c r="H150" s="1168" t="s">
        <v>21257</v>
      </c>
      <c r="I150" s="1167" t="s">
        <v>22505</v>
      </c>
      <c r="J150" s="1179" t="s">
        <v>22529</v>
      </c>
      <c r="K150" s="1179" t="s">
        <v>22550</v>
      </c>
    </row>
    <row r="205" spans="1:11" ht="15.5" customHeight="1" x14ac:dyDescent="0.35"/>
    <row r="206" spans="1:11" s="1165" customFormat="1" x14ac:dyDescent="0.35">
      <c r="A206"/>
      <c r="B206"/>
      <c r="C206"/>
      <c r="D206"/>
      <c r="E206" s="333"/>
      <c r="F206" s="333"/>
      <c r="G206"/>
      <c r="H206" s="333"/>
      <c r="I206"/>
      <c r="J206"/>
      <c r="K206"/>
    </row>
    <row r="307" spans="1:11" s="1165" customFormat="1" x14ac:dyDescent="0.35">
      <c r="A307"/>
      <c r="B307"/>
      <c r="C307"/>
      <c r="D307"/>
      <c r="E307" s="333"/>
      <c r="F307" s="333"/>
      <c r="G307"/>
      <c r="H307" s="333"/>
      <c r="I307"/>
      <c r="J307"/>
      <c r="K307"/>
    </row>
    <row r="408" spans="1:11" s="1165" customFormat="1" x14ac:dyDescent="0.35">
      <c r="A408"/>
      <c r="B408"/>
      <c r="C408"/>
      <c r="D408"/>
      <c r="E408" s="333"/>
      <c r="F408" s="333"/>
      <c r="G408"/>
      <c r="H408" s="333"/>
      <c r="I408"/>
      <c r="J408"/>
      <c r="K408"/>
    </row>
  </sheetData>
  <mergeCells count="9">
    <mergeCell ref="A1:K1"/>
    <mergeCell ref="A2:K2"/>
    <mergeCell ref="A4:K4"/>
    <mergeCell ref="A124:K124"/>
    <mergeCell ref="A135:K135"/>
    <mergeCell ref="A40:K40"/>
    <mergeCell ref="A64:K64"/>
    <mergeCell ref="A87:K87"/>
    <mergeCell ref="A110:K110"/>
  </mergeCells>
  <hyperlinks>
    <hyperlink ref="J60" r:id="rId1" display="https://www.google.com/maps?q=39.4792,-8.5356" xr:uid="{3456A3A8-770F-4BEF-A76B-54DD5501961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8D36-47E2-4565-A5E2-53E8A03BBDD0}">
  <dimension ref="A1:J172"/>
  <sheetViews>
    <sheetView topLeftCell="B1" workbookViewId="0">
      <pane ySplit="3" topLeftCell="A4" activePane="bottomLeft" state="frozen"/>
      <selection pane="bottomLeft" sqref="A1:XFD1"/>
    </sheetView>
  </sheetViews>
  <sheetFormatPr defaultRowHeight="14.5" x14ac:dyDescent="0.35"/>
  <cols>
    <col min="1" max="1" width="3.81640625" bestFit="1" customWidth="1"/>
    <col min="2" max="2" width="35.1796875" bestFit="1" customWidth="1"/>
    <col min="3" max="3" width="23.6328125" bestFit="1" customWidth="1"/>
    <col min="4" max="4" width="45.453125" customWidth="1"/>
    <col min="5" max="5" width="26.7265625" bestFit="1" customWidth="1"/>
    <col min="6" max="6" width="18.1796875" customWidth="1"/>
    <col min="7" max="7" width="32.7265625" customWidth="1"/>
    <col min="8" max="8" width="18.1796875" customWidth="1"/>
    <col min="9" max="10" width="14.54296875" customWidth="1"/>
  </cols>
  <sheetData>
    <row r="1" spans="1:10" ht="35" customHeight="1" x14ac:dyDescent="0.35">
      <c r="A1" s="1398" t="s">
        <v>21522</v>
      </c>
      <c r="B1" s="1399"/>
      <c r="C1" s="1399"/>
      <c r="D1" s="1399"/>
      <c r="E1" s="1399"/>
      <c r="F1" s="1399"/>
      <c r="G1" s="1399"/>
      <c r="H1" s="1399"/>
      <c r="I1" s="1399"/>
      <c r="J1" s="1399"/>
    </row>
    <row r="2" spans="1:10" ht="22" customHeight="1" x14ac:dyDescent="0.35">
      <c r="A2" s="1400" t="s">
        <v>21523</v>
      </c>
      <c r="B2" s="1401"/>
      <c r="C2" s="1401"/>
      <c r="D2" s="1401"/>
      <c r="E2" s="1401"/>
      <c r="F2" s="1401"/>
      <c r="G2" s="1401"/>
      <c r="H2" s="1401"/>
      <c r="I2" s="1401"/>
      <c r="J2" s="1401"/>
    </row>
    <row r="3" spans="1:10" ht="25" customHeight="1" x14ac:dyDescent="0.35">
      <c r="A3" s="1166" t="s">
        <v>141</v>
      </c>
      <c r="B3" s="1166" t="s">
        <v>21524</v>
      </c>
      <c r="C3" s="1166" t="s">
        <v>619</v>
      </c>
      <c r="D3" s="1166" t="s">
        <v>8</v>
      </c>
      <c r="E3" s="1166" t="s">
        <v>20879</v>
      </c>
      <c r="F3" s="1166" t="s">
        <v>21525</v>
      </c>
      <c r="G3" s="1166" t="s">
        <v>20881</v>
      </c>
      <c r="H3" s="1166" t="s">
        <v>21526</v>
      </c>
      <c r="I3" s="1166" t="s">
        <v>21518</v>
      </c>
      <c r="J3" s="1166" t="s">
        <v>21519</v>
      </c>
    </row>
    <row r="4" spans="1:10" ht="25" customHeight="1" x14ac:dyDescent="0.35">
      <c r="A4" s="1402" t="s">
        <v>21527</v>
      </c>
      <c r="B4" s="1403"/>
      <c r="C4" s="1402"/>
      <c r="D4" s="1404"/>
      <c r="E4" s="1404"/>
      <c r="F4" s="1402"/>
      <c r="G4" s="1404"/>
      <c r="H4" s="1402"/>
      <c r="I4" s="1405"/>
      <c r="J4" s="1405"/>
    </row>
    <row r="5" spans="1:10" x14ac:dyDescent="0.35">
      <c r="A5" s="1181">
        <v>1</v>
      </c>
      <c r="B5" s="1169" t="s">
        <v>21259</v>
      </c>
      <c r="C5" s="1181" t="s">
        <v>21258</v>
      </c>
      <c r="D5" s="1173" t="s">
        <v>21260</v>
      </c>
      <c r="E5" s="1173" t="s">
        <v>3841</v>
      </c>
      <c r="F5" s="1181" t="s">
        <v>23128</v>
      </c>
      <c r="G5" s="1173" t="s">
        <v>21528</v>
      </c>
      <c r="H5" s="1181" t="s">
        <v>23265</v>
      </c>
      <c r="I5" s="1183" t="s">
        <v>23404</v>
      </c>
      <c r="J5" s="1183" t="s">
        <v>23541</v>
      </c>
    </row>
    <row r="6" spans="1:10" x14ac:dyDescent="0.35">
      <c r="A6" s="1182">
        <v>2</v>
      </c>
      <c r="B6" s="1171" t="s">
        <v>21261</v>
      </c>
      <c r="C6" s="1182" t="s">
        <v>21258</v>
      </c>
      <c r="D6" s="1172" t="s">
        <v>21262</v>
      </c>
      <c r="E6" s="1172" t="s">
        <v>21529</v>
      </c>
      <c r="F6" s="1182" t="s">
        <v>23129</v>
      </c>
      <c r="G6" s="1172" t="s">
        <v>21530</v>
      </c>
      <c r="H6" s="1182" t="s">
        <v>23266</v>
      </c>
      <c r="I6" s="1184" t="s">
        <v>23405</v>
      </c>
      <c r="J6" s="1184" t="s">
        <v>23542</v>
      </c>
    </row>
    <row r="7" spans="1:10" x14ac:dyDescent="0.35">
      <c r="A7" s="1181">
        <v>3</v>
      </c>
      <c r="B7" s="1169" t="s">
        <v>21263</v>
      </c>
      <c r="C7" s="1181" t="s">
        <v>21258</v>
      </c>
      <c r="D7" s="1173" t="s">
        <v>21264</v>
      </c>
      <c r="E7" s="1173" t="s">
        <v>21531</v>
      </c>
      <c r="F7" s="1181" t="s">
        <v>23130</v>
      </c>
      <c r="G7" s="1173" t="s">
        <v>21532</v>
      </c>
      <c r="H7" s="1181" t="s">
        <v>23267</v>
      </c>
      <c r="I7" s="1183" t="s">
        <v>23406</v>
      </c>
      <c r="J7" s="1183" t="s">
        <v>23543</v>
      </c>
    </row>
    <row r="8" spans="1:10" x14ac:dyDescent="0.35">
      <c r="A8" s="1182">
        <v>4</v>
      </c>
      <c r="B8" s="1171" t="s">
        <v>21265</v>
      </c>
      <c r="C8" s="1182" t="s">
        <v>21258</v>
      </c>
      <c r="D8" s="1172" t="s">
        <v>21266</v>
      </c>
      <c r="E8" s="1172" t="s">
        <v>21533</v>
      </c>
      <c r="F8" s="1182" t="s">
        <v>23131</v>
      </c>
      <c r="G8" s="1172" t="s">
        <v>21534</v>
      </c>
      <c r="H8" s="1182" t="s">
        <v>23268</v>
      </c>
      <c r="I8" s="1184" t="s">
        <v>23407</v>
      </c>
      <c r="J8" s="1184" t="s">
        <v>23544</v>
      </c>
    </row>
    <row r="9" spans="1:10" x14ac:dyDescent="0.35">
      <c r="A9" s="1181">
        <v>5</v>
      </c>
      <c r="B9" s="1169" t="s">
        <v>21267</v>
      </c>
      <c r="C9" s="1181" t="s">
        <v>21258</v>
      </c>
      <c r="D9" s="1173" t="s">
        <v>21268</v>
      </c>
      <c r="E9" s="1173" t="s">
        <v>21535</v>
      </c>
      <c r="F9" s="1181" t="s">
        <v>23132</v>
      </c>
      <c r="G9" s="1173" t="s">
        <v>21536</v>
      </c>
      <c r="H9" s="1181" t="s">
        <v>23269</v>
      </c>
      <c r="I9" s="1183" t="s">
        <v>23408</v>
      </c>
      <c r="J9" s="1183" t="s">
        <v>23545</v>
      </c>
    </row>
    <row r="10" spans="1:10" x14ac:dyDescent="0.35">
      <c r="A10" s="1182">
        <v>6</v>
      </c>
      <c r="B10" s="1171" t="s">
        <v>20971</v>
      </c>
      <c r="C10" s="1182" t="s">
        <v>21258</v>
      </c>
      <c r="D10" s="1172" t="s">
        <v>21269</v>
      </c>
      <c r="E10" s="1172" t="s">
        <v>21537</v>
      </c>
      <c r="F10" s="1182" t="s">
        <v>23133</v>
      </c>
      <c r="G10" s="1172" t="s">
        <v>21538</v>
      </c>
      <c r="H10" s="1182" t="s">
        <v>23270</v>
      </c>
      <c r="I10" s="1184" t="s">
        <v>23409</v>
      </c>
      <c r="J10" s="1184" t="s">
        <v>23546</v>
      </c>
    </row>
    <row r="11" spans="1:10" x14ac:dyDescent="0.35">
      <c r="A11" s="1181">
        <v>7</v>
      </c>
      <c r="B11" s="1169" t="s">
        <v>21270</v>
      </c>
      <c r="C11" s="1181" t="s">
        <v>21258</v>
      </c>
      <c r="D11" s="1173" t="s">
        <v>21271</v>
      </c>
      <c r="E11" s="1173" t="s">
        <v>21539</v>
      </c>
      <c r="F11" s="1181" t="s">
        <v>23134</v>
      </c>
      <c r="G11" s="1173" t="s">
        <v>21540</v>
      </c>
      <c r="H11" s="1181" t="s">
        <v>23271</v>
      </c>
      <c r="I11" s="1183" t="s">
        <v>23410</v>
      </c>
      <c r="J11" s="1183" t="s">
        <v>23547</v>
      </c>
    </row>
    <row r="12" spans="1:10" x14ac:dyDescent="0.35">
      <c r="A12" s="1182">
        <v>8</v>
      </c>
      <c r="B12" s="1171" t="s">
        <v>21272</v>
      </c>
      <c r="C12" s="1182" t="s">
        <v>21258</v>
      </c>
      <c r="D12" s="1172" t="s">
        <v>21273</v>
      </c>
      <c r="E12" s="1172" t="s">
        <v>21541</v>
      </c>
      <c r="F12" s="1182" t="s">
        <v>23135</v>
      </c>
      <c r="G12" s="1172" t="s">
        <v>21542</v>
      </c>
      <c r="H12" s="1182" t="s">
        <v>23272</v>
      </c>
      <c r="I12" s="1184" t="s">
        <v>23411</v>
      </c>
      <c r="J12" s="1184" t="s">
        <v>23548</v>
      </c>
    </row>
    <row r="13" spans="1:10" x14ac:dyDescent="0.35">
      <c r="A13" s="1181">
        <v>9</v>
      </c>
      <c r="B13" s="1169" t="s">
        <v>21274</v>
      </c>
      <c r="C13" s="1181" t="s">
        <v>21258</v>
      </c>
      <c r="D13" s="1173" t="s">
        <v>21275</v>
      </c>
      <c r="E13" s="1173" t="s">
        <v>21543</v>
      </c>
      <c r="F13" s="1181" t="s">
        <v>23136</v>
      </c>
      <c r="G13" s="1173" t="s">
        <v>21544</v>
      </c>
      <c r="H13" s="1181" t="s">
        <v>23273</v>
      </c>
      <c r="I13" s="1183" t="s">
        <v>23412</v>
      </c>
      <c r="J13" s="1183" t="s">
        <v>23549</v>
      </c>
    </row>
    <row r="14" spans="1:10" x14ac:dyDescent="0.35">
      <c r="A14" s="1182">
        <v>10</v>
      </c>
      <c r="B14" s="1171" t="s">
        <v>21276</v>
      </c>
      <c r="C14" s="1182" t="s">
        <v>21258</v>
      </c>
      <c r="D14" s="1172" t="s">
        <v>21277</v>
      </c>
      <c r="E14" s="1172" t="s">
        <v>21545</v>
      </c>
      <c r="F14" s="1182" t="s">
        <v>23137</v>
      </c>
      <c r="G14" s="1172" t="s">
        <v>21546</v>
      </c>
      <c r="H14" s="1182" t="s">
        <v>23274</v>
      </c>
      <c r="I14" s="1184" t="s">
        <v>23413</v>
      </c>
      <c r="J14" s="1184" t="s">
        <v>23550</v>
      </c>
    </row>
    <row r="15" spans="1:10" x14ac:dyDescent="0.35">
      <c r="A15" s="1181">
        <v>11</v>
      </c>
      <c r="B15" s="1169" t="s">
        <v>21278</v>
      </c>
      <c r="C15" s="1181" t="s">
        <v>21258</v>
      </c>
      <c r="D15" s="1173" t="s">
        <v>21547</v>
      </c>
      <c r="E15" s="1173" t="s">
        <v>21548</v>
      </c>
      <c r="F15" s="1181" t="s">
        <v>23138</v>
      </c>
      <c r="G15" s="1173" t="s">
        <v>21549</v>
      </c>
      <c r="H15" s="1181" t="s">
        <v>23275</v>
      </c>
      <c r="I15" s="1183" t="s">
        <v>23414</v>
      </c>
      <c r="J15" s="1183" t="s">
        <v>23551</v>
      </c>
    </row>
    <row r="16" spans="1:10" x14ac:dyDescent="0.35">
      <c r="A16" s="1182">
        <v>12</v>
      </c>
      <c r="B16" s="1171" t="s">
        <v>21279</v>
      </c>
      <c r="C16" s="1182" t="s">
        <v>21258</v>
      </c>
      <c r="D16" s="1172" t="s">
        <v>21280</v>
      </c>
      <c r="E16" s="1172" t="s">
        <v>21550</v>
      </c>
      <c r="F16" s="1182" t="s">
        <v>23139</v>
      </c>
      <c r="G16" s="1172" t="s">
        <v>12737</v>
      </c>
      <c r="H16" s="1182" t="s">
        <v>23276</v>
      </c>
      <c r="I16" s="1184" t="s">
        <v>23415</v>
      </c>
      <c r="J16" s="1184" t="s">
        <v>23552</v>
      </c>
    </row>
    <row r="17" spans="1:10" x14ac:dyDescent="0.35">
      <c r="A17" s="1181">
        <v>13</v>
      </c>
      <c r="B17" s="1169" t="s">
        <v>21551</v>
      </c>
      <c r="C17" s="1181" t="s">
        <v>21258</v>
      </c>
      <c r="D17" s="1173" t="s">
        <v>21281</v>
      </c>
      <c r="E17" s="1173" t="s">
        <v>21552</v>
      </c>
      <c r="F17" s="1181" t="s">
        <v>23140</v>
      </c>
      <c r="G17" s="1173" t="s">
        <v>3192</v>
      </c>
      <c r="H17" s="1181" t="s">
        <v>23277</v>
      </c>
      <c r="I17" s="1183" t="s">
        <v>23416</v>
      </c>
      <c r="J17" s="1183" t="s">
        <v>23553</v>
      </c>
    </row>
    <row r="18" spans="1:10" x14ac:dyDescent="0.35">
      <c r="A18" s="1182">
        <v>14</v>
      </c>
      <c r="B18" s="1171" t="s">
        <v>21282</v>
      </c>
      <c r="C18" s="1182" t="s">
        <v>21258</v>
      </c>
      <c r="D18" s="1172" t="s">
        <v>21283</v>
      </c>
      <c r="E18" s="1172" t="s">
        <v>21553</v>
      </c>
      <c r="F18" s="1182" t="s">
        <v>23141</v>
      </c>
      <c r="G18" s="1172" t="s">
        <v>21554</v>
      </c>
      <c r="H18" s="1182" t="s">
        <v>23278</v>
      </c>
      <c r="I18" s="1184" t="s">
        <v>23417</v>
      </c>
      <c r="J18" s="1184" t="s">
        <v>23554</v>
      </c>
    </row>
    <row r="19" spans="1:10" x14ac:dyDescent="0.35">
      <c r="A19" s="1181">
        <v>15</v>
      </c>
      <c r="B19" s="1169" t="s">
        <v>21555</v>
      </c>
      <c r="C19" s="1181" t="s">
        <v>21258</v>
      </c>
      <c r="D19" s="1173" t="s">
        <v>21284</v>
      </c>
      <c r="E19" s="1173" t="s">
        <v>21556</v>
      </c>
      <c r="F19" s="1181" t="s">
        <v>23142</v>
      </c>
      <c r="G19" s="1173" t="s">
        <v>21557</v>
      </c>
      <c r="H19" s="1181" t="s">
        <v>23279</v>
      </c>
      <c r="I19" s="1183" t="s">
        <v>23418</v>
      </c>
      <c r="J19" s="1183" t="s">
        <v>23555</v>
      </c>
    </row>
    <row r="20" spans="1:10" x14ac:dyDescent="0.35">
      <c r="A20" s="1182">
        <v>16</v>
      </c>
      <c r="B20" s="1171" t="s">
        <v>21285</v>
      </c>
      <c r="C20" s="1182" t="s">
        <v>21258</v>
      </c>
      <c r="D20" s="1172" t="s">
        <v>21286</v>
      </c>
      <c r="E20" s="1172" t="s">
        <v>4579</v>
      </c>
      <c r="F20" s="1182" t="s">
        <v>23143</v>
      </c>
      <c r="G20" s="1172" t="s">
        <v>21558</v>
      </c>
      <c r="H20" s="1182" t="s">
        <v>23280</v>
      </c>
      <c r="I20" s="1184" t="s">
        <v>23419</v>
      </c>
      <c r="J20" s="1184" t="s">
        <v>23556</v>
      </c>
    </row>
    <row r="21" spans="1:10" x14ac:dyDescent="0.35">
      <c r="A21" s="1181">
        <v>17</v>
      </c>
      <c r="B21" s="1169" t="s">
        <v>21387</v>
      </c>
      <c r="C21" s="1181" t="s">
        <v>21258</v>
      </c>
      <c r="D21" s="1173" t="s">
        <v>21287</v>
      </c>
      <c r="E21" s="1173" t="s">
        <v>21559</v>
      </c>
      <c r="F21" s="1181" t="s">
        <v>23144</v>
      </c>
      <c r="G21" s="1173" t="s">
        <v>21560</v>
      </c>
      <c r="H21" s="1181" t="s">
        <v>23281</v>
      </c>
      <c r="I21" s="1183" t="s">
        <v>23420</v>
      </c>
      <c r="J21" s="1183" t="s">
        <v>23557</v>
      </c>
    </row>
    <row r="22" spans="1:10" x14ac:dyDescent="0.35">
      <c r="A22" s="1182">
        <v>18</v>
      </c>
      <c r="B22" s="1171" t="s">
        <v>21288</v>
      </c>
      <c r="C22" s="1182" t="s">
        <v>21258</v>
      </c>
      <c r="D22" s="1172" t="s">
        <v>21289</v>
      </c>
      <c r="E22" s="1172" t="s">
        <v>21561</v>
      </c>
      <c r="F22" s="1182" t="s">
        <v>23145</v>
      </c>
      <c r="G22" s="1172" t="s">
        <v>21562</v>
      </c>
      <c r="H22" s="1182" t="s">
        <v>23282</v>
      </c>
      <c r="I22" s="1184" t="s">
        <v>23421</v>
      </c>
      <c r="J22" s="1184" t="s">
        <v>23558</v>
      </c>
    </row>
    <row r="23" spans="1:10" x14ac:dyDescent="0.35">
      <c r="A23" s="1181">
        <v>19</v>
      </c>
      <c r="B23" s="1169" t="s">
        <v>21290</v>
      </c>
      <c r="C23" s="1181" t="s">
        <v>21258</v>
      </c>
      <c r="D23" s="1173" t="s">
        <v>21563</v>
      </c>
      <c r="E23" s="1173" t="s">
        <v>21564</v>
      </c>
      <c r="F23" s="1181" t="s">
        <v>23146</v>
      </c>
      <c r="G23" s="1173" t="s">
        <v>21565</v>
      </c>
      <c r="H23" s="1181" t="s">
        <v>23283</v>
      </c>
      <c r="I23" s="1183" t="s">
        <v>23422</v>
      </c>
      <c r="J23" s="1183" t="s">
        <v>23559</v>
      </c>
    </row>
    <row r="24" spans="1:10" x14ac:dyDescent="0.35">
      <c r="A24" s="1182">
        <v>20</v>
      </c>
      <c r="B24" s="1171" t="s">
        <v>21566</v>
      </c>
      <c r="C24" s="1182" t="s">
        <v>21258</v>
      </c>
      <c r="D24" s="1172" t="s">
        <v>21567</v>
      </c>
      <c r="E24" s="1172" t="s">
        <v>21568</v>
      </c>
      <c r="F24" s="1182" t="s">
        <v>23147</v>
      </c>
      <c r="G24" s="1172" t="s">
        <v>21569</v>
      </c>
      <c r="H24" s="1182" t="s">
        <v>23284</v>
      </c>
      <c r="I24" s="1184" t="s">
        <v>23423</v>
      </c>
      <c r="J24" s="1184" t="s">
        <v>23560</v>
      </c>
    </row>
    <row r="25" spans="1:10" ht="25" customHeight="1" x14ac:dyDescent="0.35">
      <c r="A25" s="1406" t="s">
        <v>21570</v>
      </c>
      <c r="B25" s="1407"/>
      <c r="C25" s="1406"/>
      <c r="D25" s="1408"/>
      <c r="E25" s="1408"/>
      <c r="F25" s="1406"/>
      <c r="G25" s="1408"/>
      <c r="H25" s="1406"/>
      <c r="I25" s="1409"/>
      <c r="J25" s="1409"/>
    </row>
    <row r="26" spans="1:10" x14ac:dyDescent="0.35">
      <c r="A26" s="1181">
        <v>21</v>
      </c>
      <c r="B26" s="1169" t="s">
        <v>21571</v>
      </c>
      <c r="C26" s="1181" t="s">
        <v>21291</v>
      </c>
      <c r="D26" s="1173" t="s">
        <v>21292</v>
      </c>
      <c r="E26" s="1173" t="s">
        <v>21572</v>
      </c>
      <c r="F26" s="1181" t="s">
        <v>23148</v>
      </c>
      <c r="G26" s="1173" t="s">
        <v>21573</v>
      </c>
      <c r="H26" s="1181" t="s">
        <v>23285</v>
      </c>
      <c r="I26" s="1183" t="s">
        <v>23424</v>
      </c>
      <c r="J26" s="1183" t="s">
        <v>23561</v>
      </c>
    </row>
    <row r="27" spans="1:10" x14ac:dyDescent="0.35">
      <c r="A27" s="1182">
        <v>22</v>
      </c>
      <c r="B27" s="1171" t="s">
        <v>21574</v>
      </c>
      <c r="C27" s="1182" t="s">
        <v>21291</v>
      </c>
      <c r="D27" s="1172" t="s">
        <v>21575</v>
      </c>
      <c r="E27" s="1172" t="s">
        <v>21576</v>
      </c>
      <c r="F27" s="1182" t="s">
        <v>23149</v>
      </c>
      <c r="G27" s="1172" t="s">
        <v>21577</v>
      </c>
      <c r="H27" s="1182" t="s">
        <v>23286</v>
      </c>
      <c r="I27" s="1184" t="s">
        <v>23425</v>
      </c>
      <c r="J27" s="1184" t="s">
        <v>23562</v>
      </c>
    </row>
    <row r="28" spans="1:10" x14ac:dyDescent="0.35">
      <c r="A28" s="1181">
        <v>23</v>
      </c>
      <c r="B28" s="1169" t="s">
        <v>21578</v>
      </c>
      <c r="C28" s="1181" t="s">
        <v>21291</v>
      </c>
      <c r="D28" s="1173" t="s">
        <v>21293</v>
      </c>
      <c r="E28" s="1173" t="s">
        <v>21579</v>
      </c>
      <c r="F28" s="1181" t="s">
        <v>23150</v>
      </c>
      <c r="G28" s="1173" t="s">
        <v>21580</v>
      </c>
      <c r="H28" s="1181" t="s">
        <v>23287</v>
      </c>
      <c r="I28" s="1183" t="s">
        <v>23426</v>
      </c>
      <c r="J28" s="1183" t="s">
        <v>23563</v>
      </c>
    </row>
    <row r="29" spans="1:10" x14ac:dyDescent="0.35">
      <c r="A29" s="1182">
        <v>24</v>
      </c>
      <c r="B29" s="1171" t="s">
        <v>21581</v>
      </c>
      <c r="C29" s="1182" t="s">
        <v>21291</v>
      </c>
      <c r="D29" s="1172" t="s">
        <v>21582</v>
      </c>
      <c r="E29" s="1172" t="s">
        <v>21583</v>
      </c>
      <c r="F29" s="1182" t="s">
        <v>23151</v>
      </c>
      <c r="G29" s="1172" t="s">
        <v>21584</v>
      </c>
      <c r="H29" s="1182" t="s">
        <v>23288</v>
      </c>
      <c r="I29" s="1184" t="s">
        <v>23427</v>
      </c>
      <c r="J29" s="1184" t="s">
        <v>23564</v>
      </c>
    </row>
    <row r="30" spans="1:10" x14ac:dyDescent="0.35">
      <c r="A30" s="1181">
        <v>25</v>
      </c>
      <c r="B30" s="1169" t="s">
        <v>21585</v>
      </c>
      <c r="C30" s="1181" t="s">
        <v>21291</v>
      </c>
      <c r="D30" s="1173" t="s">
        <v>21294</v>
      </c>
      <c r="E30" s="1173" t="s">
        <v>21586</v>
      </c>
      <c r="F30" s="1181" t="s">
        <v>23152</v>
      </c>
      <c r="G30" s="1173" t="s">
        <v>21587</v>
      </c>
      <c r="H30" s="1181" t="s">
        <v>23289</v>
      </c>
      <c r="I30" s="1183" t="s">
        <v>23428</v>
      </c>
      <c r="J30" s="1183" t="s">
        <v>23565</v>
      </c>
    </row>
    <row r="31" spans="1:10" x14ac:dyDescent="0.35">
      <c r="A31" s="1182">
        <v>26</v>
      </c>
      <c r="B31" s="1171" t="s">
        <v>21295</v>
      </c>
      <c r="C31" s="1182" t="s">
        <v>21291</v>
      </c>
      <c r="D31" s="1172" t="s">
        <v>21588</v>
      </c>
      <c r="E31" s="1172" t="s">
        <v>1784</v>
      </c>
      <c r="F31" s="1182" t="s">
        <v>23153</v>
      </c>
      <c r="G31" s="1172" t="s">
        <v>2023</v>
      </c>
      <c r="H31" s="1182" t="s">
        <v>23290</v>
      </c>
      <c r="I31" s="1184" t="s">
        <v>23429</v>
      </c>
      <c r="J31" s="1184" t="s">
        <v>23566</v>
      </c>
    </row>
    <row r="32" spans="1:10" x14ac:dyDescent="0.35">
      <c r="A32" s="1181">
        <v>27</v>
      </c>
      <c r="B32" s="1169" t="s">
        <v>21296</v>
      </c>
      <c r="C32" s="1181" t="s">
        <v>21291</v>
      </c>
      <c r="D32" s="1173" t="s">
        <v>21297</v>
      </c>
      <c r="E32" s="1173" t="s">
        <v>21589</v>
      </c>
      <c r="F32" s="1181" t="s">
        <v>23154</v>
      </c>
      <c r="G32" s="1173" t="s">
        <v>21590</v>
      </c>
      <c r="H32" s="1181" t="s">
        <v>23291</v>
      </c>
      <c r="I32" s="1183" t="s">
        <v>23430</v>
      </c>
      <c r="J32" s="1183" t="s">
        <v>23567</v>
      </c>
    </row>
    <row r="33" spans="1:10" x14ac:dyDescent="0.35">
      <c r="A33" s="1182">
        <v>28</v>
      </c>
      <c r="B33" s="1171" t="s">
        <v>21298</v>
      </c>
      <c r="C33" s="1182" t="s">
        <v>21291</v>
      </c>
      <c r="D33" s="1172" t="s">
        <v>21299</v>
      </c>
      <c r="E33" s="1172" t="s">
        <v>1935</v>
      </c>
      <c r="F33" s="1182" t="s">
        <v>23155</v>
      </c>
      <c r="G33" s="1172" t="s">
        <v>5599</v>
      </c>
      <c r="H33" s="1182" t="s">
        <v>23292</v>
      </c>
      <c r="I33" s="1184" t="s">
        <v>23431</v>
      </c>
      <c r="J33" s="1184" t="s">
        <v>23568</v>
      </c>
    </row>
    <row r="34" spans="1:10" x14ac:dyDescent="0.35">
      <c r="A34" s="1181">
        <v>29</v>
      </c>
      <c r="B34" s="1169" t="s">
        <v>21591</v>
      </c>
      <c r="C34" s="1181" t="s">
        <v>21291</v>
      </c>
      <c r="D34" s="1173" t="s">
        <v>21592</v>
      </c>
      <c r="E34" s="1173" t="s">
        <v>21593</v>
      </c>
      <c r="F34" s="1181" t="s">
        <v>23156</v>
      </c>
      <c r="G34" s="1173" t="s">
        <v>21594</v>
      </c>
      <c r="H34" s="1181" t="s">
        <v>23293</v>
      </c>
      <c r="I34" s="1183" t="s">
        <v>23432</v>
      </c>
      <c r="J34" s="1183" t="s">
        <v>23569</v>
      </c>
    </row>
    <row r="35" spans="1:10" x14ac:dyDescent="0.35">
      <c r="A35" s="1182">
        <v>30</v>
      </c>
      <c r="B35" s="1171" t="s">
        <v>21300</v>
      </c>
      <c r="C35" s="1182" t="s">
        <v>21291</v>
      </c>
      <c r="D35" s="1172" t="s">
        <v>21301</v>
      </c>
      <c r="E35" s="1172" t="s">
        <v>8265</v>
      </c>
      <c r="F35" s="1182" t="s">
        <v>23157</v>
      </c>
      <c r="G35" s="1172" t="s">
        <v>7276</v>
      </c>
      <c r="H35" s="1182" t="s">
        <v>23294</v>
      </c>
      <c r="I35" s="1184" t="s">
        <v>23433</v>
      </c>
      <c r="J35" s="1184" t="s">
        <v>23570</v>
      </c>
    </row>
    <row r="36" spans="1:10" x14ac:dyDescent="0.35">
      <c r="A36" s="1181">
        <v>31</v>
      </c>
      <c r="B36" s="1169" t="s">
        <v>21595</v>
      </c>
      <c r="C36" s="1181" t="s">
        <v>21291</v>
      </c>
      <c r="D36" s="1173" t="s">
        <v>21302</v>
      </c>
      <c r="E36" s="1173" t="s">
        <v>1923</v>
      </c>
      <c r="F36" s="1181" t="s">
        <v>23158</v>
      </c>
      <c r="G36" s="1173" t="s">
        <v>21596</v>
      </c>
      <c r="H36" s="1181" t="s">
        <v>23295</v>
      </c>
      <c r="I36" s="1183" t="s">
        <v>23434</v>
      </c>
      <c r="J36" s="1183" t="s">
        <v>23571</v>
      </c>
    </row>
    <row r="37" spans="1:10" x14ac:dyDescent="0.35">
      <c r="A37" s="1182">
        <v>32</v>
      </c>
      <c r="B37" s="1171" t="s">
        <v>21597</v>
      </c>
      <c r="C37" s="1182" t="s">
        <v>21291</v>
      </c>
      <c r="D37" s="1172" t="s">
        <v>21598</v>
      </c>
      <c r="E37" s="1172" t="s">
        <v>21599</v>
      </c>
      <c r="F37" s="1182" t="s">
        <v>23159</v>
      </c>
      <c r="G37" s="1172" t="s">
        <v>21600</v>
      </c>
      <c r="H37" s="1182" t="s">
        <v>23296</v>
      </c>
      <c r="I37" s="1184" t="s">
        <v>23435</v>
      </c>
      <c r="J37" s="1184" t="s">
        <v>23572</v>
      </c>
    </row>
    <row r="38" spans="1:10" x14ac:dyDescent="0.35">
      <c r="A38" s="1181">
        <v>33</v>
      </c>
      <c r="B38" s="1169" t="s">
        <v>21303</v>
      </c>
      <c r="C38" s="1181" t="s">
        <v>21291</v>
      </c>
      <c r="D38" s="1173" t="s">
        <v>21304</v>
      </c>
      <c r="E38" s="1173" t="s">
        <v>1776</v>
      </c>
      <c r="F38" s="1181" t="s">
        <v>23160</v>
      </c>
      <c r="G38" s="1173" t="s">
        <v>1786</v>
      </c>
      <c r="H38" s="1181" t="s">
        <v>23297</v>
      </c>
      <c r="I38" s="1183" t="s">
        <v>23436</v>
      </c>
      <c r="J38" s="1183" t="s">
        <v>23573</v>
      </c>
    </row>
    <row r="39" spans="1:10" x14ac:dyDescent="0.35">
      <c r="A39" s="1182">
        <v>34</v>
      </c>
      <c r="B39" s="1171" t="s">
        <v>21305</v>
      </c>
      <c r="C39" s="1182" t="s">
        <v>21291</v>
      </c>
      <c r="D39" s="1172" t="s">
        <v>21601</v>
      </c>
      <c r="E39" s="1172" t="s">
        <v>4599</v>
      </c>
      <c r="F39" s="1182" t="s">
        <v>23161</v>
      </c>
      <c r="G39" s="1172" t="s">
        <v>4592</v>
      </c>
      <c r="H39" s="1182" t="s">
        <v>23298</v>
      </c>
      <c r="I39" s="1184" t="s">
        <v>23437</v>
      </c>
      <c r="J39" s="1184" t="s">
        <v>23574</v>
      </c>
    </row>
    <row r="40" spans="1:10" x14ac:dyDescent="0.35">
      <c r="A40" s="1181">
        <v>35</v>
      </c>
      <c r="B40" s="1169" t="s">
        <v>21306</v>
      </c>
      <c r="C40" s="1181" t="s">
        <v>21291</v>
      </c>
      <c r="D40" s="1173" t="s">
        <v>21307</v>
      </c>
      <c r="E40" s="1173" t="s">
        <v>21602</v>
      </c>
      <c r="F40" s="1181" t="s">
        <v>23162</v>
      </c>
      <c r="G40" s="1173" t="s">
        <v>21603</v>
      </c>
      <c r="H40" s="1181" t="s">
        <v>23299</v>
      </c>
      <c r="I40" s="1183" t="s">
        <v>23438</v>
      </c>
      <c r="J40" s="1183" t="s">
        <v>23575</v>
      </c>
    </row>
    <row r="41" spans="1:10" x14ac:dyDescent="0.35">
      <c r="A41" s="1182">
        <v>36</v>
      </c>
      <c r="B41" s="1171" t="s">
        <v>21308</v>
      </c>
      <c r="C41" s="1182" t="s">
        <v>21291</v>
      </c>
      <c r="D41" s="1172" t="s">
        <v>21604</v>
      </c>
      <c r="E41" s="1172" t="s">
        <v>5578</v>
      </c>
      <c r="F41" s="1182" t="s">
        <v>23163</v>
      </c>
      <c r="G41" s="1172" t="s">
        <v>4613</v>
      </c>
      <c r="H41" s="1182" t="s">
        <v>23300</v>
      </c>
      <c r="I41" s="1184" t="s">
        <v>23439</v>
      </c>
      <c r="J41" s="1184" t="s">
        <v>23576</v>
      </c>
    </row>
    <row r="42" spans="1:10" x14ac:dyDescent="0.35">
      <c r="A42" s="1181">
        <v>37</v>
      </c>
      <c r="B42" s="1169" t="s">
        <v>21605</v>
      </c>
      <c r="C42" s="1181" t="s">
        <v>21291</v>
      </c>
      <c r="D42" s="1173" t="s">
        <v>21309</v>
      </c>
      <c r="E42" s="1173" t="s">
        <v>11215</v>
      </c>
      <c r="F42" s="1181" t="s">
        <v>23164</v>
      </c>
      <c r="G42" s="1173" t="s">
        <v>7208</v>
      </c>
      <c r="H42" s="1181" t="s">
        <v>23301</v>
      </c>
      <c r="I42" s="1183" t="s">
        <v>23440</v>
      </c>
      <c r="J42" s="1183" t="s">
        <v>23577</v>
      </c>
    </row>
    <row r="43" spans="1:10" x14ac:dyDescent="0.35">
      <c r="A43" s="1182">
        <v>38</v>
      </c>
      <c r="B43" s="1171" t="s">
        <v>21606</v>
      </c>
      <c r="C43" s="1182" t="s">
        <v>21291</v>
      </c>
      <c r="D43" s="1172" t="s">
        <v>21607</v>
      </c>
      <c r="E43" s="1172" t="s">
        <v>8048</v>
      </c>
      <c r="F43" s="1182" t="s">
        <v>23165</v>
      </c>
      <c r="G43" s="1172" t="s">
        <v>21608</v>
      </c>
      <c r="H43" s="1182" t="s">
        <v>23302</v>
      </c>
      <c r="I43" s="1184" t="s">
        <v>23441</v>
      </c>
      <c r="J43" s="1184" t="s">
        <v>23578</v>
      </c>
    </row>
    <row r="44" spans="1:10" x14ac:dyDescent="0.35">
      <c r="A44" s="1181">
        <v>39</v>
      </c>
      <c r="B44" s="1169" t="s">
        <v>21609</v>
      </c>
      <c r="C44" s="1181" t="s">
        <v>21291</v>
      </c>
      <c r="D44" s="1173" t="s">
        <v>21610</v>
      </c>
      <c r="E44" s="1173" t="s">
        <v>21611</v>
      </c>
      <c r="F44" s="1181" t="s">
        <v>23166</v>
      </c>
      <c r="G44" s="1173" t="s">
        <v>1932</v>
      </c>
      <c r="H44" s="1181" t="s">
        <v>23303</v>
      </c>
      <c r="I44" s="1183" t="s">
        <v>23442</v>
      </c>
      <c r="J44" s="1183" t="s">
        <v>23579</v>
      </c>
    </row>
    <row r="45" spans="1:10" x14ac:dyDescent="0.35">
      <c r="A45" s="1182">
        <v>40</v>
      </c>
      <c r="B45" s="1171" t="s">
        <v>21310</v>
      </c>
      <c r="C45" s="1182" t="s">
        <v>21291</v>
      </c>
      <c r="D45" s="1172" t="s">
        <v>21612</v>
      </c>
      <c r="E45" s="1172" t="s">
        <v>1860</v>
      </c>
      <c r="F45" s="1182" t="s">
        <v>23167</v>
      </c>
      <c r="G45" s="1172" t="s">
        <v>4609</v>
      </c>
      <c r="H45" s="1182" t="s">
        <v>23304</v>
      </c>
      <c r="I45" s="1184" t="s">
        <v>23443</v>
      </c>
      <c r="J45" s="1184" t="s">
        <v>23580</v>
      </c>
    </row>
    <row r="46" spans="1:10" ht="25" customHeight="1" x14ac:dyDescent="0.35">
      <c r="A46" s="1410" t="s">
        <v>21613</v>
      </c>
      <c r="B46" s="1411"/>
      <c r="C46" s="1410"/>
      <c r="D46" s="1412"/>
      <c r="E46" s="1412"/>
      <c r="F46" s="1410"/>
      <c r="G46" s="1412"/>
      <c r="H46" s="1410"/>
      <c r="I46" s="1413"/>
      <c r="J46" s="1413"/>
    </row>
    <row r="47" spans="1:10" x14ac:dyDescent="0.35">
      <c r="A47" s="1181">
        <v>41</v>
      </c>
      <c r="B47" s="1169" t="s">
        <v>21015</v>
      </c>
      <c r="C47" s="1181" t="s">
        <v>21311</v>
      </c>
      <c r="D47" s="1173" t="s">
        <v>21312</v>
      </c>
      <c r="E47" s="1173" t="s">
        <v>21614</v>
      </c>
      <c r="F47" s="1181" t="s">
        <v>23168</v>
      </c>
      <c r="G47" s="1173" t="s">
        <v>21615</v>
      </c>
      <c r="H47" s="1181" t="s">
        <v>23305</v>
      </c>
      <c r="I47" s="1183" t="s">
        <v>23444</v>
      </c>
      <c r="J47" s="1183" t="s">
        <v>23581</v>
      </c>
    </row>
    <row r="48" spans="1:10" x14ac:dyDescent="0.35">
      <c r="A48" s="1182">
        <v>42</v>
      </c>
      <c r="B48" s="1171" t="s">
        <v>21616</v>
      </c>
      <c r="C48" s="1182" t="s">
        <v>21311</v>
      </c>
      <c r="D48" s="1172" t="s">
        <v>21617</v>
      </c>
      <c r="E48" s="1172" t="s">
        <v>21618</v>
      </c>
      <c r="F48" s="1182" t="s">
        <v>23169</v>
      </c>
      <c r="G48" s="1172" t="s">
        <v>21619</v>
      </c>
      <c r="H48" s="1182" t="s">
        <v>23306</v>
      </c>
      <c r="I48" s="1184" t="s">
        <v>23445</v>
      </c>
      <c r="J48" s="1184" t="s">
        <v>23582</v>
      </c>
    </row>
    <row r="49" spans="1:10" x14ac:dyDescent="0.35">
      <c r="A49" s="1181">
        <v>43</v>
      </c>
      <c r="B49" s="1169" t="s">
        <v>21620</v>
      </c>
      <c r="C49" s="1181" t="s">
        <v>21311</v>
      </c>
      <c r="D49" s="1173" t="s">
        <v>21621</v>
      </c>
      <c r="E49" s="1173" t="s">
        <v>21622</v>
      </c>
      <c r="F49" s="1181" t="s">
        <v>23170</v>
      </c>
      <c r="G49" s="1173" t="s">
        <v>3805</v>
      </c>
      <c r="H49" s="1181" t="s">
        <v>23307</v>
      </c>
      <c r="I49" s="1183" t="s">
        <v>23446</v>
      </c>
      <c r="J49" s="1183" t="s">
        <v>23583</v>
      </c>
    </row>
    <row r="50" spans="1:10" x14ac:dyDescent="0.35">
      <c r="A50" s="1182">
        <v>44</v>
      </c>
      <c r="B50" s="1171" t="s">
        <v>21623</v>
      </c>
      <c r="C50" s="1182" t="s">
        <v>21311</v>
      </c>
      <c r="D50" s="1172" t="s">
        <v>21314</v>
      </c>
      <c r="E50" s="1172" t="s">
        <v>21624</v>
      </c>
      <c r="F50" s="1182" t="s">
        <v>23171</v>
      </c>
      <c r="G50" s="1172" t="s">
        <v>21625</v>
      </c>
      <c r="H50" s="1182" t="s">
        <v>23308</v>
      </c>
      <c r="I50" s="1184" t="s">
        <v>23447</v>
      </c>
      <c r="J50" s="1184" t="s">
        <v>23584</v>
      </c>
    </row>
    <row r="51" spans="1:10" x14ac:dyDescent="0.35">
      <c r="A51" s="1181">
        <v>45</v>
      </c>
      <c r="B51" s="1169" t="s">
        <v>21626</v>
      </c>
      <c r="C51" s="1181" t="s">
        <v>21311</v>
      </c>
      <c r="D51" s="1173" t="s">
        <v>21627</v>
      </c>
      <c r="E51" s="1173" t="s">
        <v>21628</v>
      </c>
      <c r="F51" s="1181" t="s">
        <v>23172</v>
      </c>
      <c r="G51" s="1173" t="s">
        <v>21629</v>
      </c>
      <c r="H51" s="1181" t="s">
        <v>23309</v>
      </c>
      <c r="I51" s="1183" t="s">
        <v>23448</v>
      </c>
      <c r="J51" s="1183" t="s">
        <v>23585</v>
      </c>
    </row>
    <row r="52" spans="1:10" x14ac:dyDescent="0.35">
      <c r="A52" s="1182">
        <v>46</v>
      </c>
      <c r="B52" s="1171" t="s">
        <v>21315</v>
      </c>
      <c r="C52" s="1182" t="s">
        <v>21311</v>
      </c>
      <c r="D52" s="1172" t="s">
        <v>21630</v>
      </c>
      <c r="E52" s="1172" t="s">
        <v>21631</v>
      </c>
      <c r="F52" s="1182" t="s">
        <v>23173</v>
      </c>
      <c r="G52" s="1172" t="s">
        <v>21632</v>
      </c>
      <c r="H52" s="1182" t="s">
        <v>23310</v>
      </c>
      <c r="I52" s="1184" t="s">
        <v>23449</v>
      </c>
      <c r="J52" s="1184" t="s">
        <v>23586</v>
      </c>
    </row>
    <row r="53" spans="1:10" x14ac:dyDescent="0.35">
      <c r="A53" s="1181">
        <v>47</v>
      </c>
      <c r="B53" s="1169" t="s">
        <v>21633</v>
      </c>
      <c r="C53" s="1181" t="s">
        <v>21311</v>
      </c>
      <c r="D53" s="1173" t="s">
        <v>21316</v>
      </c>
      <c r="E53" s="1173" t="s">
        <v>21634</v>
      </c>
      <c r="F53" s="1181" t="s">
        <v>23174</v>
      </c>
      <c r="G53" s="1173" t="s">
        <v>21603</v>
      </c>
      <c r="H53" s="1181" t="s">
        <v>23311</v>
      </c>
      <c r="I53" s="1183" t="s">
        <v>23450</v>
      </c>
      <c r="J53" s="1183" t="s">
        <v>23587</v>
      </c>
    </row>
    <row r="54" spans="1:10" x14ac:dyDescent="0.35">
      <c r="A54" s="1182">
        <v>48</v>
      </c>
      <c r="B54" s="1171" t="s">
        <v>21317</v>
      </c>
      <c r="C54" s="1182" t="s">
        <v>21311</v>
      </c>
      <c r="D54" s="1172" t="s">
        <v>21318</v>
      </c>
      <c r="E54" s="1172" t="s">
        <v>21635</v>
      </c>
      <c r="F54" s="1182" t="s">
        <v>23175</v>
      </c>
      <c r="G54" s="1172" t="s">
        <v>21603</v>
      </c>
      <c r="H54" s="1182" t="s">
        <v>23312</v>
      </c>
      <c r="I54" s="1184" t="s">
        <v>23451</v>
      </c>
      <c r="J54" s="1184" t="s">
        <v>23588</v>
      </c>
    </row>
    <row r="55" spans="1:10" x14ac:dyDescent="0.35">
      <c r="A55" s="1181">
        <v>49</v>
      </c>
      <c r="B55" s="1169" t="s">
        <v>21319</v>
      </c>
      <c r="C55" s="1181" t="s">
        <v>21311</v>
      </c>
      <c r="D55" s="1173" t="s">
        <v>21636</v>
      </c>
      <c r="E55" s="1173" t="s">
        <v>21637</v>
      </c>
      <c r="F55" s="1181" t="s">
        <v>23176</v>
      </c>
      <c r="G55" s="1173" t="s">
        <v>21638</v>
      </c>
      <c r="H55" s="1181" t="s">
        <v>23313</v>
      </c>
      <c r="I55" s="1183" t="s">
        <v>23452</v>
      </c>
      <c r="J55" s="1183" t="s">
        <v>23589</v>
      </c>
    </row>
    <row r="56" spans="1:10" x14ac:dyDescent="0.35">
      <c r="A56" s="1182">
        <v>50</v>
      </c>
      <c r="B56" s="1171" t="s">
        <v>21320</v>
      </c>
      <c r="C56" s="1182" t="s">
        <v>21311</v>
      </c>
      <c r="D56" s="1172" t="s">
        <v>21639</v>
      </c>
      <c r="E56" s="1172" t="s">
        <v>7015</v>
      </c>
      <c r="F56" s="1182" t="s">
        <v>23177</v>
      </c>
      <c r="G56" s="1172" t="s">
        <v>20917</v>
      </c>
      <c r="H56" s="1182" t="s">
        <v>23314</v>
      </c>
      <c r="I56" s="1184" t="s">
        <v>23453</v>
      </c>
      <c r="J56" s="1184" t="s">
        <v>23590</v>
      </c>
    </row>
    <row r="57" spans="1:10" x14ac:dyDescent="0.35">
      <c r="A57" s="1181">
        <v>51</v>
      </c>
      <c r="B57" s="1169" t="s">
        <v>21640</v>
      </c>
      <c r="C57" s="1181" t="s">
        <v>21311</v>
      </c>
      <c r="D57" s="1173" t="s">
        <v>21321</v>
      </c>
      <c r="E57" s="1173" t="s">
        <v>21641</v>
      </c>
      <c r="F57" s="1181" t="s">
        <v>23178</v>
      </c>
      <c r="G57" s="1173" t="s">
        <v>21642</v>
      </c>
      <c r="H57" s="1181" t="s">
        <v>23315</v>
      </c>
      <c r="I57" s="1183" t="s">
        <v>23454</v>
      </c>
      <c r="J57" s="1183" t="s">
        <v>23591</v>
      </c>
    </row>
    <row r="58" spans="1:10" x14ac:dyDescent="0.35">
      <c r="A58" s="1182">
        <v>52</v>
      </c>
      <c r="B58" s="1171" t="s">
        <v>21322</v>
      </c>
      <c r="C58" s="1182" t="s">
        <v>21311</v>
      </c>
      <c r="D58" s="1172" t="s">
        <v>21323</v>
      </c>
      <c r="E58" s="1172" t="s">
        <v>21643</v>
      </c>
      <c r="F58" s="1182" t="s">
        <v>23179</v>
      </c>
      <c r="G58" s="1172" t="s">
        <v>21644</v>
      </c>
      <c r="H58" s="1182" t="s">
        <v>23316</v>
      </c>
      <c r="I58" s="1184" t="s">
        <v>23455</v>
      </c>
      <c r="J58" s="1184" t="s">
        <v>23592</v>
      </c>
    </row>
    <row r="59" spans="1:10" x14ac:dyDescent="0.35">
      <c r="A59" s="1181">
        <v>53</v>
      </c>
      <c r="B59" s="1169" t="s">
        <v>21324</v>
      </c>
      <c r="C59" s="1181" t="s">
        <v>21311</v>
      </c>
      <c r="D59" s="1173" t="s">
        <v>21645</v>
      </c>
      <c r="E59" s="1173" t="s">
        <v>21646</v>
      </c>
      <c r="F59" s="1181" t="s">
        <v>23180</v>
      </c>
      <c r="G59" s="1173" t="s">
        <v>21021</v>
      </c>
      <c r="H59" s="1181" t="s">
        <v>23317</v>
      </c>
      <c r="I59" s="1183" t="s">
        <v>23456</v>
      </c>
      <c r="J59" s="1183" t="s">
        <v>23593</v>
      </c>
    </row>
    <row r="60" spans="1:10" x14ac:dyDescent="0.35">
      <c r="A60" s="1182">
        <v>54</v>
      </c>
      <c r="B60" s="1171" t="s">
        <v>21325</v>
      </c>
      <c r="C60" s="1182" t="s">
        <v>21311</v>
      </c>
      <c r="D60" s="1172" t="s">
        <v>21326</v>
      </c>
      <c r="E60" s="1172" t="s">
        <v>7682</v>
      </c>
      <c r="F60" s="1182" t="s">
        <v>23181</v>
      </c>
      <c r="G60" s="1172" t="s">
        <v>21647</v>
      </c>
      <c r="H60" s="1182" t="s">
        <v>23318</v>
      </c>
      <c r="I60" s="1184" t="s">
        <v>23457</v>
      </c>
      <c r="J60" s="1184" t="s">
        <v>23594</v>
      </c>
    </row>
    <row r="61" spans="1:10" x14ac:dyDescent="0.35">
      <c r="A61" s="1181">
        <v>55</v>
      </c>
      <c r="B61" s="1169" t="s">
        <v>21648</v>
      </c>
      <c r="C61" s="1181" t="s">
        <v>21311</v>
      </c>
      <c r="D61" s="1173" t="s">
        <v>21649</v>
      </c>
      <c r="E61" s="1173" t="s">
        <v>21650</v>
      </c>
      <c r="F61" s="1181" t="s">
        <v>23182</v>
      </c>
      <c r="G61" s="1173" t="s">
        <v>21651</v>
      </c>
      <c r="H61" s="1181" t="s">
        <v>23319</v>
      </c>
      <c r="I61" s="1183" t="s">
        <v>23458</v>
      </c>
      <c r="J61" s="1183" t="s">
        <v>23595</v>
      </c>
    </row>
    <row r="62" spans="1:10" x14ac:dyDescent="0.35">
      <c r="A62" s="1182">
        <v>56</v>
      </c>
      <c r="B62" s="1171" t="s">
        <v>21652</v>
      </c>
      <c r="C62" s="1182" t="s">
        <v>21311</v>
      </c>
      <c r="D62" s="1172" t="s">
        <v>21653</v>
      </c>
      <c r="E62" s="1172" t="s">
        <v>21654</v>
      </c>
      <c r="F62" s="1182" t="s">
        <v>23183</v>
      </c>
      <c r="G62" s="1172" t="s">
        <v>21655</v>
      </c>
      <c r="H62" s="1182" t="s">
        <v>23320</v>
      </c>
      <c r="I62" s="1184" t="s">
        <v>23459</v>
      </c>
      <c r="J62" s="1184" t="s">
        <v>23596</v>
      </c>
    </row>
    <row r="63" spans="1:10" x14ac:dyDescent="0.35">
      <c r="A63" s="1181">
        <v>57</v>
      </c>
      <c r="B63" s="1169" t="s">
        <v>21656</v>
      </c>
      <c r="C63" s="1181" t="s">
        <v>21311</v>
      </c>
      <c r="D63" s="1173" t="s">
        <v>21327</v>
      </c>
      <c r="E63" s="1173" t="s">
        <v>21657</v>
      </c>
      <c r="F63" s="1181" t="s">
        <v>23184</v>
      </c>
      <c r="G63" s="1173" t="s">
        <v>21658</v>
      </c>
      <c r="H63" s="1181" t="s">
        <v>23321</v>
      </c>
      <c r="I63" s="1183" t="s">
        <v>23460</v>
      </c>
      <c r="J63" s="1183" t="s">
        <v>23597</v>
      </c>
    </row>
    <row r="64" spans="1:10" x14ac:dyDescent="0.35">
      <c r="A64" s="1182">
        <v>58</v>
      </c>
      <c r="B64" s="1171" t="s">
        <v>21659</v>
      </c>
      <c r="C64" s="1182" t="s">
        <v>21311</v>
      </c>
      <c r="D64" s="1172" t="s">
        <v>21660</v>
      </c>
      <c r="E64" s="1172" t="s">
        <v>21661</v>
      </c>
      <c r="F64" s="1182" t="s">
        <v>23185</v>
      </c>
      <c r="G64" s="1172" t="s">
        <v>21603</v>
      </c>
      <c r="H64" s="1182" t="s">
        <v>23322</v>
      </c>
      <c r="I64" s="1184" t="s">
        <v>23461</v>
      </c>
      <c r="J64" s="1184" t="s">
        <v>23598</v>
      </c>
    </row>
    <row r="65" spans="1:10" x14ac:dyDescent="0.35">
      <c r="A65" s="1181">
        <v>59</v>
      </c>
      <c r="B65" s="1169" t="s">
        <v>21662</v>
      </c>
      <c r="C65" s="1181" t="s">
        <v>21311</v>
      </c>
      <c r="D65" s="1173" t="s">
        <v>21663</v>
      </c>
      <c r="E65" s="1173" t="s">
        <v>21664</v>
      </c>
      <c r="F65" s="1181" t="s">
        <v>23186</v>
      </c>
      <c r="G65" s="1173" t="s">
        <v>3424</v>
      </c>
      <c r="H65" s="1181" t="s">
        <v>23323</v>
      </c>
      <c r="I65" s="1183" t="s">
        <v>23462</v>
      </c>
      <c r="J65" s="1183" t="s">
        <v>23599</v>
      </c>
    </row>
    <row r="66" spans="1:10" x14ac:dyDescent="0.35">
      <c r="A66" s="1182">
        <v>60</v>
      </c>
      <c r="B66" s="1171" t="s">
        <v>21665</v>
      </c>
      <c r="C66" s="1182" t="s">
        <v>21311</v>
      </c>
      <c r="D66" s="1172" t="s">
        <v>21328</v>
      </c>
      <c r="E66" s="1172" t="s">
        <v>7735</v>
      </c>
      <c r="F66" s="1182" t="s">
        <v>23187</v>
      </c>
      <c r="G66" s="1172" t="s">
        <v>21666</v>
      </c>
      <c r="H66" s="1182" t="s">
        <v>23324</v>
      </c>
      <c r="I66" s="1184" t="s">
        <v>23463</v>
      </c>
      <c r="J66" s="1184" t="s">
        <v>23600</v>
      </c>
    </row>
    <row r="67" spans="1:10" ht="25" customHeight="1" x14ac:dyDescent="0.35">
      <c r="A67" s="1414" t="s">
        <v>21667</v>
      </c>
      <c r="B67" s="1415"/>
      <c r="C67" s="1414"/>
      <c r="D67" s="1416"/>
      <c r="E67" s="1416"/>
      <c r="F67" s="1414"/>
      <c r="G67" s="1416"/>
      <c r="H67" s="1414"/>
      <c r="I67" s="1417"/>
      <c r="J67" s="1417"/>
    </row>
    <row r="68" spans="1:10" x14ac:dyDescent="0.35">
      <c r="A68" s="1181">
        <v>61</v>
      </c>
      <c r="B68" s="1169" t="s">
        <v>21668</v>
      </c>
      <c r="C68" s="1181" t="s">
        <v>21329</v>
      </c>
      <c r="D68" s="1173" t="s">
        <v>21669</v>
      </c>
      <c r="E68" s="1173" t="s">
        <v>21670</v>
      </c>
      <c r="F68" s="1181" t="s">
        <v>23188</v>
      </c>
      <c r="G68" s="1173" t="s">
        <v>21671</v>
      </c>
      <c r="H68" s="1181" t="s">
        <v>23325</v>
      </c>
      <c r="I68" s="1183" t="s">
        <v>23464</v>
      </c>
      <c r="J68" s="1183" t="s">
        <v>23601</v>
      </c>
    </row>
    <row r="69" spans="1:10" x14ac:dyDescent="0.35">
      <c r="A69" s="1182">
        <v>62</v>
      </c>
      <c r="B69" s="1171" t="s">
        <v>21330</v>
      </c>
      <c r="C69" s="1182" t="s">
        <v>21329</v>
      </c>
      <c r="D69" s="1172" t="s">
        <v>21672</v>
      </c>
      <c r="E69" s="1172" t="s">
        <v>21673</v>
      </c>
      <c r="F69" s="1182" t="s">
        <v>23189</v>
      </c>
      <c r="G69" s="1172" t="s">
        <v>21674</v>
      </c>
      <c r="H69" s="1182" t="s">
        <v>23326</v>
      </c>
      <c r="I69" s="1184" t="s">
        <v>23465</v>
      </c>
      <c r="J69" s="1184" t="s">
        <v>23602</v>
      </c>
    </row>
    <row r="70" spans="1:10" x14ac:dyDescent="0.35">
      <c r="A70" s="1181">
        <v>63</v>
      </c>
      <c r="B70" s="1169" t="s">
        <v>21675</v>
      </c>
      <c r="C70" s="1181" t="s">
        <v>21329</v>
      </c>
      <c r="D70" s="1173" t="s">
        <v>21676</v>
      </c>
      <c r="E70" s="1173"/>
      <c r="F70" s="1181"/>
      <c r="G70" s="1173"/>
      <c r="H70" s="1181"/>
      <c r="I70" s="1183"/>
      <c r="J70" s="1183"/>
    </row>
    <row r="71" spans="1:10" x14ac:dyDescent="0.35">
      <c r="A71" s="1182">
        <v>64</v>
      </c>
      <c r="B71" s="1171" t="s">
        <v>21677</v>
      </c>
      <c r="C71" s="1182" t="s">
        <v>21329</v>
      </c>
      <c r="D71" s="1172" t="s">
        <v>21678</v>
      </c>
      <c r="E71" s="1172" t="s">
        <v>21679</v>
      </c>
      <c r="F71" s="1182" t="s">
        <v>23190</v>
      </c>
      <c r="G71" s="1172" t="s">
        <v>21680</v>
      </c>
      <c r="H71" s="1182" t="s">
        <v>23327</v>
      </c>
      <c r="I71" s="1184" t="s">
        <v>23466</v>
      </c>
      <c r="J71" s="1184" t="s">
        <v>23603</v>
      </c>
    </row>
    <row r="72" spans="1:10" x14ac:dyDescent="0.35">
      <c r="A72" s="1181">
        <v>65</v>
      </c>
      <c r="B72" s="1169" t="s">
        <v>21681</v>
      </c>
      <c r="C72" s="1181" t="s">
        <v>21329</v>
      </c>
      <c r="D72" s="1173" t="s">
        <v>21682</v>
      </c>
      <c r="E72" s="1173" t="s">
        <v>5922</v>
      </c>
      <c r="F72" s="1181" t="s">
        <v>23191</v>
      </c>
      <c r="G72" s="1173" t="s">
        <v>2059</v>
      </c>
      <c r="H72" s="1181" t="s">
        <v>23328</v>
      </c>
      <c r="I72" s="1183" t="s">
        <v>23467</v>
      </c>
      <c r="J72" s="1183" t="s">
        <v>23604</v>
      </c>
    </row>
    <row r="73" spans="1:10" x14ac:dyDescent="0.35">
      <c r="A73" s="1182">
        <v>66</v>
      </c>
      <c r="B73" s="1171" t="s">
        <v>21683</v>
      </c>
      <c r="C73" s="1182" t="s">
        <v>21329</v>
      </c>
      <c r="D73" s="1172" t="s">
        <v>21684</v>
      </c>
      <c r="E73" s="1172" t="s">
        <v>2049</v>
      </c>
      <c r="F73" s="1182" t="s">
        <v>23192</v>
      </c>
      <c r="G73" s="1172" t="s">
        <v>5892</v>
      </c>
      <c r="H73" s="1182" t="s">
        <v>23329</v>
      </c>
      <c r="I73" s="1184" t="s">
        <v>23468</v>
      </c>
      <c r="J73" s="1184" t="s">
        <v>23605</v>
      </c>
    </row>
    <row r="74" spans="1:10" x14ac:dyDescent="0.35">
      <c r="A74" s="1181">
        <v>67</v>
      </c>
      <c r="B74" s="1169" t="s">
        <v>21685</v>
      </c>
      <c r="C74" s="1181" t="s">
        <v>21329</v>
      </c>
      <c r="D74" s="1173" t="s">
        <v>21686</v>
      </c>
      <c r="E74" s="1173" t="s">
        <v>21687</v>
      </c>
      <c r="F74" s="1181" t="s">
        <v>22761</v>
      </c>
      <c r="G74" s="1173" t="s">
        <v>21688</v>
      </c>
      <c r="H74" s="1181" t="s">
        <v>23330</v>
      </c>
      <c r="I74" s="1183" t="s">
        <v>22964</v>
      </c>
      <c r="J74" s="1183" t="s">
        <v>23606</v>
      </c>
    </row>
    <row r="75" spans="1:10" x14ac:dyDescent="0.35">
      <c r="A75" s="1182">
        <v>68</v>
      </c>
      <c r="B75" s="1171" t="s">
        <v>21331</v>
      </c>
      <c r="C75" s="1182" t="s">
        <v>21329</v>
      </c>
      <c r="D75" s="1172" t="s">
        <v>21689</v>
      </c>
      <c r="E75" s="1172" t="s">
        <v>8016</v>
      </c>
      <c r="F75" s="1182" t="s">
        <v>23193</v>
      </c>
      <c r="G75" s="1172" t="s">
        <v>21690</v>
      </c>
      <c r="H75" s="1182" t="s">
        <v>23331</v>
      </c>
      <c r="I75" s="1184" t="s">
        <v>23469</v>
      </c>
      <c r="J75" s="1184" t="s">
        <v>23607</v>
      </c>
    </row>
    <row r="76" spans="1:10" x14ac:dyDescent="0.35">
      <c r="A76" s="1181">
        <v>69</v>
      </c>
      <c r="B76" s="1169" t="s">
        <v>21332</v>
      </c>
      <c r="C76" s="1181" t="s">
        <v>21329</v>
      </c>
      <c r="D76" s="1173" t="s">
        <v>21691</v>
      </c>
      <c r="E76" s="1173" t="s">
        <v>2091</v>
      </c>
      <c r="F76" s="1181" t="s">
        <v>23194</v>
      </c>
      <c r="G76" s="1173" t="s">
        <v>21692</v>
      </c>
      <c r="H76" s="1181" t="s">
        <v>23332</v>
      </c>
      <c r="I76" s="1183" t="s">
        <v>23470</v>
      </c>
      <c r="J76" s="1183" t="s">
        <v>23608</v>
      </c>
    </row>
    <row r="77" spans="1:10" x14ac:dyDescent="0.35">
      <c r="A77" s="1182">
        <v>70</v>
      </c>
      <c r="B77" s="1171" t="s">
        <v>21693</v>
      </c>
      <c r="C77" s="1182" t="s">
        <v>21329</v>
      </c>
      <c r="D77" s="1172" t="s">
        <v>21694</v>
      </c>
      <c r="E77" s="1172" t="s">
        <v>21695</v>
      </c>
      <c r="F77" s="1182" t="s">
        <v>23195</v>
      </c>
      <c r="G77" s="1172" t="s">
        <v>9841</v>
      </c>
      <c r="H77" s="1182" t="s">
        <v>23333</v>
      </c>
      <c r="I77" s="1184" t="s">
        <v>23471</v>
      </c>
      <c r="J77" s="1184" t="s">
        <v>23609</v>
      </c>
    </row>
    <row r="78" spans="1:10" x14ac:dyDescent="0.35">
      <c r="A78" s="1181">
        <v>71</v>
      </c>
      <c r="B78" s="1169" t="s">
        <v>21696</v>
      </c>
      <c r="C78" s="1181" t="s">
        <v>21329</v>
      </c>
      <c r="D78" s="1173" t="s">
        <v>21697</v>
      </c>
      <c r="E78" s="1173" t="s">
        <v>19161</v>
      </c>
      <c r="F78" s="1181" t="s">
        <v>23196</v>
      </c>
      <c r="G78" s="1173" t="s">
        <v>21698</v>
      </c>
      <c r="H78" s="1181" t="s">
        <v>23334</v>
      </c>
      <c r="I78" s="1183" t="s">
        <v>23472</v>
      </c>
      <c r="J78" s="1183" t="s">
        <v>23610</v>
      </c>
    </row>
    <row r="79" spans="1:10" x14ac:dyDescent="0.35">
      <c r="A79" s="1182">
        <v>72</v>
      </c>
      <c r="B79" s="1171" t="s">
        <v>21333</v>
      </c>
      <c r="C79" s="1182" t="s">
        <v>21329</v>
      </c>
      <c r="D79" s="1172" t="s">
        <v>21699</v>
      </c>
      <c r="E79" s="1172" t="s">
        <v>933</v>
      </c>
      <c r="F79" s="1182" t="s">
        <v>23197</v>
      </c>
      <c r="G79" s="1172" t="s">
        <v>9887</v>
      </c>
      <c r="H79" s="1182" t="s">
        <v>23335</v>
      </c>
      <c r="I79" s="1184" t="s">
        <v>23473</v>
      </c>
      <c r="J79" s="1184" t="s">
        <v>23611</v>
      </c>
    </row>
    <row r="80" spans="1:10" x14ac:dyDescent="0.35">
      <c r="A80" s="1181">
        <v>73</v>
      </c>
      <c r="B80" s="1169" t="s">
        <v>21334</v>
      </c>
      <c r="C80" s="1181" t="s">
        <v>21329</v>
      </c>
      <c r="D80" s="1173" t="s">
        <v>21700</v>
      </c>
      <c r="E80" s="1173" t="s">
        <v>5706</v>
      </c>
      <c r="F80" s="1181" t="s">
        <v>23198</v>
      </c>
      <c r="G80" s="1173" t="s">
        <v>6255</v>
      </c>
      <c r="H80" s="1181" t="s">
        <v>23336</v>
      </c>
      <c r="I80" s="1183" t="s">
        <v>23474</v>
      </c>
      <c r="J80" s="1183" t="s">
        <v>23612</v>
      </c>
    </row>
    <row r="81" spans="1:10" x14ac:dyDescent="0.35">
      <c r="A81" s="1182">
        <v>74</v>
      </c>
      <c r="B81" s="1171" t="s">
        <v>21701</v>
      </c>
      <c r="C81" s="1182" t="s">
        <v>21329</v>
      </c>
      <c r="D81" s="1172" t="s">
        <v>21335</v>
      </c>
      <c r="E81" s="1172" t="s">
        <v>21702</v>
      </c>
      <c r="F81" s="1182" t="s">
        <v>23199</v>
      </c>
      <c r="G81" s="1172" t="s">
        <v>21703</v>
      </c>
      <c r="H81" s="1182" t="s">
        <v>23337</v>
      </c>
      <c r="I81" s="1184" t="s">
        <v>23475</v>
      </c>
      <c r="J81" s="1184" t="s">
        <v>23613</v>
      </c>
    </row>
    <row r="82" spans="1:10" x14ac:dyDescent="0.35">
      <c r="A82" s="1181">
        <v>75</v>
      </c>
      <c r="B82" s="1169" t="s">
        <v>21704</v>
      </c>
      <c r="C82" s="1181" t="s">
        <v>21329</v>
      </c>
      <c r="D82" s="1173" t="s">
        <v>21705</v>
      </c>
      <c r="E82" s="1173" t="s">
        <v>5644</v>
      </c>
      <c r="F82" s="1181" t="s">
        <v>23200</v>
      </c>
      <c r="G82" s="1173" t="s">
        <v>21706</v>
      </c>
      <c r="H82" s="1181" t="s">
        <v>23338</v>
      </c>
      <c r="I82" s="1183" t="s">
        <v>23476</v>
      </c>
      <c r="J82" s="1183" t="s">
        <v>23614</v>
      </c>
    </row>
    <row r="83" spans="1:10" x14ac:dyDescent="0.35">
      <c r="A83" s="1182">
        <v>76</v>
      </c>
      <c r="B83" s="1171" t="s">
        <v>21707</v>
      </c>
      <c r="C83" s="1182" t="s">
        <v>21329</v>
      </c>
      <c r="D83" s="1172" t="s">
        <v>21708</v>
      </c>
      <c r="E83" s="1172" t="s">
        <v>21709</v>
      </c>
      <c r="F83" s="1182" t="s">
        <v>23201</v>
      </c>
      <c r="G83" s="1172" t="s">
        <v>3473</v>
      </c>
      <c r="H83" s="1182" t="s">
        <v>23339</v>
      </c>
      <c r="I83" s="1184" t="s">
        <v>23477</v>
      </c>
      <c r="J83" s="1184" t="s">
        <v>23615</v>
      </c>
    </row>
    <row r="84" spans="1:10" x14ac:dyDescent="0.35">
      <c r="A84" s="1181">
        <v>77</v>
      </c>
      <c r="B84" s="1169" t="s">
        <v>21336</v>
      </c>
      <c r="C84" s="1181" t="s">
        <v>21329</v>
      </c>
      <c r="D84" s="1173" t="s">
        <v>21710</v>
      </c>
      <c r="E84" s="1173" t="s">
        <v>8014</v>
      </c>
      <c r="F84" s="1181" t="s">
        <v>23202</v>
      </c>
      <c r="G84" s="1173" t="s">
        <v>8019</v>
      </c>
      <c r="H84" s="1181" t="s">
        <v>23340</v>
      </c>
      <c r="I84" s="1183" t="s">
        <v>23478</v>
      </c>
      <c r="J84" s="1183" t="s">
        <v>23616</v>
      </c>
    </row>
    <row r="85" spans="1:10" x14ac:dyDescent="0.35">
      <c r="A85" s="1182">
        <v>78</v>
      </c>
      <c r="B85" s="1171" t="s">
        <v>21711</v>
      </c>
      <c r="C85" s="1182" t="s">
        <v>21329</v>
      </c>
      <c r="D85" s="1172" t="s">
        <v>21712</v>
      </c>
      <c r="E85" s="1172" t="s">
        <v>21603</v>
      </c>
      <c r="F85" s="1182" t="s">
        <v>23203</v>
      </c>
      <c r="G85" s="1172" t="s">
        <v>21713</v>
      </c>
      <c r="H85" s="1182" t="s">
        <v>23341</v>
      </c>
      <c r="I85" s="1184" t="s">
        <v>23479</v>
      </c>
      <c r="J85" s="1184" t="s">
        <v>23617</v>
      </c>
    </row>
    <row r="86" spans="1:10" x14ac:dyDescent="0.35">
      <c r="A86" s="1181">
        <v>79</v>
      </c>
      <c r="B86" s="1169" t="s">
        <v>21714</v>
      </c>
      <c r="C86" s="1181" t="s">
        <v>21329</v>
      </c>
      <c r="D86" s="1173" t="s">
        <v>21715</v>
      </c>
      <c r="E86" s="1173" t="s">
        <v>21716</v>
      </c>
      <c r="F86" s="1181" t="s">
        <v>23204</v>
      </c>
      <c r="G86" s="1173" t="s">
        <v>1713</v>
      </c>
      <c r="H86" s="1181" t="s">
        <v>23342</v>
      </c>
      <c r="I86" s="1183" t="s">
        <v>23480</v>
      </c>
      <c r="J86" s="1183" t="s">
        <v>23618</v>
      </c>
    </row>
    <row r="87" spans="1:10" x14ac:dyDescent="0.35">
      <c r="A87" s="1182">
        <v>80</v>
      </c>
      <c r="B87" s="1171" t="s">
        <v>21717</v>
      </c>
      <c r="C87" s="1182" t="s">
        <v>21329</v>
      </c>
      <c r="D87" s="1172" t="s">
        <v>21718</v>
      </c>
      <c r="E87" s="1172" t="s">
        <v>2096</v>
      </c>
      <c r="F87" s="1182" t="s">
        <v>23205</v>
      </c>
      <c r="G87" s="1172" t="s">
        <v>1100</v>
      </c>
      <c r="H87" s="1182" t="s">
        <v>23343</v>
      </c>
      <c r="I87" s="1184" t="s">
        <v>23481</v>
      </c>
      <c r="J87" s="1184" t="s">
        <v>23619</v>
      </c>
    </row>
    <row r="88" spans="1:10" ht="25" customHeight="1" x14ac:dyDescent="0.35">
      <c r="A88" s="1386" t="s">
        <v>21719</v>
      </c>
      <c r="B88" s="1387"/>
      <c r="C88" s="1386"/>
      <c r="D88" s="1388"/>
      <c r="E88" s="1388"/>
      <c r="F88" s="1386"/>
      <c r="G88" s="1388"/>
      <c r="H88" s="1386"/>
      <c r="I88" s="1389"/>
      <c r="J88" s="1389"/>
    </row>
    <row r="89" spans="1:10" x14ac:dyDescent="0.35">
      <c r="A89" s="1181">
        <v>81</v>
      </c>
      <c r="B89" s="1169" t="s">
        <v>21337</v>
      </c>
      <c r="C89" s="1181" t="s">
        <v>21720</v>
      </c>
      <c r="D89" s="1173" t="s">
        <v>21721</v>
      </c>
      <c r="E89" s="1173" t="s">
        <v>20921</v>
      </c>
      <c r="F89" s="1181" t="s">
        <v>23206</v>
      </c>
      <c r="G89" s="1173" t="s">
        <v>21722</v>
      </c>
      <c r="H89" s="1181" t="s">
        <v>23344</v>
      </c>
      <c r="I89" s="1183" t="s">
        <v>23482</v>
      </c>
      <c r="J89" s="1183" t="s">
        <v>23620</v>
      </c>
    </row>
    <row r="90" spans="1:10" x14ac:dyDescent="0.35">
      <c r="A90" s="1182">
        <v>82</v>
      </c>
      <c r="B90" s="1171" t="s">
        <v>21066</v>
      </c>
      <c r="C90" s="1182" t="s">
        <v>21720</v>
      </c>
      <c r="D90" s="1172" t="s">
        <v>21723</v>
      </c>
      <c r="E90" s="1172" t="s">
        <v>21724</v>
      </c>
      <c r="F90" s="1182" t="s">
        <v>23207</v>
      </c>
      <c r="G90" s="1172" t="s">
        <v>21725</v>
      </c>
      <c r="H90" s="1182" t="s">
        <v>23345</v>
      </c>
      <c r="I90" s="1184" t="s">
        <v>23483</v>
      </c>
      <c r="J90" s="1184" t="s">
        <v>23621</v>
      </c>
    </row>
    <row r="91" spans="1:10" x14ac:dyDescent="0.35">
      <c r="A91" s="1181">
        <v>83</v>
      </c>
      <c r="B91" s="1169" t="s">
        <v>21069</v>
      </c>
      <c r="C91" s="1181" t="s">
        <v>21720</v>
      </c>
      <c r="D91" s="1173" t="s">
        <v>21575</v>
      </c>
      <c r="E91" s="1173" t="s">
        <v>21726</v>
      </c>
      <c r="F91" s="1181" t="s">
        <v>23208</v>
      </c>
      <c r="G91" s="1173" t="s">
        <v>21727</v>
      </c>
      <c r="H91" s="1181" t="s">
        <v>23346</v>
      </c>
      <c r="I91" s="1183" t="s">
        <v>23484</v>
      </c>
      <c r="J91" s="1183" t="s">
        <v>23622</v>
      </c>
    </row>
    <row r="92" spans="1:10" x14ac:dyDescent="0.35">
      <c r="A92" s="1182">
        <v>84</v>
      </c>
      <c r="B92" s="1171" t="s">
        <v>21338</v>
      </c>
      <c r="C92" s="1182" t="s">
        <v>21720</v>
      </c>
      <c r="D92" s="1172" t="s">
        <v>21728</v>
      </c>
      <c r="E92" s="1172" t="s">
        <v>21729</v>
      </c>
      <c r="F92" s="1182" t="s">
        <v>23209</v>
      </c>
      <c r="G92" s="1172" t="s">
        <v>21730</v>
      </c>
      <c r="H92" s="1182" t="s">
        <v>23347</v>
      </c>
      <c r="I92" s="1184" t="s">
        <v>23485</v>
      </c>
      <c r="J92" s="1184" t="s">
        <v>23623</v>
      </c>
    </row>
    <row r="93" spans="1:10" x14ac:dyDescent="0.35">
      <c r="A93" s="1181">
        <v>85</v>
      </c>
      <c r="B93" s="1169" t="s">
        <v>21339</v>
      </c>
      <c r="C93" s="1181" t="s">
        <v>21720</v>
      </c>
      <c r="D93" s="1173" t="s">
        <v>21731</v>
      </c>
      <c r="E93" s="1173" t="s">
        <v>21732</v>
      </c>
      <c r="F93" s="1181" t="s">
        <v>23210</v>
      </c>
      <c r="G93" s="1173" t="s">
        <v>21733</v>
      </c>
      <c r="H93" s="1181" t="s">
        <v>23348</v>
      </c>
      <c r="I93" s="1183" t="s">
        <v>23486</v>
      </c>
      <c r="J93" s="1183" t="s">
        <v>23624</v>
      </c>
    </row>
    <row r="94" spans="1:10" x14ac:dyDescent="0.35">
      <c r="A94" s="1182">
        <v>86</v>
      </c>
      <c r="B94" s="1171" t="s">
        <v>21399</v>
      </c>
      <c r="C94" s="1182" t="s">
        <v>21720</v>
      </c>
      <c r="D94" s="1172" t="s">
        <v>21734</v>
      </c>
      <c r="E94" s="1172" t="s">
        <v>21735</v>
      </c>
      <c r="F94" s="1182" t="s">
        <v>23211</v>
      </c>
      <c r="G94" s="1172" t="s">
        <v>21736</v>
      </c>
      <c r="H94" s="1182" t="s">
        <v>23349</v>
      </c>
      <c r="I94" s="1184" t="s">
        <v>23487</v>
      </c>
      <c r="J94" s="1184" t="s">
        <v>23625</v>
      </c>
    </row>
    <row r="95" spans="1:10" x14ac:dyDescent="0.35">
      <c r="A95" s="1181">
        <v>87</v>
      </c>
      <c r="B95" s="1169" t="s">
        <v>21737</v>
      </c>
      <c r="C95" s="1181" t="s">
        <v>21720</v>
      </c>
      <c r="D95" s="1173" t="s">
        <v>21738</v>
      </c>
      <c r="E95" s="1173" t="s">
        <v>21739</v>
      </c>
      <c r="F95" s="1181" t="s">
        <v>23212</v>
      </c>
      <c r="G95" s="1173" t="s">
        <v>21603</v>
      </c>
      <c r="H95" s="1181" t="s">
        <v>23350</v>
      </c>
      <c r="I95" s="1183" t="s">
        <v>23488</v>
      </c>
      <c r="J95" s="1183" t="s">
        <v>23626</v>
      </c>
    </row>
    <row r="96" spans="1:10" x14ac:dyDescent="0.35">
      <c r="A96" s="1182">
        <v>88</v>
      </c>
      <c r="B96" s="1171" t="s">
        <v>21740</v>
      </c>
      <c r="C96" s="1182" t="s">
        <v>21720</v>
      </c>
      <c r="D96" s="1172" t="s">
        <v>21741</v>
      </c>
      <c r="E96" s="1172" t="s">
        <v>21742</v>
      </c>
      <c r="F96" s="1182" t="s">
        <v>23213</v>
      </c>
      <c r="G96" s="1172" t="s">
        <v>21743</v>
      </c>
      <c r="H96" s="1182" t="s">
        <v>23351</v>
      </c>
      <c r="I96" s="1184" t="s">
        <v>23489</v>
      </c>
      <c r="J96" s="1184" t="s">
        <v>23627</v>
      </c>
    </row>
    <row r="97" spans="1:10" x14ac:dyDescent="0.35">
      <c r="A97" s="1181">
        <v>89</v>
      </c>
      <c r="B97" s="1169" t="s">
        <v>21744</v>
      </c>
      <c r="C97" s="1181" t="s">
        <v>21720</v>
      </c>
      <c r="D97" s="1173" t="s">
        <v>21745</v>
      </c>
      <c r="E97" s="1173" t="s">
        <v>21746</v>
      </c>
      <c r="F97" s="1181" t="s">
        <v>23214</v>
      </c>
      <c r="G97" s="1173" t="s">
        <v>21732</v>
      </c>
      <c r="H97" s="1181" t="s">
        <v>23352</v>
      </c>
      <c r="I97" s="1183" t="s">
        <v>23490</v>
      </c>
      <c r="J97" s="1183" t="s">
        <v>23628</v>
      </c>
    </row>
    <row r="98" spans="1:10" x14ac:dyDescent="0.35">
      <c r="A98" s="1182">
        <v>90</v>
      </c>
      <c r="B98" s="1171" t="s">
        <v>21747</v>
      </c>
      <c r="C98" s="1182" t="s">
        <v>21720</v>
      </c>
      <c r="D98" s="1172" t="s">
        <v>21748</v>
      </c>
      <c r="E98" s="1172" t="s">
        <v>21749</v>
      </c>
      <c r="F98" s="1182" t="s">
        <v>23215</v>
      </c>
      <c r="G98" s="1172" t="s">
        <v>21534</v>
      </c>
      <c r="H98" s="1182" t="s">
        <v>23353</v>
      </c>
      <c r="I98" s="1184" t="s">
        <v>23491</v>
      </c>
      <c r="J98" s="1184" t="s">
        <v>23629</v>
      </c>
    </row>
    <row r="99" spans="1:10" x14ac:dyDescent="0.35">
      <c r="A99" s="1181">
        <v>91</v>
      </c>
      <c r="B99" s="1169" t="s">
        <v>21340</v>
      </c>
      <c r="C99" s="1181" t="s">
        <v>21720</v>
      </c>
      <c r="D99" s="1173" t="s">
        <v>21750</v>
      </c>
      <c r="E99" s="1173" t="s">
        <v>21751</v>
      </c>
      <c r="F99" s="1181" t="s">
        <v>23216</v>
      </c>
      <c r="G99" s="1173" t="s">
        <v>21603</v>
      </c>
      <c r="H99" s="1181" t="s">
        <v>23354</v>
      </c>
      <c r="I99" s="1183" t="s">
        <v>23492</v>
      </c>
      <c r="J99" s="1183" t="s">
        <v>23630</v>
      </c>
    </row>
    <row r="100" spans="1:10" x14ac:dyDescent="0.35">
      <c r="A100" s="1182">
        <v>92</v>
      </c>
      <c r="B100" s="1171" t="s">
        <v>21752</v>
      </c>
      <c r="C100" s="1182" t="s">
        <v>21720</v>
      </c>
      <c r="D100" s="1172" t="s">
        <v>21753</v>
      </c>
      <c r="E100" s="1172" t="s">
        <v>21754</v>
      </c>
      <c r="F100" s="1182" t="s">
        <v>23217</v>
      </c>
      <c r="G100" s="1172" t="s">
        <v>21603</v>
      </c>
      <c r="H100" s="1182" t="s">
        <v>23355</v>
      </c>
      <c r="I100" s="1184" t="s">
        <v>23493</v>
      </c>
      <c r="J100" s="1184" t="s">
        <v>23631</v>
      </c>
    </row>
    <row r="101" spans="1:10" x14ac:dyDescent="0.35">
      <c r="A101" s="1181">
        <v>93</v>
      </c>
      <c r="B101" s="1169" t="s">
        <v>21755</v>
      </c>
      <c r="C101" s="1181" t="s">
        <v>21720</v>
      </c>
      <c r="D101" s="1173" t="s">
        <v>21756</v>
      </c>
      <c r="E101" s="1173" t="s">
        <v>21757</v>
      </c>
      <c r="F101" s="1181" t="s">
        <v>23218</v>
      </c>
      <c r="G101" s="1173" t="s">
        <v>21758</v>
      </c>
      <c r="H101" s="1181" t="s">
        <v>23356</v>
      </c>
      <c r="I101" s="1183" t="s">
        <v>23494</v>
      </c>
      <c r="J101" s="1183" t="s">
        <v>23632</v>
      </c>
    </row>
    <row r="102" spans="1:10" x14ac:dyDescent="0.35">
      <c r="A102" s="1182">
        <v>94</v>
      </c>
      <c r="B102" s="1171" t="s">
        <v>21341</v>
      </c>
      <c r="C102" s="1182" t="s">
        <v>21720</v>
      </c>
      <c r="D102" s="1172" t="s">
        <v>21759</v>
      </c>
      <c r="E102" s="1172" t="s">
        <v>21760</v>
      </c>
      <c r="F102" s="1182" t="s">
        <v>23219</v>
      </c>
      <c r="G102" s="1172" t="s">
        <v>21761</v>
      </c>
      <c r="H102" s="1182" t="s">
        <v>23357</v>
      </c>
      <c r="I102" s="1184" t="s">
        <v>23495</v>
      </c>
      <c r="J102" s="1184" t="s">
        <v>23633</v>
      </c>
    </row>
    <row r="103" spans="1:10" x14ac:dyDescent="0.35">
      <c r="A103" s="1181">
        <v>95</v>
      </c>
      <c r="B103" s="1169" t="s">
        <v>21342</v>
      </c>
      <c r="C103" s="1181" t="s">
        <v>21720</v>
      </c>
      <c r="D103" s="1173" t="s">
        <v>21762</v>
      </c>
      <c r="E103" s="1173" t="s">
        <v>21763</v>
      </c>
      <c r="F103" s="1181" t="s">
        <v>23220</v>
      </c>
      <c r="G103" s="1173" t="s">
        <v>21764</v>
      </c>
      <c r="H103" s="1181" t="s">
        <v>23358</v>
      </c>
      <c r="I103" s="1183" t="s">
        <v>23496</v>
      </c>
      <c r="J103" s="1183" t="s">
        <v>23634</v>
      </c>
    </row>
    <row r="104" spans="1:10" x14ac:dyDescent="0.35">
      <c r="A104" s="1182">
        <v>96</v>
      </c>
      <c r="B104" s="1171" t="s">
        <v>21343</v>
      </c>
      <c r="C104" s="1182" t="s">
        <v>21720</v>
      </c>
      <c r="D104" s="1172" t="s">
        <v>21765</v>
      </c>
      <c r="E104" s="1172" t="s">
        <v>21670</v>
      </c>
      <c r="F104" s="1182" t="s">
        <v>23221</v>
      </c>
      <c r="G104" s="1172" t="s">
        <v>21766</v>
      </c>
      <c r="H104" s="1182" t="s">
        <v>23359</v>
      </c>
      <c r="I104" s="1184" t="s">
        <v>23497</v>
      </c>
      <c r="J104" s="1184" t="s">
        <v>23635</v>
      </c>
    </row>
    <row r="105" spans="1:10" x14ac:dyDescent="0.35">
      <c r="A105" s="1181">
        <v>97</v>
      </c>
      <c r="B105" s="1169" t="s">
        <v>21767</v>
      </c>
      <c r="C105" s="1181" t="s">
        <v>21720</v>
      </c>
      <c r="D105" s="1173" t="s">
        <v>21768</v>
      </c>
      <c r="E105" s="1173" t="s">
        <v>21603</v>
      </c>
      <c r="F105" s="1181" t="s">
        <v>23222</v>
      </c>
      <c r="G105" s="1173" t="s">
        <v>21769</v>
      </c>
      <c r="H105" s="1181" t="s">
        <v>23360</v>
      </c>
      <c r="I105" s="1183" t="s">
        <v>23498</v>
      </c>
      <c r="J105" s="1183" t="s">
        <v>23636</v>
      </c>
    </row>
    <row r="106" spans="1:10" x14ac:dyDescent="0.35">
      <c r="A106" s="1182">
        <v>98</v>
      </c>
      <c r="B106" s="1171" t="s">
        <v>21770</v>
      </c>
      <c r="C106" s="1182" t="s">
        <v>21720</v>
      </c>
      <c r="D106" s="1172" t="s">
        <v>21771</v>
      </c>
      <c r="E106" s="1172" t="s">
        <v>21772</v>
      </c>
      <c r="F106" s="1182" t="s">
        <v>23223</v>
      </c>
      <c r="G106" s="1172" t="s">
        <v>976</v>
      </c>
      <c r="H106" s="1182" t="s">
        <v>23361</v>
      </c>
      <c r="I106" s="1184" t="s">
        <v>23499</v>
      </c>
      <c r="J106" s="1184" t="s">
        <v>23637</v>
      </c>
    </row>
    <row r="107" spans="1:10" x14ac:dyDescent="0.35">
      <c r="A107" s="1181">
        <v>99</v>
      </c>
      <c r="B107" s="1169" t="s">
        <v>21773</v>
      </c>
      <c r="C107" s="1181" t="s">
        <v>21720</v>
      </c>
      <c r="D107" s="1173" t="s">
        <v>21774</v>
      </c>
      <c r="E107" s="1173" t="s">
        <v>21761</v>
      </c>
      <c r="F107" s="1181" t="s">
        <v>23224</v>
      </c>
      <c r="G107" s="1173" t="s">
        <v>21775</v>
      </c>
      <c r="H107" s="1181" t="s">
        <v>23362</v>
      </c>
      <c r="I107" s="1183" t="s">
        <v>23500</v>
      </c>
      <c r="J107" s="1183" t="s">
        <v>23638</v>
      </c>
    </row>
    <row r="108" spans="1:10" x14ac:dyDescent="0.35">
      <c r="A108" s="1182">
        <v>100</v>
      </c>
      <c r="B108" s="1171" t="s">
        <v>21344</v>
      </c>
      <c r="C108" s="1182" t="s">
        <v>21720</v>
      </c>
      <c r="D108" s="1172" t="s">
        <v>21776</v>
      </c>
      <c r="E108" s="1172" t="s">
        <v>21603</v>
      </c>
      <c r="F108" s="1182" t="s">
        <v>23225</v>
      </c>
      <c r="G108" s="1172" t="s">
        <v>21534</v>
      </c>
      <c r="H108" s="1182" t="s">
        <v>23363</v>
      </c>
      <c r="I108" s="1184" t="s">
        <v>23501</v>
      </c>
      <c r="J108" s="1184" t="s">
        <v>23639</v>
      </c>
    </row>
    <row r="109" spans="1:10" ht="25" customHeight="1" x14ac:dyDescent="0.35">
      <c r="A109" s="1390" t="s">
        <v>21777</v>
      </c>
      <c r="B109" s="1391"/>
      <c r="C109" s="1390"/>
      <c r="D109" s="1392"/>
      <c r="E109" s="1392"/>
      <c r="F109" s="1390"/>
      <c r="G109" s="1392"/>
      <c r="H109" s="1390"/>
      <c r="I109" s="1393"/>
      <c r="J109" s="1393"/>
    </row>
    <row r="110" spans="1:10" x14ac:dyDescent="0.35">
      <c r="A110" s="1181">
        <v>101</v>
      </c>
      <c r="B110" s="1169" t="s">
        <v>21095</v>
      </c>
      <c r="C110" s="1181" t="s">
        <v>21345</v>
      </c>
      <c r="D110" s="1173" t="s">
        <v>21778</v>
      </c>
      <c r="E110" s="1173" t="s">
        <v>7792</v>
      </c>
      <c r="F110" s="1181" t="s">
        <v>23226</v>
      </c>
      <c r="G110" s="1173" t="s">
        <v>21779</v>
      </c>
      <c r="H110" s="1181" t="s">
        <v>23364</v>
      </c>
      <c r="I110" s="1183" t="s">
        <v>23502</v>
      </c>
      <c r="J110" s="1183" t="s">
        <v>23640</v>
      </c>
    </row>
    <row r="111" spans="1:10" x14ac:dyDescent="0.35">
      <c r="A111" s="1182">
        <v>102</v>
      </c>
      <c r="B111" s="1171" t="s">
        <v>21346</v>
      </c>
      <c r="C111" s="1182" t="s">
        <v>21345</v>
      </c>
      <c r="D111" s="1172" t="s">
        <v>21780</v>
      </c>
      <c r="E111" s="1172" t="s">
        <v>1412</v>
      </c>
      <c r="F111" s="1182" t="s">
        <v>23227</v>
      </c>
      <c r="G111" s="1172" t="s">
        <v>21781</v>
      </c>
      <c r="H111" s="1182" t="s">
        <v>23365</v>
      </c>
      <c r="I111" s="1184" t="s">
        <v>23503</v>
      </c>
      <c r="J111" s="1184" t="s">
        <v>23641</v>
      </c>
    </row>
    <row r="112" spans="1:10" x14ac:dyDescent="0.35">
      <c r="A112" s="1181">
        <v>103</v>
      </c>
      <c r="B112" s="1169" t="s">
        <v>21347</v>
      </c>
      <c r="C112" s="1181" t="s">
        <v>21345</v>
      </c>
      <c r="D112" s="1173" t="s">
        <v>21782</v>
      </c>
      <c r="E112" s="1173" t="s">
        <v>21624</v>
      </c>
      <c r="F112" s="1181" t="s">
        <v>23228</v>
      </c>
      <c r="G112" s="1173" t="s">
        <v>21781</v>
      </c>
      <c r="H112" s="1181" t="s">
        <v>23366</v>
      </c>
      <c r="I112" s="1183" t="s">
        <v>23504</v>
      </c>
      <c r="J112" s="1183" t="s">
        <v>23642</v>
      </c>
    </row>
    <row r="113" spans="1:10" x14ac:dyDescent="0.35">
      <c r="A113" s="1182">
        <v>104</v>
      </c>
      <c r="B113" s="1171" t="s">
        <v>21783</v>
      </c>
      <c r="C113" s="1182" t="s">
        <v>21345</v>
      </c>
      <c r="D113" s="1172" t="s">
        <v>21348</v>
      </c>
      <c r="E113" s="1172" t="s">
        <v>21784</v>
      </c>
      <c r="F113" s="1182" t="s">
        <v>23229</v>
      </c>
      <c r="G113" s="1172" t="s">
        <v>21785</v>
      </c>
      <c r="H113" s="1182" t="s">
        <v>23367</v>
      </c>
      <c r="I113" s="1184" t="s">
        <v>23505</v>
      </c>
      <c r="J113" s="1184" t="s">
        <v>23643</v>
      </c>
    </row>
    <row r="114" spans="1:10" x14ac:dyDescent="0.35">
      <c r="A114" s="1181">
        <v>105</v>
      </c>
      <c r="B114" s="1169" t="s">
        <v>21349</v>
      </c>
      <c r="C114" s="1181" t="s">
        <v>21345</v>
      </c>
      <c r="D114" s="1173" t="s">
        <v>21786</v>
      </c>
      <c r="E114" s="1173" t="s">
        <v>21651</v>
      </c>
      <c r="F114" s="1181" t="s">
        <v>23230</v>
      </c>
      <c r="G114" s="1173" t="s">
        <v>21534</v>
      </c>
      <c r="H114" s="1181" t="s">
        <v>23368</v>
      </c>
      <c r="I114" s="1183" t="s">
        <v>23506</v>
      </c>
      <c r="J114" s="1183" t="s">
        <v>23644</v>
      </c>
    </row>
    <row r="115" spans="1:10" x14ac:dyDescent="0.35">
      <c r="A115" s="1182">
        <v>106</v>
      </c>
      <c r="B115" s="1171" t="s">
        <v>21787</v>
      </c>
      <c r="C115" s="1182" t="s">
        <v>21345</v>
      </c>
      <c r="D115" s="1172" t="s">
        <v>21313</v>
      </c>
      <c r="E115" s="1172" t="s">
        <v>21788</v>
      </c>
      <c r="F115" s="1182" t="s">
        <v>23231</v>
      </c>
      <c r="G115" s="1172" t="s">
        <v>21789</v>
      </c>
      <c r="H115" s="1182" t="s">
        <v>23369</v>
      </c>
      <c r="I115" s="1184" t="s">
        <v>23507</v>
      </c>
      <c r="J115" s="1184" t="s">
        <v>23645</v>
      </c>
    </row>
    <row r="116" spans="1:10" x14ac:dyDescent="0.35">
      <c r="A116" s="1181">
        <v>107</v>
      </c>
      <c r="B116" s="1169" t="s">
        <v>21790</v>
      </c>
      <c r="C116" s="1181" t="s">
        <v>21345</v>
      </c>
      <c r="D116" s="1173" t="s">
        <v>21350</v>
      </c>
      <c r="E116" s="1173" t="s">
        <v>21791</v>
      </c>
      <c r="F116" s="1181" t="s">
        <v>23232</v>
      </c>
      <c r="G116" s="1173" t="s">
        <v>21792</v>
      </c>
      <c r="H116" s="1181" t="s">
        <v>23370</v>
      </c>
      <c r="I116" s="1183" t="s">
        <v>23508</v>
      </c>
      <c r="J116" s="1183" t="s">
        <v>23646</v>
      </c>
    </row>
    <row r="117" spans="1:10" x14ac:dyDescent="0.35">
      <c r="A117" s="1182">
        <v>108</v>
      </c>
      <c r="B117" s="1171" t="s">
        <v>21793</v>
      </c>
      <c r="C117" s="1182" t="s">
        <v>21345</v>
      </c>
      <c r="D117" s="1172" t="s">
        <v>21794</v>
      </c>
      <c r="E117" s="1172" t="s">
        <v>21795</v>
      </c>
      <c r="F117" s="1182" t="s">
        <v>23233</v>
      </c>
      <c r="G117" s="1172" t="s">
        <v>7964</v>
      </c>
      <c r="H117" s="1182" t="s">
        <v>23371</v>
      </c>
      <c r="I117" s="1184" t="s">
        <v>23509</v>
      </c>
      <c r="J117" s="1184" t="s">
        <v>23647</v>
      </c>
    </row>
    <row r="118" spans="1:10" x14ac:dyDescent="0.35">
      <c r="A118" s="1181">
        <v>109</v>
      </c>
      <c r="B118" s="1169" t="s">
        <v>21351</v>
      </c>
      <c r="C118" s="1181" t="s">
        <v>21345</v>
      </c>
      <c r="D118" s="1173" t="s">
        <v>21796</v>
      </c>
      <c r="E118" s="1173" t="s">
        <v>1233</v>
      </c>
      <c r="F118" s="1181" t="s">
        <v>23234</v>
      </c>
      <c r="G118" s="1173" t="s">
        <v>6081</v>
      </c>
      <c r="H118" s="1181" t="s">
        <v>23372</v>
      </c>
      <c r="I118" s="1183" t="s">
        <v>23510</v>
      </c>
      <c r="J118" s="1183" t="s">
        <v>23648</v>
      </c>
    </row>
    <row r="119" spans="1:10" x14ac:dyDescent="0.35">
      <c r="A119" s="1182">
        <v>110</v>
      </c>
      <c r="B119" s="1171" t="s">
        <v>21797</v>
      </c>
      <c r="C119" s="1182" t="s">
        <v>21345</v>
      </c>
      <c r="D119" s="1172" t="s">
        <v>21352</v>
      </c>
      <c r="E119" s="1172" t="s">
        <v>21781</v>
      </c>
      <c r="F119" s="1182" t="s">
        <v>23235</v>
      </c>
      <c r="G119" s="1172" t="s">
        <v>21468</v>
      </c>
      <c r="H119" s="1182" t="s">
        <v>23373</v>
      </c>
      <c r="I119" s="1184" t="s">
        <v>23511</v>
      </c>
      <c r="J119" s="1184" t="s">
        <v>23649</v>
      </c>
    </row>
    <row r="120" spans="1:10" x14ac:dyDescent="0.35">
      <c r="A120" s="1181">
        <v>111</v>
      </c>
      <c r="B120" s="1169" t="s">
        <v>21798</v>
      </c>
      <c r="C120" s="1181" t="s">
        <v>21345</v>
      </c>
      <c r="D120" s="1173" t="s">
        <v>21353</v>
      </c>
      <c r="E120" s="1173" t="s">
        <v>21799</v>
      </c>
      <c r="F120" s="1181" t="s">
        <v>23236</v>
      </c>
      <c r="G120" s="1173" t="s">
        <v>21800</v>
      </c>
      <c r="H120" s="1181" t="s">
        <v>23374</v>
      </c>
      <c r="I120" s="1183" t="s">
        <v>23512</v>
      </c>
      <c r="J120" s="1183" t="s">
        <v>23650</v>
      </c>
    </row>
    <row r="121" spans="1:10" x14ac:dyDescent="0.35">
      <c r="A121" s="1182">
        <v>112</v>
      </c>
      <c r="B121" s="1171" t="s">
        <v>21801</v>
      </c>
      <c r="C121" s="1182" t="s">
        <v>21345</v>
      </c>
      <c r="D121" s="1172" t="s">
        <v>21802</v>
      </c>
      <c r="E121" s="1172" t="s">
        <v>6383</v>
      </c>
      <c r="F121" s="1182" t="s">
        <v>23237</v>
      </c>
      <c r="G121" s="1172" t="s">
        <v>21603</v>
      </c>
      <c r="H121" s="1182" t="s">
        <v>23375</v>
      </c>
      <c r="I121" s="1184" t="s">
        <v>23513</v>
      </c>
      <c r="J121" s="1184" t="s">
        <v>23651</v>
      </c>
    </row>
    <row r="122" spans="1:10" x14ac:dyDescent="0.35">
      <c r="A122" s="1181">
        <v>113</v>
      </c>
      <c r="B122" s="1169" t="s">
        <v>21354</v>
      </c>
      <c r="C122" s="1181" t="s">
        <v>21345</v>
      </c>
      <c r="D122" s="1173" t="s">
        <v>21355</v>
      </c>
      <c r="E122" s="1173" t="s">
        <v>12737</v>
      </c>
      <c r="F122" s="1181" t="s">
        <v>23238</v>
      </c>
      <c r="G122" s="1173" t="s">
        <v>21803</v>
      </c>
      <c r="H122" s="1181" t="s">
        <v>23376</v>
      </c>
      <c r="I122" s="1183" t="s">
        <v>23514</v>
      </c>
      <c r="J122" s="1183" t="s">
        <v>23652</v>
      </c>
    </row>
    <row r="123" spans="1:10" x14ac:dyDescent="0.35">
      <c r="A123" s="1182">
        <v>114</v>
      </c>
      <c r="B123" s="1171" t="s">
        <v>21356</v>
      </c>
      <c r="C123" s="1182" t="s">
        <v>21345</v>
      </c>
      <c r="D123" s="1172" t="s">
        <v>21804</v>
      </c>
      <c r="E123" s="1172" t="s">
        <v>7447</v>
      </c>
      <c r="F123" s="1182" t="s">
        <v>23239</v>
      </c>
      <c r="G123" s="1172" t="s">
        <v>5516</v>
      </c>
      <c r="H123" s="1182" t="s">
        <v>23377</v>
      </c>
      <c r="I123" s="1184" t="s">
        <v>23515</v>
      </c>
      <c r="J123" s="1184" t="s">
        <v>23653</v>
      </c>
    </row>
    <row r="124" spans="1:10" x14ac:dyDescent="0.35">
      <c r="A124" s="1181">
        <v>115</v>
      </c>
      <c r="B124" s="1169" t="s">
        <v>21357</v>
      </c>
      <c r="C124" s="1181" t="s">
        <v>21345</v>
      </c>
      <c r="D124" s="1173" t="s">
        <v>21805</v>
      </c>
      <c r="E124" s="1173" t="s">
        <v>21603</v>
      </c>
      <c r="F124" s="1181" t="s">
        <v>23240</v>
      </c>
      <c r="G124" s="1173" t="s">
        <v>21534</v>
      </c>
      <c r="H124" s="1181" t="s">
        <v>23378</v>
      </c>
      <c r="I124" s="1183" t="s">
        <v>23516</v>
      </c>
      <c r="J124" s="1183" t="s">
        <v>23654</v>
      </c>
    </row>
    <row r="125" spans="1:10" x14ac:dyDescent="0.35">
      <c r="A125" s="1182">
        <v>116</v>
      </c>
      <c r="B125" s="1171" t="s">
        <v>21358</v>
      </c>
      <c r="C125" s="1182" t="s">
        <v>21345</v>
      </c>
      <c r="D125" s="1172" t="s">
        <v>21806</v>
      </c>
      <c r="E125" s="1172" t="s">
        <v>2126</v>
      </c>
      <c r="F125" s="1182" t="s">
        <v>23241</v>
      </c>
      <c r="G125" s="1172" t="s">
        <v>2135</v>
      </c>
      <c r="H125" s="1182" t="s">
        <v>23379</v>
      </c>
      <c r="I125" s="1184" t="s">
        <v>23517</v>
      </c>
      <c r="J125" s="1184" t="s">
        <v>23655</v>
      </c>
    </row>
    <row r="126" spans="1:10" x14ac:dyDescent="0.35">
      <c r="A126" s="1181">
        <v>117</v>
      </c>
      <c r="B126" s="1169" t="s">
        <v>21807</v>
      </c>
      <c r="C126" s="1181" t="s">
        <v>21345</v>
      </c>
      <c r="D126" s="1173" t="s">
        <v>21808</v>
      </c>
      <c r="E126" s="1173" t="s">
        <v>21809</v>
      </c>
      <c r="F126" s="1181" t="s">
        <v>23242</v>
      </c>
      <c r="G126" s="1173" t="s">
        <v>21810</v>
      </c>
      <c r="H126" s="1181" t="s">
        <v>23380</v>
      </c>
      <c r="I126" s="1183" t="s">
        <v>23518</v>
      </c>
      <c r="J126" s="1183" t="s">
        <v>23656</v>
      </c>
    </row>
    <row r="127" spans="1:10" x14ac:dyDescent="0.35">
      <c r="A127" s="1182">
        <v>118</v>
      </c>
      <c r="B127" s="1171" t="s">
        <v>21359</v>
      </c>
      <c r="C127" s="1182" t="s">
        <v>21345</v>
      </c>
      <c r="D127" s="1172" t="s">
        <v>21811</v>
      </c>
      <c r="E127" s="1172" t="s">
        <v>21781</v>
      </c>
      <c r="F127" s="1182" t="s">
        <v>23243</v>
      </c>
      <c r="G127" s="1172" t="s">
        <v>21812</v>
      </c>
      <c r="H127" s="1182" t="s">
        <v>23381</v>
      </c>
      <c r="I127" s="1184" t="s">
        <v>23519</v>
      </c>
      <c r="J127" s="1184" t="s">
        <v>23657</v>
      </c>
    </row>
    <row r="128" spans="1:10" x14ac:dyDescent="0.35">
      <c r="A128" s="1181">
        <v>119</v>
      </c>
      <c r="B128" s="1169" t="s">
        <v>21813</v>
      </c>
      <c r="C128" s="1181" t="s">
        <v>21345</v>
      </c>
      <c r="D128" s="1173" t="s">
        <v>21360</v>
      </c>
      <c r="E128" s="1173" t="s">
        <v>21791</v>
      </c>
      <c r="F128" s="1181" t="s">
        <v>23244</v>
      </c>
      <c r="G128" s="1173" t="s">
        <v>21814</v>
      </c>
      <c r="H128" s="1181" t="s">
        <v>23382</v>
      </c>
      <c r="I128" s="1183" t="s">
        <v>23520</v>
      </c>
      <c r="J128" s="1183" t="s">
        <v>23658</v>
      </c>
    </row>
    <row r="129" spans="1:10" x14ac:dyDescent="0.35">
      <c r="A129" s="1182">
        <v>120</v>
      </c>
      <c r="B129" s="1171" t="s">
        <v>21361</v>
      </c>
      <c r="C129" s="1182" t="s">
        <v>21345</v>
      </c>
      <c r="D129" s="1172" t="s">
        <v>21815</v>
      </c>
      <c r="E129" s="1172" t="s">
        <v>12812</v>
      </c>
      <c r="F129" s="1182" t="s">
        <v>23245</v>
      </c>
      <c r="G129" s="1172" t="s">
        <v>7422</v>
      </c>
      <c r="H129" s="1182" t="s">
        <v>23383</v>
      </c>
      <c r="I129" s="1184" t="s">
        <v>23521</v>
      </c>
      <c r="J129" s="1184" t="s">
        <v>23659</v>
      </c>
    </row>
    <row r="130" spans="1:10" ht="25" customHeight="1" x14ac:dyDescent="0.35">
      <c r="A130" s="1394" t="s">
        <v>21816</v>
      </c>
      <c r="B130" s="1395"/>
      <c r="C130" s="1394"/>
      <c r="D130" s="1396"/>
      <c r="E130" s="1396"/>
      <c r="F130" s="1394"/>
      <c r="G130" s="1396"/>
      <c r="H130" s="1394"/>
      <c r="I130" s="1397"/>
      <c r="J130" s="1397"/>
    </row>
    <row r="131" spans="1:10" x14ac:dyDescent="0.35">
      <c r="A131" s="1181">
        <v>121</v>
      </c>
      <c r="B131" s="1169" t="s">
        <v>20932</v>
      </c>
      <c r="C131" s="1181" t="s">
        <v>21362</v>
      </c>
      <c r="D131" s="1173" t="s">
        <v>21817</v>
      </c>
      <c r="E131" s="1173" t="s">
        <v>21818</v>
      </c>
      <c r="F131" s="1181" t="s">
        <v>23246</v>
      </c>
      <c r="G131" s="1173" t="s">
        <v>2201</v>
      </c>
      <c r="H131" s="1181" t="s">
        <v>23384</v>
      </c>
      <c r="I131" s="1183" t="s">
        <v>23522</v>
      </c>
      <c r="J131" s="1183" t="s">
        <v>23660</v>
      </c>
    </row>
    <row r="132" spans="1:10" x14ac:dyDescent="0.35">
      <c r="A132" s="1182">
        <v>122</v>
      </c>
      <c r="B132" s="1171" t="s">
        <v>21363</v>
      </c>
      <c r="C132" s="1182" t="s">
        <v>21362</v>
      </c>
      <c r="D132" s="1172" t="s">
        <v>21819</v>
      </c>
      <c r="E132" s="1172" t="s">
        <v>21820</v>
      </c>
      <c r="F132" s="1182" t="s">
        <v>23247</v>
      </c>
      <c r="G132" s="1172" t="s">
        <v>21821</v>
      </c>
      <c r="H132" s="1182" t="s">
        <v>23385</v>
      </c>
      <c r="I132" s="1184" t="s">
        <v>23523</v>
      </c>
      <c r="J132" s="1184" t="s">
        <v>23661</v>
      </c>
    </row>
    <row r="133" spans="1:10" x14ac:dyDescent="0.35">
      <c r="A133" s="1181">
        <v>123</v>
      </c>
      <c r="B133" s="1169" t="s">
        <v>21364</v>
      </c>
      <c r="C133" s="1181" t="s">
        <v>21362</v>
      </c>
      <c r="D133" s="1173" t="s">
        <v>21822</v>
      </c>
      <c r="E133" s="1173" t="s">
        <v>21823</v>
      </c>
      <c r="F133" s="1181" t="s">
        <v>23248</v>
      </c>
      <c r="G133" s="1173" t="s">
        <v>21603</v>
      </c>
      <c r="H133" s="1181" t="s">
        <v>23386</v>
      </c>
      <c r="I133" s="1183" t="s">
        <v>23524</v>
      </c>
      <c r="J133" s="1183" t="s">
        <v>23662</v>
      </c>
    </row>
    <row r="134" spans="1:10" x14ac:dyDescent="0.35">
      <c r="A134" s="1182">
        <v>124</v>
      </c>
      <c r="B134" s="1171" t="s">
        <v>21365</v>
      </c>
      <c r="C134" s="1182" t="s">
        <v>21362</v>
      </c>
      <c r="D134" s="1172" t="s">
        <v>21824</v>
      </c>
      <c r="E134" s="1172"/>
      <c r="F134" s="1182"/>
      <c r="G134" s="1172"/>
      <c r="H134" s="1182"/>
      <c r="I134" s="1184"/>
      <c r="J134" s="1184"/>
    </row>
    <row r="135" spans="1:10" x14ac:dyDescent="0.35">
      <c r="A135" s="1181">
        <v>125</v>
      </c>
      <c r="B135" s="1169" t="s">
        <v>21365</v>
      </c>
      <c r="C135" s="1181" t="s">
        <v>21362</v>
      </c>
      <c r="D135" s="1173" t="s">
        <v>21825</v>
      </c>
      <c r="E135" s="1173" t="s">
        <v>21826</v>
      </c>
      <c r="F135" s="1181" t="s">
        <v>23249</v>
      </c>
      <c r="G135" s="1173" t="s">
        <v>21827</v>
      </c>
      <c r="H135" s="1181" t="s">
        <v>23387</v>
      </c>
      <c r="I135" s="1183" t="s">
        <v>23525</v>
      </c>
      <c r="J135" s="1183" t="s">
        <v>23663</v>
      </c>
    </row>
    <row r="136" spans="1:10" x14ac:dyDescent="0.35">
      <c r="A136" s="1182">
        <v>126</v>
      </c>
      <c r="B136" s="1171" t="s">
        <v>21366</v>
      </c>
      <c r="C136" s="1182" t="s">
        <v>21362</v>
      </c>
      <c r="D136" s="1172" t="s">
        <v>21828</v>
      </c>
      <c r="E136" s="1172" t="s">
        <v>21164</v>
      </c>
      <c r="F136" s="1182" t="s">
        <v>23250</v>
      </c>
      <c r="G136" s="1172" t="s">
        <v>5532</v>
      </c>
      <c r="H136" s="1182" t="s">
        <v>23388</v>
      </c>
      <c r="I136" s="1184" t="s">
        <v>23526</v>
      </c>
      <c r="J136" s="1184" t="s">
        <v>23664</v>
      </c>
    </row>
    <row r="137" spans="1:10" x14ac:dyDescent="0.35">
      <c r="A137" s="1181">
        <v>127</v>
      </c>
      <c r="B137" s="1169" t="s">
        <v>21829</v>
      </c>
      <c r="C137" s="1181" t="s">
        <v>21362</v>
      </c>
      <c r="D137" s="1173" t="s">
        <v>21830</v>
      </c>
      <c r="E137" s="1173" t="s">
        <v>21820</v>
      </c>
      <c r="F137" s="1181" t="s">
        <v>23251</v>
      </c>
      <c r="G137" s="1173" t="s">
        <v>5527</v>
      </c>
      <c r="H137" s="1181" t="s">
        <v>23389</v>
      </c>
      <c r="I137" s="1183" t="s">
        <v>23527</v>
      </c>
      <c r="J137" s="1183" t="s">
        <v>23665</v>
      </c>
    </row>
    <row r="138" spans="1:10" x14ac:dyDescent="0.35">
      <c r="A138" s="1182">
        <v>128</v>
      </c>
      <c r="B138" s="1171" t="s">
        <v>21831</v>
      </c>
      <c r="C138" s="1182" t="s">
        <v>21362</v>
      </c>
      <c r="D138" s="1172" t="s">
        <v>21832</v>
      </c>
      <c r="E138" s="1172" t="s">
        <v>21818</v>
      </c>
      <c r="F138" s="1182" t="s">
        <v>23246</v>
      </c>
      <c r="G138" s="1172" t="s">
        <v>2201</v>
      </c>
      <c r="H138" s="1182" t="s">
        <v>23390</v>
      </c>
      <c r="I138" s="1184" t="s">
        <v>23522</v>
      </c>
      <c r="J138" s="1184" t="s">
        <v>23666</v>
      </c>
    </row>
    <row r="139" spans="1:10" x14ac:dyDescent="0.35">
      <c r="A139" s="1181">
        <v>129</v>
      </c>
      <c r="B139" s="1169" t="s">
        <v>21833</v>
      </c>
      <c r="C139" s="1181" t="s">
        <v>21362</v>
      </c>
      <c r="D139" s="1173" t="s">
        <v>21834</v>
      </c>
      <c r="E139" s="1173" t="s">
        <v>21835</v>
      </c>
      <c r="F139" s="1181" t="s">
        <v>23252</v>
      </c>
      <c r="G139" s="1173" t="s">
        <v>21836</v>
      </c>
      <c r="H139" s="1181" t="s">
        <v>23391</v>
      </c>
      <c r="I139" s="1183" t="s">
        <v>23528</v>
      </c>
      <c r="J139" s="1183" t="s">
        <v>23667</v>
      </c>
    </row>
    <row r="140" spans="1:10" x14ac:dyDescent="0.35">
      <c r="A140" s="1182">
        <v>130</v>
      </c>
      <c r="B140" s="1171" t="s">
        <v>21837</v>
      </c>
      <c r="C140" s="1182" t="s">
        <v>21362</v>
      </c>
      <c r="D140" s="1172" t="s">
        <v>21838</v>
      </c>
      <c r="E140" s="1172" t="s">
        <v>21839</v>
      </c>
      <c r="F140" s="1182" t="s">
        <v>23253</v>
      </c>
      <c r="G140" s="1172" t="s">
        <v>21840</v>
      </c>
      <c r="H140" s="1182" t="s">
        <v>23392</v>
      </c>
      <c r="I140" s="1184" t="s">
        <v>23529</v>
      </c>
      <c r="J140" s="1184" t="s">
        <v>23668</v>
      </c>
    </row>
    <row r="141" spans="1:10" x14ac:dyDescent="0.35">
      <c r="A141" s="1181">
        <v>131</v>
      </c>
      <c r="B141" s="1169" t="s">
        <v>21841</v>
      </c>
      <c r="C141" s="1181" t="s">
        <v>21362</v>
      </c>
      <c r="D141" s="1173" t="s">
        <v>21842</v>
      </c>
      <c r="E141" s="1173" t="s">
        <v>2164</v>
      </c>
      <c r="F141" s="1181" t="s">
        <v>23254</v>
      </c>
      <c r="G141" s="1173" t="s">
        <v>2180</v>
      </c>
      <c r="H141" s="1181" t="s">
        <v>23393</v>
      </c>
      <c r="I141" s="1183" t="s">
        <v>23530</v>
      </c>
      <c r="J141" s="1183" t="s">
        <v>23669</v>
      </c>
    </row>
    <row r="142" spans="1:10" x14ac:dyDescent="0.35">
      <c r="A142" s="1182">
        <v>132</v>
      </c>
      <c r="B142" s="1171" t="s">
        <v>21843</v>
      </c>
      <c r="C142" s="1182" t="s">
        <v>21362</v>
      </c>
      <c r="D142" s="1172" t="s">
        <v>21844</v>
      </c>
      <c r="E142" s="1172" t="s">
        <v>21845</v>
      </c>
      <c r="F142" s="1182" t="s">
        <v>23255</v>
      </c>
      <c r="G142" s="1172" t="s">
        <v>21846</v>
      </c>
      <c r="H142" s="1182" t="s">
        <v>23394</v>
      </c>
      <c r="I142" s="1184" t="s">
        <v>23531</v>
      </c>
      <c r="J142" s="1184" t="s">
        <v>23670</v>
      </c>
    </row>
    <row r="143" spans="1:10" x14ac:dyDescent="0.35">
      <c r="A143" s="1181">
        <v>133</v>
      </c>
      <c r="B143" s="1169" t="s">
        <v>21847</v>
      </c>
      <c r="C143" s="1181" t="s">
        <v>21362</v>
      </c>
      <c r="D143" s="1173" t="s">
        <v>21848</v>
      </c>
      <c r="E143" s="1173" t="s">
        <v>7856</v>
      </c>
      <c r="F143" s="1181" t="s">
        <v>23256</v>
      </c>
      <c r="G143" s="1173" t="s">
        <v>21849</v>
      </c>
      <c r="H143" s="1181" t="s">
        <v>23395</v>
      </c>
      <c r="I143" s="1183" t="s">
        <v>23532</v>
      </c>
      <c r="J143" s="1183" t="s">
        <v>23671</v>
      </c>
    </row>
    <row r="144" spans="1:10" x14ac:dyDescent="0.35">
      <c r="A144" s="1182">
        <v>134</v>
      </c>
      <c r="B144" s="1171" t="s">
        <v>21850</v>
      </c>
      <c r="C144" s="1182" t="s">
        <v>21362</v>
      </c>
      <c r="D144" s="1172" t="s">
        <v>21851</v>
      </c>
      <c r="E144" s="1172" t="s">
        <v>21852</v>
      </c>
      <c r="F144" s="1182" t="s">
        <v>23257</v>
      </c>
      <c r="G144" s="1172" t="s">
        <v>21853</v>
      </c>
      <c r="H144" s="1182" t="s">
        <v>23396</v>
      </c>
      <c r="I144" s="1184" t="s">
        <v>23533</v>
      </c>
      <c r="J144" s="1184" t="s">
        <v>23672</v>
      </c>
    </row>
    <row r="145" spans="1:10" x14ac:dyDescent="0.35">
      <c r="A145" s="1181">
        <v>135</v>
      </c>
      <c r="B145" s="1169" t="s">
        <v>21367</v>
      </c>
      <c r="C145" s="1181" t="s">
        <v>21362</v>
      </c>
      <c r="D145" s="1173" t="s">
        <v>21854</v>
      </c>
      <c r="E145" s="1173" t="s">
        <v>9985</v>
      </c>
      <c r="F145" s="1181" t="s">
        <v>23258</v>
      </c>
      <c r="G145" s="1173" t="s">
        <v>5964</v>
      </c>
      <c r="H145" s="1181" t="s">
        <v>23397</v>
      </c>
      <c r="I145" s="1183" t="s">
        <v>23534</v>
      </c>
      <c r="J145" s="1183" t="s">
        <v>23673</v>
      </c>
    </row>
    <row r="146" spans="1:10" x14ac:dyDescent="0.35">
      <c r="A146" s="1182">
        <v>136</v>
      </c>
      <c r="B146" s="1171" t="s">
        <v>21855</v>
      </c>
      <c r="C146" s="1182" t="s">
        <v>21362</v>
      </c>
      <c r="D146" s="1172" t="s">
        <v>21856</v>
      </c>
      <c r="E146" s="1172" t="s">
        <v>21857</v>
      </c>
      <c r="F146" s="1182" t="s">
        <v>23259</v>
      </c>
      <c r="G146" s="1172" t="s">
        <v>18977</v>
      </c>
      <c r="H146" s="1182" t="s">
        <v>23398</v>
      </c>
      <c r="I146" s="1184" t="s">
        <v>23535</v>
      </c>
      <c r="J146" s="1184" t="s">
        <v>23674</v>
      </c>
    </row>
    <row r="147" spans="1:10" x14ac:dyDescent="0.35">
      <c r="A147" s="1181">
        <v>137</v>
      </c>
      <c r="B147" s="1169" t="s">
        <v>21368</v>
      </c>
      <c r="C147" s="1181" t="s">
        <v>21362</v>
      </c>
      <c r="D147" s="1173" t="s">
        <v>21858</v>
      </c>
      <c r="E147" s="1173" t="s">
        <v>21859</v>
      </c>
      <c r="F147" s="1181" t="s">
        <v>23260</v>
      </c>
      <c r="G147" s="1173" t="s">
        <v>20931</v>
      </c>
      <c r="H147" s="1181" t="s">
        <v>23399</v>
      </c>
      <c r="I147" s="1183" t="s">
        <v>23536</v>
      </c>
      <c r="J147" s="1183" t="s">
        <v>23675</v>
      </c>
    </row>
    <row r="148" spans="1:10" x14ac:dyDescent="0.35">
      <c r="A148" s="1182">
        <v>138</v>
      </c>
      <c r="B148" s="1171" t="s">
        <v>21860</v>
      </c>
      <c r="C148" s="1182" t="s">
        <v>21362</v>
      </c>
      <c r="D148" s="1172" t="s">
        <v>21369</v>
      </c>
      <c r="E148" s="1172" t="s">
        <v>3565</v>
      </c>
      <c r="F148" s="1182" t="s">
        <v>23261</v>
      </c>
      <c r="G148" s="1172" t="s">
        <v>21861</v>
      </c>
      <c r="H148" s="1182" t="s">
        <v>23400</v>
      </c>
      <c r="I148" s="1184" t="s">
        <v>23537</v>
      </c>
      <c r="J148" s="1184" t="s">
        <v>23676</v>
      </c>
    </row>
    <row r="149" spans="1:10" x14ac:dyDescent="0.35">
      <c r="A149" s="1181">
        <v>139</v>
      </c>
      <c r="B149" s="1169" t="s">
        <v>21862</v>
      </c>
      <c r="C149" s="1181" t="s">
        <v>21362</v>
      </c>
      <c r="D149" s="1173" t="s">
        <v>21863</v>
      </c>
      <c r="E149" s="1173" t="s">
        <v>21835</v>
      </c>
      <c r="F149" s="1181" t="s">
        <v>23262</v>
      </c>
      <c r="G149" s="1173" t="s">
        <v>2205</v>
      </c>
      <c r="H149" s="1181" t="s">
        <v>23401</v>
      </c>
      <c r="I149" s="1183" t="s">
        <v>23538</v>
      </c>
      <c r="J149" s="1183" t="s">
        <v>23677</v>
      </c>
    </row>
    <row r="150" spans="1:10" x14ac:dyDescent="0.35">
      <c r="A150" s="1182">
        <v>140</v>
      </c>
      <c r="B150" s="1171" t="s">
        <v>21507</v>
      </c>
      <c r="C150" s="1182" t="s">
        <v>21362</v>
      </c>
      <c r="D150" s="1172" t="s">
        <v>21508</v>
      </c>
      <c r="E150" s="1172" t="s">
        <v>21864</v>
      </c>
      <c r="F150" s="1182" t="s">
        <v>23263</v>
      </c>
      <c r="G150" s="1172" t="s">
        <v>21865</v>
      </c>
      <c r="H150" s="1182" t="s">
        <v>23402</v>
      </c>
      <c r="I150" s="1184" t="s">
        <v>23539</v>
      </c>
      <c r="J150" s="1184" t="s">
        <v>23678</v>
      </c>
    </row>
    <row r="151" spans="1:10" x14ac:dyDescent="0.35">
      <c r="A151" s="1181">
        <v>141</v>
      </c>
      <c r="B151" s="1169" t="s">
        <v>21866</v>
      </c>
      <c r="C151" s="1181" t="s">
        <v>21362</v>
      </c>
      <c r="D151" s="1173" t="s">
        <v>21867</v>
      </c>
      <c r="E151" s="1173" t="s">
        <v>21868</v>
      </c>
      <c r="F151" s="1181" t="s">
        <v>23264</v>
      </c>
      <c r="G151" s="1173" t="s">
        <v>21869</v>
      </c>
      <c r="H151" s="1181" t="s">
        <v>23403</v>
      </c>
      <c r="I151" s="1183" t="s">
        <v>23540</v>
      </c>
      <c r="J151" s="1183" t="s">
        <v>23679</v>
      </c>
    </row>
    <row r="152" spans="1:10" x14ac:dyDescent="0.35">
      <c r="A152" s="1182">
        <v>142</v>
      </c>
      <c r="B152" s="1171" t="s">
        <v>21509</v>
      </c>
      <c r="C152" s="1182" t="s">
        <v>21362</v>
      </c>
      <c r="D152" s="1172" t="s">
        <v>21870</v>
      </c>
      <c r="E152" s="1172" t="s">
        <v>21871</v>
      </c>
      <c r="F152" s="1182" t="s">
        <v>22551</v>
      </c>
      <c r="G152" s="1172" t="s">
        <v>21872</v>
      </c>
      <c r="H152" s="1182" t="s">
        <v>22570</v>
      </c>
      <c r="I152" s="1184" t="s">
        <v>22589</v>
      </c>
      <c r="J152" s="1184" t="s">
        <v>22608</v>
      </c>
    </row>
    <row r="153" spans="1:10" x14ac:dyDescent="0.35">
      <c r="A153" s="1181">
        <v>143</v>
      </c>
      <c r="B153" s="1169" t="s">
        <v>21873</v>
      </c>
      <c r="C153" s="1181" t="s">
        <v>21362</v>
      </c>
      <c r="D153" s="1173" t="s">
        <v>21874</v>
      </c>
      <c r="E153" s="1173" t="s">
        <v>21875</v>
      </c>
      <c r="F153" s="1181" t="s">
        <v>22552</v>
      </c>
      <c r="G153" s="1173" t="s">
        <v>21876</v>
      </c>
      <c r="H153" s="1181" t="s">
        <v>22571</v>
      </c>
      <c r="I153" s="1183" t="s">
        <v>22590</v>
      </c>
      <c r="J153" s="1183" t="s">
        <v>22609</v>
      </c>
    </row>
    <row r="154" spans="1:10" x14ac:dyDescent="0.35">
      <c r="A154" s="1182">
        <v>144</v>
      </c>
      <c r="B154" s="1171" t="s">
        <v>21877</v>
      </c>
      <c r="C154" s="1182" t="s">
        <v>21362</v>
      </c>
      <c r="D154" s="1172" t="s">
        <v>21878</v>
      </c>
      <c r="E154" s="1172" t="s">
        <v>21879</v>
      </c>
      <c r="F154" s="1182" t="s">
        <v>22553</v>
      </c>
      <c r="G154" s="1172" t="s">
        <v>21880</v>
      </c>
      <c r="H154" s="1182" t="s">
        <v>22572</v>
      </c>
      <c r="I154" s="1184" t="s">
        <v>22591</v>
      </c>
      <c r="J154" s="1184" t="s">
        <v>22610</v>
      </c>
    </row>
    <row r="155" spans="1:10" x14ac:dyDescent="0.35">
      <c r="A155" s="1181">
        <v>145</v>
      </c>
      <c r="B155" s="1169" t="s">
        <v>21881</v>
      </c>
      <c r="C155" s="1181" t="s">
        <v>21362</v>
      </c>
      <c r="D155" s="1173" t="s">
        <v>21882</v>
      </c>
      <c r="E155" s="1173" t="s">
        <v>3593</v>
      </c>
      <c r="F155" s="1181" t="s">
        <v>22554</v>
      </c>
      <c r="G155" s="1173" t="s">
        <v>2226</v>
      </c>
      <c r="H155" s="1181" t="s">
        <v>22573</v>
      </c>
      <c r="I155" s="1183" t="s">
        <v>22592</v>
      </c>
      <c r="J155" s="1183" t="s">
        <v>22611</v>
      </c>
    </row>
    <row r="156" spans="1:10" x14ac:dyDescent="0.35">
      <c r="A156" s="1182">
        <v>146</v>
      </c>
      <c r="B156" s="1171" t="s">
        <v>21883</v>
      </c>
      <c r="C156" s="1182" t="s">
        <v>21362</v>
      </c>
      <c r="D156" s="1172" t="s">
        <v>21884</v>
      </c>
      <c r="E156" s="1172" t="s">
        <v>11485</v>
      </c>
      <c r="F156" s="1182" t="s">
        <v>22555</v>
      </c>
      <c r="G156" s="1172" t="s">
        <v>1065</v>
      </c>
      <c r="H156" s="1182" t="s">
        <v>22574</v>
      </c>
      <c r="I156" s="1184" t="s">
        <v>22593</v>
      </c>
      <c r="J156" s="1184" t="s">
        <v>22612</v>
      </c>
    </row>
    <row r="157" spans="1:10" x14ac:dyDescent="0.35">
      <c r="A157" s="1181">
        <v>147</v>
      </c>
      <c r="B157" s="1169" t="s">
        <v>21885</v>
      </c>
      <c r="C157" s="1181" t="s">
        <v>21362</v>
      </c>
      <c r="D157" s="1173" t="s">
        <v>21886</v>
      </c>
      <c r="E157" s="1173" t="s">
        <v>21871</v>
      </c>
      <c r="F157" s="1181" t="s">
        <v>22551</v>
      </c>
      <c r="G157" s="1173" t="s">
        <v>3678</v>
      </c>
      <c r="H157" s="1181" t="s">
        <v>22575</v>
      </c>
      <c r="I157" s="1183" t="s">
        <v>22589</v>
      </c>
      <c r="J157" s="1183" t="s">
        <v>22613</v>
      </c>
    </row>
    <row r="158" spans="1:10" x14ac:dyDescent="0.35">
      <c r="A158" s="1182">
        <v>148</v>
      </c>
      <c r="B158" s="1171" t="s">
        <v>21887</v>
      </c>
      <c r="C158" s="1182" t="s">
        <v>21362</v>
      </c>
      <c r="D158" s="1172" t="s">
        <v>21888</v>
      </c>
      <c r="E158" s="1172" t="s">
        <v>21889</v>
      </c>
      <c r="F158" s="1182" t="s">
        <v>22556</v>
      </c>
      <c r="G158" s="1172" t="s">
        <v>21890</v>
      </c>
      <c r="H158" s="1182" t="s">
        <v>22576</v>
      </c>
      <c r="I158" s="1184" t="s">
        <v>22594</v>
      </c>
      <c r="J158" s="1184" t="s">
        <v>22614</v>
      </c>
    </row>
    <row r="159" spans="1:10" x14ac:dyDescent="0.35">
      <c r="A159" s="1181">
        <v>149</v>
      </c>
      <c r="B159" s="1169" t="s">
        <v>21891</v>
      </c>
      <c r="C159" s="1181" t="s">
        <v>21362</v>
      </c>
      <c r="D159" s="1173" t="s">
        <v>21892</v>
      </c>
      <c r="E159" s="1173" t="s">
        <v>21893</v>
      </c>
      <c r="F159" s="1181" t="s">
        <v>22557</v>
      </c>
      <c r="G159" s="1173" t="s">
        <v>21894</v>
      </c>
      <c r="H159" s="1181" t="s">
        <v>22577</v>
      </c>
      <c r="I159" s="1183" t="s">
        <v>22595</v>
      </c>
      <c r="J159" s="1183" t="s">
        <v>22615</v>
      </c>
    </row>
    <row r="160" spans="1:10" x14ac:dyDescent="0.35">
      <c r="A160" s="1182">
        <v>150</v>
      </c>
      <c r="B160" s="1171" t="s">
        <v>21895</v>
      </c>
      <c r="C160" s="1182" t="s">
        <v>21362</v>
      </c>
      <c r="D160" s="1172" t="s">
        <v>21896</v>
      </c>
      <c r="E160" s="1172" t="s">
        <v>21897</v>
      </c>
      <c r="F160" s="1182" t="s">
        <v>22558</v>
      </c>
      <c r="G160" s="1172" t="s">
        <v>21603</v>
      </c>
      <c r="H160" s="1182" t="s">
        <v>22578</v>
      </c>
      <c r="I160" s="1184" t="s">
        <v>22596</v>
      </c>
      <c r="J160" s="1184" t="s">
        <v>22616</v>
      </c>
    </row>
    <row r="161" spans="1:10" x14ac:dyDescent="0.35">
      <c r="A161" s="1181">
        <v>151</v>
      </c>
      <c r="B161" s="1169" t="s">
        <v>21898</v>
      </c>
      <c r="C161" s="1181" t="s">
        <v>21362</v>
      </c>
      <c r="D161" s="1173" t="s">
        <v>21899</v>
      </c>
      <c r="E161" s="1173" t="s">
        <v>21664</v>
      </c>
      <c r="F161" s="1181" t="s">
        <v>22559</v>
      </c>
      <c r="G161" s="1173" t="s">
        <v>10009</v>
      </c>
      <c r="H161" s="1181" t="s">
        <v>22579</v>
      </c>
      <c r="I161" s="1183" t="s">
        <v>22597</v>
      </c>
      <c r="J161" s="1183" t="s">
        <v>22617</v>
      </c>
    </row>
    <row r="162" spans="1:10" x14ac:dyDescent="0.35">
      <c r="A162" s="1182">
        <v>152</v>
      </c>
      <c r="B162" s="1171" t="s">
        <v>21900</v>
      </c>
      <c r="C162" s="1182" t="s">
        <v>21362</v>
      </c>
      <c r="D162" s="1172" t="s">
        <v>21901</v>
      </c>
      <c r="E162" s="1172" t="s">
        <v>21902</v>
      </c>
      <c r="F162" s="1182" t="s">
        <v>22560</v>
      </c>
      <c r="G162" s="1172" t="s">
        <v>21903</v>
      </c>
      <c r="H162" s="1182" t="s">
        <v>22580</v>
      </c>
      <c r="I162" s="1184" t="s">
        <v>22598</v>
      </c>
      <c r="J162" s="1184" t="s">
        <v>22618</v>
      </c>
    </row>
    <row r="163" spans="1:10" x14ac:dyDescent="0.35">
      <c r="A163" s="1181">
        <v>153</v>
      </c>
      <c r="B163" s="1169" t="s">
        <v>21904</v>
      </c>
      <c r="C163" s="1181" t="s">
        <v>21362</v>
      </c>
      <c r="D163" s="1173" t="s">
        <v>21905</v>
      </c>
      <c r="E163" s="1173" t="s">
        <v>8733</v>
      </c>
      <c r="F163" s="1181" t="s">
        <v>22561</v>
      </c>
      <c r="G163" s="1173" t="s">
        <v>6062</v>
      </c>
      <c r="H163" s="1181" t="s">
        <v>22581</v>
      </c>
      <c r="I163" s="1183" t="s">
        <v>22599</v>
      </c>
      <c r="J163" s="1183" t="s">
        <v>22619</v>
      </c>
    </row>
    <row r="164" spans="1:10" x14ac:dyDescent="0.35">
      <c r="A164" s="1182">
        <v>154</v>
      </c>
      <c r="B164" s="1171" t="s">
        <v>21906</v>
      </c>
      <c r="C164" s="1182" t="s">
        <v>21362</v>
      </c>
      <c r="D164" s="1172" t="s">
        <v>21907</v>
      </c>
      <c r="E164" s="1172" t="s">
        <v>21908</v>
      </c>
      <c r="F164" s="1182" t="s">
        <v>22562</v>
      </c>
      <c r="G164" s="1172" t="s">
        <v>21909</v>
      </c>
      <c r="H164" s="1182" t="s">
        <v>22582</v>
      </c>
      <c r="I164" s="1184" t="s">
        <v>22600</v>
      </c>
      <c r="J164" s="1184" t="s">
        <v>22620</v>
      </c>
    </row>
    <row r="165" spans="1:10" x14ac:dyDescent="0.35">
      <c r="A165" s="1181">
        <v>155</v>
      </c>
      <c r="B165" s="1169" t="s">
        <v>21910</v>
      </c>
      <c r="C165" s="1181" t="s">
        <v>21362</v>
      </c>
      <c r="D165" s="1173" t="s">
        <v>21911</v>
      </c>
      <c r="E165" s="1173" t="s">
        <v>1065</v>
      </c>
      <c r="F165" s="1181" t="s">
        <v>22563</v>
      </c>
      <c r="G165" s="1173" t="s">
        <v>21912</v>
      </c>
      <c r="H165" s="1181" t="s">
        <v>22583</v>
      </c>
      <c r="I165" s="1183" t="s">
        <v>22601</v>
      </c>
      <c r="J165" s="1183" t="s">
        <v>22621</v>
      </c>
    </row>
    <row r="166" spans="1:10" x14ac:dyDescent="0.35">
      <c r="A166" s="1182">
        <v>156</v>
      </c>
      <c r="B166" s="1171" t="s">
        <v>21913</v>
      </c>
      <c r="C166" s="1182" t="s">
        <v>21362</v>
      </c>
      <c r="D166" s="1172" t="s">
        <v>21914</v>
      </c>
      <c r="E166" s="1172" t="s">
        <v>21915</v>
      </c>
      <c r="F166" s="1182" t="s">
        <v>22564</v>
      </c>
      <c r="G166" s="1172" t="s">
        <v>21871</v>
      </c>
      <c r="H166" s="1182" t="s">
        <v>22551</v>
      </c>
      <c r="I166" s="1184" t="s">
        <v>22602</v>
      </c>
      <c r="J166" s="1184" t="s">
        <v>22589</v>
      </c>
    </row>
    <row r="167" spans="1:10" x14ac:dyDescent="0.35">
      <c r="A167" s="1181">
        <v>157</v>
      </c>
      <c r="B167" s="1169" t="s">
        <v>21916</v>
      </c>
      <c r="C167" s="1181" t="s">
        <v>21362</v>
      </c>
      <c r="D167" s="1173" t="s">
        <v>21917</v>
      </c>
      <c r="E167" s="1173" t="s">
        <v>21918</v>
      </c>
      <c r="F167" s="1181" t="s">
        <v>22565</v>
      </c>
      <c r="G167" s="1173" t="s">
        <v>6024</v>
      </c>
      <c r="H167" s="1181" t="s">
        <v>22584</v>
      </c>
      <c r="I167" s="1183" t="s">
        <v>22603</v>
      </c>
      <c r="J167" s="1183" t="s">
        <v>22622</v>
      </c>
    </row>
    <row r="168" spans="1:10" x14ac:dyDescent="0.35">
      <c r="A168" s="1182">
        <v>158</v>
      </c>
      <c r="B168" s="1171" t="s">
        <v>21919</v>
      </c>
      <c r="C168" s="1182" t="s">
        <v>21362</v>
      </c>
      <c r="D168" s="1172" t="s">
        <v>21920</v>
      </c>
      <c r="E168" s="1172" t="s">
        <v>8165</v>
      </c>
      <c r="F168" s="1182" t="s">
        <v>22566</v>
      </c>
      <c r="G168" s="1172" t="s">
        <v>21921</v>
      </c>
      <c r="H168" s="1182" t="s">
        <v>22585</v>
      </c>
      <c r="I168" s="1184" t="s">
        <v>22604</v>
      </c>
      <c r="J168" s="1184" t="s">
        <v>22623</v>
      </c>
    </row>
    <row r="169" spans="1:10" x14ac:dyDescent="0.35">
      <c r="A169" s="1181">
        <v>159</v>
      </c>
      <c r="B169" s="1169" t="s">
        <v>21922</v>
      </c>
      <c r="C169" s="1181" t="s">
        <v>21362</v>
      </c>
      <c r="D169" s="1173" t="s">
        <v>21923</v>
      </c>
      <c r="E169" s="1173" t="s">
        <v>21924</v>
      </c>
      <c r="F169" s="1181" t="s">
        <v>22567</v>
      </c>
      <c r="G169" s="1173" t="s">
        <v>21925</v>
      </c>
      <c r="H169" s="1181" t="s">
        <v>22586</v>
      </c>
      <c r="I169" s="1183" t="s">
        <v>22605</v>
      </c>
      <c r="J169" s="1183" t="s">
        <v>22624</v>
      </c>
    </row>
    <row r="170" spans="1:10" x14ac:dyDescent="0.35">
      <c r="A170" s="1182">
        <v>160</v>
      </c>
      <c r="B170" s="1171" t="s">
        <v>21926</v>
      </c>
      <c r="C170" s="1182" t="s">
        <v>21362</v>
      </c>
      <c r="D170" s="1172" t="s">
        <v>21927</v>
      </c>
      <c r="E170" s="1172" t="s">
        <v>1086</v>
      </c>
      <c r="F170" s="1182" t="s">
        <v>22568</v>
      </c>
      <c r="G170" s="1172" t="s">
        <v>21928</v>
      </c>
      <c r="H170" s="1182" t="s">
        <v>22587</v>
      </c>
      <c r="I170" s="1184" t="s">
        <v>22606</v>
      </c>
      <c r="J170" s="1184" t="s">
        <v>22625</v>
      </c>
    </row>
    <row r="171" spans="1:10" x14ac:dyDescent="0.35">
      <c r="A171" s="1181">
        <v>161</v>
      </c>
      <c r="B171" s="1169" t="s">
        <v>21510</v>
      </c>
      <c r="C171" s="1181" t="s">
        <v>21362</v>
      </c>
      <c r="D171" s="1173" t="s">
        <v>21929</v>
      </c>
      <c r="E171" s="1173" t="s">
        <v>18339</v>
      </c>
      <c r="F171" s="1181" t="s">
        <v>22569</v>
      </c>
      <c r="G171" s="1173" t="s">
        <v>2228</v>
      </c>
      <c r="H171" s="1181" t="s">
        <v>22588</v>
      </c>
      <c r="I171" s="1183" t="s">
        <v>22607</v>
      </c>
      <c r="J171" s="1183" t="s">
        <v>22626</v>
      </c>
    </row>
    <row r="172" spans="1:10" x14ac:dyDescent="0.35">
      <c r="A172" s="597"/>
      <c r="C172" s="597"/>
      <c r="D172" s="333"/>
      <c r="E172" s="333"/>
      <c r="F172" s="597"/>
      <c r="G172" s="333"/>
      <c r="H172" s="597"/>
      <c r="I172" s="1185"/>
      <c r="J172" s="1185"/>
    </row>
  </sheetData>
  <mergeCells count="9">
    <mergeCell ref="A88:J88"/>
    <mergeCell ref="A109:J109"/>
    <mergeCell ref="A130:J130"/>
    <mergeCell ref="A1:J1"/>
    <mergeCell ref="A2:J2"/>
    <mergeCell ref="A4:J4"/>
    <mergeCell ref="A25:J25"/>
    <mergeCell ref="A46:J46"/>
    <mergeCell ref="A67:J6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3"/>
  <sheetViews>
    <sheetView topLeftCell="E1" workbookViewId="0">
      <pane ySplit="3" topLeftCell="A7" activePane="bottomLeft" state="frozen"/>
      <selection sqref="A1:H1"/>
      <selection pane="bottomLeft" activeCell="H13" sqref="H13"/>
    </sheetView>
  </sheetViews>
  <sheetFormatPr defaultRowHeight="14.5" x14ac:dyDescent="0.35"/>
  <cols>
    <col min="1" max="1" width="4" customWidth="1"/>
    <col min="2" max="2" width="28" customWidth="1"/>
    <col min="3" max="3" width="9" customWidth="1"/>
    <col min="4" max="4" width="13" customWidth="1"/>
    <col min="5" max="5" width="25" customWidth="1"/>
    <col min="6" max="6" width="20" customWidth="1"/>
    <col min="7" max="7" width="22" customWidth="1"/>
    <col min="8" max="8" width="52" customWidth="1"/>
    <col min="9" max="9" width="10" customWidth="1"/>
    <col min="10" max="10" width="11" customWidth="1"/>
    <col min="11" max="11" width="28" customWidth="1"/>
    <col min="12" max="12" width="58" customWidth="1"/>
  </cols>
  <sheetData>
    <row r="1" spans="1:12" ht="30" customHeight="1" x14ac:dyDescent="0.35">
      <c r="A1" s="1418" t="s">
        <v>903</v>
      </c>
      <c r="B1" s="1313"/>
      <c r="C1" s="1313"/>
      <c r="D1" s="1313"/>
      <c r="E1" s="1313"/>
      <c r="F1" s="1313"/>
      <c r="G1" s="1313"/>
      <c r="H1" s="1313"/>
      <c r="I1" s="1313"/>
      <c r="J1" s="1313"/>
      <c r="K1" s="1313"/>
    </row>
    <row r="2" spans="1:12" ht="16" customHeight="1" x14ac:dyDescent="0.35">
      <c r="A2" s="1365" t="s">
        <v>904</v>
      </c>
      <c r="B2" s="1313"/>
      <c r="C2" s="1313"/>
      <c r="D2" s="1313"/>
      <c r="E2" s="1313"/>
      <c r="F2" s="1313"/>
      <c r="G2" s="1313"/>
      <c r="H2" s="1313"/>
      <c r="I2" s="1313"/>
      <c r="J2" s="1313"/>
      <c r="K2" s="1313"/>
    </row>
    <row r="3" spans="1:12" ht="22" customHeight="1" x14ac:dyDescent="0.35">
      <c r="A3" s="37" t="s">
        <v>141</v>
      </c>
      <c r="B3" s="37" t="s">
        <v>785</v>
      </c>
      <c r="C3" s="37" t="s">
        <v>619</v>
      </c>
      <c r="D3" s="37" t="s">
        <v>905</v>
      </c>
      <c r="E3" s="37" t="s">
        <v>906</v>
      </c>
      <c r="F3" s="37" t="s">
        <v>907</v>
      </c>
      <c r="G3" s="37" t="s">
        <v>908</v>
      </c>
      <c r="H3" s="303" t="s">
        <v>8</v>
      </c>
      <c r="I3" s="37" t="s">
        <v>909</v>
      </c>
      <c r="J3" s="37" t="s">
        <v>910</v>
      </c>
      <c r="K3" s="37" t="s">
        <v>911</v>
      </c>
      <c r="L3" s="37" t="s">
        <v>789</v>
      </c>
    </row>
    <row r="4" spans="1:12" ht="110" customHeight="1" x14ac:dyDescent="0.35">
      <c r="A4" s="112">
        <v>1</v>
      </c>
      <c r="B4" s="113" t="s">
        <v>912</v>
      </c>
      <c r="C4" s="112" t="s">
        <v>913</v>
      </c>
      <c r="D4" s="112" t="s">
        <v>914</v>
      </c>
      <c r="E4" s="113" t="s">
        <v>915</v>
      </c>
      <c r="F4" s="113" t="s">
        <v>916</v>
      </c>
      <c r="G4" s="113" t="s">
        <v>917</v>
      </c>
      <c r="H4" s="304" t="s">
        <v>918</v>
      </c>
      <c r="I4" s="112" t="s">
        <v>919</v>
      </c>
      <c r="J4" s="112" t="s">
        <v>920</v>
      </c>
      <c r="K4" s="112" t="s">
        <v>921</v>
      </c>
      <c r="L4" s="142" t="str">
        <f>HYPERLINK("https://www.google.com/maps/search/NOS%20Alive/@38.6967,-9.2303,17z","📍 NOS Alive")</f>
        <v>📍 NOS Alive</v>
      </c>
    </row>
    <row r="5" spans="1:12" ht="110" customHeight="1" x14ac:dyDescent="0.35">
      <c r="A5" s="115">
        <v>2</v>
      </c>
      <c r="B5" s="116" t="s">
        <v>922</v>
      </c>
      <c r="C5" s="115" t="s">
        <v>792</v>
      </c>
      <c r="D5" s="115" t="s">
        <v>923</v>
      </c>
      <c r="E5" s="116" t="s">
        <v>924</v>
      </c>
      <c r="F5" s="116" t="s">
        <v>925</v>
      </c>
      <c r="G5" s="116" t="s">
        <v>926</v>
      </c>
      <c r="H5" s="305" t="s">
        <v>927</v>
      </c>
      <c r="I5" s="115" t="s">
        <v>928</v>
      </c>
      <c r="J5" s="115" t="s">
        <v>929</v>
      </c>
      <c r="K5" s="115" t="s">
        <v>930</v>
      </c>
      <c r="L5" s="143" t="str">
        <f>HYPERLINK("https://www.google.com/maps/search/Primavera%20Sound%20Porto/@41.1685,-8.6888,17z","📍 Primavera Sound Porto")</f>
        <v>📍 Primavera Sound Porto</v>
      </c>
    </row>
    <row r="6" spans="1:12" ht="110" customHeight="1" x14ac:dyDescent="0.35">
      <c r="A6" s="117">
        <v>3</v>
      </c>
      <c r="B6" s="118" t="s">
        <v>931</v>
      </c>
      <c r="C6" s="117" t="s">
        <v>836</v>
      </c>
      <c r="D6" s="117" t="s">
        <v>932</v>
      </c>
      <c r="E6" s="118" t="s">
        <v>933</v>
      </c>
      <c r="F6" s="118" t="s">
        <v>934</v>
      </c>
      <c r="G6" s="118" t="s">
        <v>935</v>
      </c>
      <c r="H6" s="304" t="s">
        <v>936</v>
      </c>
      <c r="I6" s="117" t="s">
        <v>937</v>
      </c>
      <c r="J6" s="117" t="s">
        <v>938</v>
      </c>
      <c r="K6" s="117" t="s">
        <v>939</v>
      </c>
      <c r="L6" s="144" t="str">
        <f>HYPERLINK("https://www.google.com/maps/search/Boom%20Festival/@39.9944,-7.1492,17z","📍 Boom Festival")</f>
        <v>📍 Boom Festival</v>
      </c>
    </row>
    <row r="7" spans="1:12" ht="110" customHeight="1" x14ac:dyDescent="0.35">
      <c r="A7" s="115">
        <v>4</v>
      </c>
      <c r="B7" s="116" t="s">
        <v>940</v>
      </c>
      <c r="C7" s="115" t="s">
        <v>853</v>
      </c>
      <c r="D7" s="115" t="s">
        <v>914</v>
      </c>
      <c r="E7" s="116" t="s">
        <v>941</v>
      </c>
      <c r="F7" s="116" t="s">
        <v>942</v>
      </c>
      <c r="G7" s="116" t="s">
        <v>943</v>
      </c>
      <c r="H7" s="305" t="s">
        <v>944</v>
      </c>
      <c r="I7" s="115" t="s">
        <v>945</v>
      </c>
      <c r="J7" s="115" t="s">
        <v>946</v>
      </c>
      <c r="K7" s="115" t="s">
        <v>947</v>
      </c>
      <c r="L7" s="143" t="str">
        <f>HYPERLINK("https://www.google.com/maps/search/FMM%20Sines/@37.9561,-8.8606,17z","📍 FMM Sines")</f>
        <v>📍 FMM Sines</v>
      </c>
    </row>
    <row r="8" spans="1:12" ht="110" customHeight="1" x14ac:dyDescent="0.35">
      <c r="A8" s="117">
        <v>5</v>
      </c>
      <c r="B8" s="118" t="s">
        <v>948</v>
      </c>
      <c r="C8" s="117" t="s">
        <v>836</v>
      </c>
      <c r="D8" s="117" t="s">
        <v>949</v>
      </c>
      <c r="E8" s="118" t="s">
        <v>950</v>
      </c>
      <c r="F8" s="118" t="s">
        <v>951</v>
      </c>
      <c r="G8" s="118" t="s">
        <v>952</v>
      </c>
      <c r="H8" s="304" t="s">
        <v>953</v>
      </c>
      <c r="I8" s="117" t="s">
        <v>954</v>
      </c>
      <c r="J8" s="117" t="s">
        <v>955</v>
      </c>
      <c r="K8" s="117" t="s">
        <v>956</v>
      </c>
      <c r="L8" s="144" t="str">
        <f>HYPERLINK("https://www.google.com/maps/search/Feira%20de%20S%C3%A3o%20Mateus/@40.6625,-7.915,17z","📍 Feira de São Mateus")</f>
        <v>📍 Feira de São Mateus</v>
      </c>
    </row>
    <row r="9" spans="1:12" ht="110" customHeight="1" x14ac:dyDescent="0.35">
      <c r="A9" s="115">
        <v>6</v>
      </c>
      <c r="B9" s="116" t="s">
        <v>957</v>
      </c>
      <c r="C9" s="115" t="s">
        <v>853</v>
      </c>
      <c r="D9" s="115" t="s">
        <v>958</v>
      </c>
      <c r="E9" s="116" t="s">
        <v>959</v>
      </c>
      <c r="F9" s="116" t="s">
        <v>960</v>
      </c>
      <c r="G9" s="116" t="s">
        <v>961</v>
      </c>
      <c r="H9" s="305" t="s">
        <v>962</v>
      </c>
      <c r="I9" s="115" t="s">
        <v>963</v>
      </c>
      <c r="J9" s="115" t="s">
        <v>964</v>
      </c>
      <c r="K9" s="115" t="s">
        <v>965</v>
      </c>
      <c r="L9" s="143" t="str">
        <f>HYPERLINK("https://www.google.com/maps/search/MEO%20Sudoeste/@37.5511,-8.7561,17z","📍 MEO Sudoeste")</f>
        <v>📍 MEO Sudoeste</v>
      </c>
    </row>
    <row r="10" spans="1:12" ht="110" customHeight="1" x14ac:dyDescent="0.35">
      <c r="A10" s="120">
        <v>7</v>
      </c>
      <c r="B10" s="121" t="s">
        <v>966</v>
      </c>
      <c r="C10" s="120" t="s">
        <v>792</v>
      </c>
      <c r="D10" s="120" t="s">
        <v>958</v>
      </c>
      <c r="E10" s="121" t="s">
        <v>967</v>
      </c>
      <c r="F10" s="121" t="s">
        <v>968</v>
      </c>
      <c r="G10" s="121" t="s">
        <v>969</v>
      </c>
      <c r="H10" s="304" t="s">
        <v>970</v>
      </c>
      <c r="I10" s="120" t="s">
        <v>971</v>
      </c>
      <c r="J10" s="120" t="s">
        <v>972</v>
      </c>
      <c r="K10" s="120" t="s">
        <v>973</v>
      </c>
      <c r="L10" s="145" t="str">
        <f>HYPERLINK("https://www.google.com/maps/search/Vodafone%20Paredes%20de%20Coura/@41.9161,-8.5639,17z","📍 Vodafone Paredes de Coura")</f>
        <v>📍 Vodafone Paredes de Coura</v>
      </c>
    </row>
    <row r="11" spans="1:12" ht="110" customHeight="1" x14ac:dyDescent="0.35">
      <c r="A11" s="115">
        <v>8</v>
      </c>
      <c r="B11" s="116" t="s">
        <v>974</v>
      </c>
      <c r="C11" s="115" t="s">
        <v>836</v>
      </c>
      <c r="D11" s="115" t="s">
        <v>975</v>
      </c>
      <c r="E11" s="116" t="s">
        <v>976</v>
      </c>
      <c r="F11" s="116" t="s">
        <v>977</v>
      </c>
      <c r="G11" s="116" t="s">
        <v>978</v>
      </c>
      <c r="H11" s="305" t="s">
        <v>979</v>
      </c>
      <c r="I11" s="115" t="s">
        <v>980</v>
      </c>
      <c r="J11" s="115" t="s">
        <v>981</v>
      </c>
      <c r="K11" s="115" t="s">
        <v>982</v>
      </c>
      <c r="L11" s="143" t="str">
        <f>HYPERLINK("https://www.google.com/maps/search/Festival%20Chocolate/@39.363,-9.1571,17z","📍 Festival Chocolate")</f>
        <v>📍 Festival Chocolate</v>
      </c>
    </row>
    <row r="12" spans="1:12" ht="110" customHeight="1" x14ac:dyDescent="0.35">
      <c r="A12" s="112">
        <v>9</v>
      </c>
      <c r="B12" s="113" t="s">
        <v>983</v>
      </c>
      <c r="C12" s="112" t="s">
        <v>913</v>
      </c>
      <c r="D12" s="112" t="s">
        <v>949</v>
      </c>
      <c r="E12" s="113" t="s">
        <v>984</v>
      </c>
      <c r="F12" s="113" t="s">
        <v>985</v>
      </c>
      <c r="G12" s="113" t="s">
        <v>986</v>
      </c>
      <c r="H12" s="304" t="s">
        <v>987</v>
      </c>
      <c r="I12" s="112" t="s">
        <v>988</v>
      </c>
      <c r="J12" s="112" t="s">
        <v>989</v>
      </c>
      <c r="K12" s="112" t="s">
        <v>990</v>
      </c>
      <c r="L12" s="142" t="str">
        <f>HYPERLINK("https://www.google.com/maps/search/MEO%20Kalorama/@38.7512,-9.1197,17z","📍 MEO Kalorama")</f>
        <v>📍 MEO Kalorama</v>
      </c>
    </row>
    <row r="13" spans="1:12" ht="110" customHeight="1" x14ac:dyDescent="0.35">
      <c r="A13" s="115">
        <v>10</v>
      </c>
      <c r="B13" s="116" t="s">
        <v>991</v>
      </c>
      <c r="C13" s="115" t="s">
        <v>767</v>
      </c>
      <c r="D13" s="115" t="s">
        <v>992</v>
      </c>
      <c r="E13" s="116" t="s">
        <v>993</v>
      </c>
      <c r="F13" s="116" t="s">
        <v>994</v>
      </c>
      <c r="G13" s="116" t="s">
        <v>995</v>
      </c>
      <c r="H13" s="305" t="s">
        <v>996</v>
      </c>
      <c r="I13" s="115" t="s">
        <v>997</v>
      </c>
      <c r="J13" s="115" t="s">
        <v>998</v>
      </c>
      <c r="K13" s="115" t="s">
        <v>956</v>
      </c>
      <c r="L13" s="143" t="str">
        <f>HYPERLINK("https://www.google.com/maps/search/Festival%20F/@37.0125,-7.9344,17z","📍 Festival F")</f>
        <v>📍 Festival F</v>
      </c>
    </row>
    <row r="14" spans="1:12" ht="110" customHeight="1" x14ac:dyDescent="0.35">
      <c r="A14" s="120">
        <v>11</v>
      </c>
      <c r="B14" s="121" t="s">
        <v>999</v>
      </c>
      <c r="C14" s="120" t="s">
        <v>792</v>
      </c>
      <c r="D14" s="120" t="s">
        <v>958</v>
      </c>
      <c r="E14" s="121" t="s">
        <v>1000</v>
      </c>
      <c r="F14" s="121" t="s">
        <v>1001</v>
      </c>
      <c r="G14" s="121" t="s">
        <v>1002</v>
      </c>
      <c r="H14" s="304" t="s">
        <v>1003</v>
      </c>
      <c r="I14" s="120" t="s">
        <v>1004</v>
      </c>
      <c r="J14" s="120" t="s">
        <v>1005</v>
      </c>
      <c r="K14" s="120" t="s">
        <v>947</v>
      </c>
      <c r="L14" s="145" t="str">
        <f>HYPERLINK("https://www.google.com/maps/search/Neopop/@41.6894,-8.8389,17z","📍 Neopop")</f>
        <v>📍 Neopop</v>
      </c>
    </row>
    <row r="15" spans="1:12" ht="110" customHeight="1" x14ac:dyDescent="0.35">
      <c r="A15" s="115">
        <v>12</v>
      </c>
      <c r="B15" s="116" t="s">
        <v>1006</v>
      </c>
      <c r="C15" s="115" t="s">
        <v>792</v>
      </c>
      <c r="D15" s="115" t="s">
        <v>958</v>
      </c>
      <c r="E15" s="116" t="s">
        <v>1007</v>
      </c>
      <c r="F15" s="116" t="s">
        <v>1008</v>
      </c>
      <c r="G15" s="116" t="s">
        <v>1009</v>
      </c>
      <c r="H15" s="305" t="s">
        <v>1010</v>
      </c>
      <c r="I15" s="115" t="s">
        <v>1011</v>
      </c>
      <c r="J15" s="115" t="s">
        <v>1012</v>
      </c>
      <c r="K15" s="115" t="s">
        <v>1013</v>
      </c>
      <c r="L15" s="143" t="str">
        <f>HYPERLINK("https://www.google.com/maps/search/Viagem%20Medieval/@40.9238,-8.5428,17z","📍 Viagem Medieval")</f>
        <v>📍 Viagem Medieval</v>
      </c>
    </row>
    <row r="16" spans="1:12" ht="110" customHeight="1" x14ac:dyDescent="0.35">
      <c r="A16" s="117">
        <v>13</v>
      </c>
      <c r="B16" s="118" t="s">
        <v>1014</v>
      </c>
      <c r="C16" s="117" t="s">
        <v>836</v>
      </c>
      <c r="D16" s="117" t="s">
        <v>914</v>
      </c>
      <c r="E16" s="118" t="s">
        <v>1015</v>
      </c>
      <c r="F16" s="118" t="s">
        <v>1016</v>
      </c>
      <c r="G16" s="118" t="s">
        <v>1017</v>
      </c>
      <c r="H16" s="304" t="s">
        <v>1018</v>
      </c>
      <c r="I16" s="117" t="s">
        <v>1019</v>
      </c>
      <c r="J16" s="117" t="s">
        <v>1020</v>
      </c>
      <c r="K16" s="117" t="s">
        <v>930</v>
      </c>
      <c r="L16" s="144" t="str">
        <f>HYPERLINK("https://www.google.com/maps/search/RFM%20Somnii/@40.1501,-8.8686,17z","📍 RFM Somnii")</f>
        <v>📍 RFM Somnii</v>
      </c>
    </row>
    <row r="17" spans="1:12" ht="110" customHeight="1" x14ac:dyDescent="0.35">
      <c r="A17" s="115">
        <v>14</v>
      </c>
      <c r="B17" s="116" t="s">
        <v>1021</v>
      </c>
      <c r="C17" s="115" t="s">
        <v>836</v>
      </c>
      <c r="D17" s="115" t="s">
        <v>1022</v>
      </c>
      <c r="E17" s="116" t="s">
        <v>1023</v>
      </c>
      <c r="F17" s="116" t="s">
        <v>1024</v>
      </c>
      <c r="G17" s="116" t="s">
        <v>1025</v>
      </c>
      <c r="H17" s="305" t="s">
        <v>1026</v>
      </c>
      <c r="I17" s="115" t="s">
        <v>1027</v>
      </c>
      <c r="J17" s="115" t="s">
        <v>1028</v>
      </c>
      <c r="K17" s="115" t="s">
        <v>1029</v>
      </c>
      <c r="L17" s="143" t="str">
        <f>HYPERLINK("https://www.google.com/maps/search/Gastronomia%20Santar%C3%A9m/@39.2323,-8.6882,17z","📍 Gastronomia Santarém")</f>
        <v>📍 Gastronomia Santarém</v>
      </c>
    </row>
    <row r="18" spans="1:12" ht="110" customHeight="1" x14ac:dyDescent="0.35">
      <c r="A18" s="117">
        <v>15</v>
      </c>
      <c r="B18" s="118" t="s">
        <v>1030</v>
      </c>
      <c r="C18" s="117" t="s">
        <v>836</v>
      </c>
      <c r="D18" s="117" t="s">
        <v>958</v>
      </c>
      <c r="E18" s="118" t="s">
        <v>1031</v>
      </c>
      <c r="F18" s="118" t="s">
        <v>1032</v>
      </c>
      <c r="G18" s="118" t="s">
        <v>1033</v>
      </c>
      <c r="H18" s="304" t="s">
        <v>1034</v>
      </c>
      <c r="I18" s="117" t="s">
        <v>1035</v>
      </c>
      <c r="J18" s="117" t="s">
        <v>1036</v>
      </c>
      <c r="K18" s="117" t="s">
        <v>982</v>
      </c>
      <c r="L18" s="144" t="str">
        <f>HYPERLINK("https://www.google.com/maps/search/Bons%20Sons/@39.5878,-8.4552,17z","📍 Bons Sons")</f>
        <v>📍 Bons Sons</v>
      </c>
    </row>
    <row r="19" spans="1:12" ht="110" customHeight="1" x14ac:dyDescent="0.35">
      <c r="A19" s="115">
        <v>16</v>
      </c>
      <c r="B19" s="116" t="s">
        <v>1037</v>
      </c>
      <c r="C19" s="115" t="s">
        <v>913</v>
      </c>
      <c r="D19" s="115" t="s">
        <v>914</v>
      </c>
      <c r="E19" s="116" t="s">
        <v>1038</v>
      </c>
      <c r="F19" s="116" t="s">
        <v>1039</v>
      </c>
      <c r="G19" s="116" t="s">
        <v>1040</v>
      </c>
      <c r="H19" s="305" t="s">
        <v>1041</v>
      </c>
      <c r="I19" s="115" t="s">
        <v>1042</v>
      </c>
      <c r="J19" s="115" t="s">
        <v>1043</v>
      </c>
      <c r="K19" s="115" t="s">
        <v>956</v>
      </c>
      <c r="L19" s="143" t="str">
        <f>HYPERLINK("https://www.google.com/maps/search/Super%20Bock%20Super%20Rock/@38.5134,-9.1352,17z","📍 Super Bock Super Rock")</f>
        <v>📍 Super Bock Super Rock</v>
      </c>
    </row>
    <row r="20" spans="1:12" ht="110" customHeight="1" x14ac:dyDescent="0.35">
      <c r="A20" s="120">
        <v>17</v>
      </c>
      <c r="B20" s="121" t="s">
        <v>1044</v>
      </c>
      <c r="C20" s="120" t="s">
        <v>792</v>
      </c>
      <c r="D20" s="120" t="s">
        <v>923</v>
      </c>
      <c r="E20" s="121" t="s">
        <v>1045</v>
      </c>
      <c r="F20" s="121" t="s">
        <v>1046</v>
      </c>
      <c r="G20" s="121" t="s">
        <v>1047</v>
      </c>
      <c r="H20" s="304" t="s">
        <v>1048</v>
      </c>
      <c r="I20" s="120" t="s">
        <v>937</v>
      </c>
      <c r="J20" s="120" t="s">
        <v>1049</v>
      </c>
      <c r="K20" s="120" t="s">
        <v>1050</v>
      </c>
      <c r="L20" s="145" t="str">
        <f>HYPERLINK("https://www.google.com/maps/search/S%C3%A3o%20Jo%C3%A3o%20de%20Braga/@41.5511,-8.423,17z","📍 São João de Braga")</f>
        <v>📍 São João de Braga</v>
      </c>
    </row>
    <row r="21" spans="1:12" ht="110" customHeight="1" x14ac:dyDescent="0.35">
      <c r="A21" s="115">
        <v>18</v>
      </c>
      <c r="B21" s="116" t="s">
        <v>1051</v>
      </c>
      <c r="C21" s="115" t="s">
        <v>524</v>
      </c>
      <c r="D21" s="115" t="s">
        <v>1052</v>
      </c>
      <c r="E21" s="116" t="s">
        <v>1053</v>
      </c>
      <c r="F21" s="116" t="s">
        <v>1054</v>
      </c>
      <c r="G21" s="116" t="s">
        <v>1055</v>
      </c>
      <c r="H21" s="305" t="s">
        <v>1056</v>
      </c>
      <c r="I21" s="115" t="s">
        <v>1057</v>
      </c>
      <c r="J21" s="115" t="s">
        <v>1049</v>
      </c>
      <c r="K21" s="115" t="s">
        <v>965</v>
      </c>
      <c r="L21" s="143" t="str">
        <f>HYPERLINK("https://www.google.com/maps/search/Festa%20da%20Flor/@32.6475,-16.9082,17z","📍 Festa da Flor")</f>
        <v>📍 Festa da Flor</v>
      </c>
    </row>
    <row r="22" spans="1:12" ht="110" customHeight="1" x14ac:dyDescent="0.35">
      <c r="A22" s="120">
        <v>19</v>
      </c>
      <c r="B22" s="121" t="s">
        <v>1058</v>
      </c>
      <c r="C22" s="120" t="s">
        <v>792</v>
      </c>
      <c r="D22" s="120" t="s">
        <v>914</v>
      </c>
      <c r="E22" s="121" t="s">
        <v>1059</v>
      </c>
      <c r="F22" s="121" t="s">
        <v>1060</v>
      </c>
      <c r="G22" s="121" t="s">
        <v>1061</v>
      </c>
      <c r="H22" s="304" t="s">
        <v>1062</v>
      </c>
      <c r="I22" s="120" t="s">
        <v>1035</v>
      </c>
      <c r="J22" s="120" t="s">
        <v>1063</v>
      </c>
      <c r="K22" s="120" t="s">
        <v>965</v>
      </c>
      <c r="L22" s="145" t="str">
        <f>HYPERLINK("https://www.google.com/maps/search/Milh%C3%B5es%20de%20Festa/@41.5375,-8.6186,17z","📍 Milhões de Festa")</f>
        <v>📍 Milhões de Festa</v>
      </c>
    </row>
    <row r="23" spans="1:12" ht="110" customHeight="1" x14ac:dyDescent="0.35">
      <c r="A23" s="115">
        <v>20</v>
      </c>
      <c r="B23" s="116" t="s">
        <v>1064</v>
      </c>
      <c r="C23" s="115" t="s">
        <v>522</v>
      </c>
      <c r="D23" s="115" t="s">
        <v>923</v>
      </c>
      <c r="E23" s="116" t="s">
        <v>1065</v>
      </c>
      <c r="F23" s="116" t="s">
        <v>1066</v>
      </c>
      <c r="G23" s="116" t="s">
        <v>1067</v>
      </c>
      <c r="H23" s="305" t="s">
        <v>1068</v>
      </c>
      <c r="I23" s="115" t="s">
        <v>1069</v>
      </c>
      <c r="J23" s="115" t="s">
        <v>1049</v>
      </c>
      <c r="K23" s="115" t="s">
        <v>1029</v>
      </c>
      <c r="L23" s="143" t="str">
        <f>HYPERLINK("https://www.google.com/maps/search/Sanjoaninas/@38.6554,-27.2185,17z","📍 Sanjoaninas")</f>
        <v>📍 Sanjoaninas</v>
      </c>
    </row>
    <row r="24" spans="1:12" ht="110" customHeight="1" x14ac:dyDescent="0.35">
      <c r="A24" s="122">
        <v>21</v>
      </c>
      <c r="B24" s="123" t="s">
        <v>1070</v>
      </c>
      <c r="C24" s="122" t="s">
        <v>767</v>
      </c>
      <c r="D24" s="122" t="s">
        <v>923</v>
      </c>
      <c r="E24" s="123" t="s">
        <v>1071</v>
      </c>
      <c r="F24" s="123" t="s">
        <v>942</v>
      </c>
      <c r="G24" s="123" t="s">
        <v>1072</v>
      </c>
      <c r="H24" s="304" t="s">
        <v>1073</v>
      </c>
      <c r="I24" s="122" t="s">
        <v>1074</v>
      </c>
      <c r="J24" s="122" t="s">
        <v>1075</v>
      </c>
      <c r="K24" s="122" t="s">
        <v>939</v>
      </c>
      <c r="L24" s="146" t="str">
        <f>HYPERLINK("https://www.google.com/maps/search/Festival%20Med/@37.1392,-8.0219,17z","📍 Festival Med")</f>
        <v>📍 Festival Med</v>
      </c>
    </row>
    <row r="25" spans="1:12" ht="110" customHeight="1" x14ac:dyDescent="0.35">
      <c r="A25" s="115">
        <v>22</v>
      </c>
      <c r="B25" s="116" t="s">
        <v>1076</v>
      </c>
      <c r="C25" s="115" t="s">
        <v>913</v>
      </c>
      <c r="D25" s="115" t="s">
        <v>914</v>
      </c>
      <c r="E25" s="116" t="s">
        <v>1077</v>
      </c>
      <c r="F25" s="116" t="s">
        <v>1078</v>
      </c>
      <c r="G25" s="116" t="s">
        <v>1079</v>
      </c>
      <c r="H25" s="305" t="s">
        <v>1080</v>
      </c>
      <c r="I25" s="115" t="s">
        <v>1081</v>
      </c>
      <c r="J25" s="115" t="s">
        <v>1082</v>
      </c>
      <c r="K25" s="115" t="s">
        <v>1083</v>
      </c>
      <c r="L25" s="143" t="str">
        <f>HYPERLINK("https://www.google.com/maps/search/EDP%20Cool%20Jazz/@38.6936,-9.4215,17z","📍 EDP Cool Jazz")</f>
        <v>📍 EDP Cool Jazz</v>
      </c>
    </row>
    <row r="26" spans="1:12" ht="110" customHeight="1" x14ac:dyDescent="0.35">
      <c r="A26" s="124">
        <v>23</v>
      </c>
      <c r="B26" s="125" t="s">
        <v>1084</v>
      </c>
      <c r="C26" s="124" t="s">
        <v>522</v>
      </c>
      <c r="D26" s="124" t="s">
        <v>1085</v>
      </c>
      <c r="E26" s="125" t="s">
        <v>1086</v>
      </c>
      <c r="F26" s="125" t="s">
        <v>1087</v>
      </c>
      <c r="G26" s="125" t="s">
        <v>1088</v>
      </c>
      <c r="H26" s="304" t="s">
        <v>1089</v>
      </c>
      <c r="I26" s="124" t="s">
        <v>1090</v>
      </c>
      <c r="J26" s="124" t="s">
        <v>1091</v>
      </c>
      <c r="K26" s="124" t="s">
        <v>1092</v>
      </c>
      <c r="L26" s="96" t="str">
        <f>HYPERLINK("https://www.google.com/maps/search/Tremor/@37.7412,-25.6756,17z","📍 Tremor")</f>
        <v>📍 Tremor</v>
      </c>
    </row>
    <row r="27" spans="1:12" ht="110" customHeight="1" x14ac:dyDescent="0.35">
      <c r="A27" s="115">
        <v>24</v>
      </c>
      <c r="B27" s="116" t="s">
        <v>1093</v>
      </c>
      <c r="C27" s="115" t="s">
        <v>792</v>
      </c>
      <c r="D27" s="115" t="s">
        <v>958</v>
      </c>
      <c r="E27" s="116" t="s">
        <v>1094</v>
      </c>
      <c r="F27" s="116" t="s">
        <v>1095</v>
      </c>
      <c r="G27" s="116" t="s">
        <v>1096</v>
      </c>
      <c r="H27" s="305" t="s">
        <v>1097</v>
      </c>
      <c r="I27" s="115" t="s">
        <v>1098</v>
      </c>
      <c r="J27" s="115" t="s">
        <v>964</v>
      </c>
      <c r="K27" s="115" t="s">
        <v>1029</v>
      </c>
      <c r="L27" s="143" t="str">
        <f>HYPERLINK("https://www.google.com/maps/search/Vilar%20de%20Mouros/@41.8883,-8.7884,17z","📍 Vilar de Mouros")</f>
        <v>📍 Vilar de Mouros</v>
      </c>
    </row>
    <row r="28" spans="1:12" ht="110" customHeight="1" x14ac:dyDescent="0.35">
      <c r="A28" s="117">
        <v>25</v>
      </c>
      <c r="B28" s="118" t="s">
        <v>1099</v>
      </c>
      <c r="C28" s="117" t="s">
        <v>836</v>
      </c>
      <c r="D28" s="117" t="s">
        <v>958</v>
      </c>
      <c r="E28" s="118" t="s">
        <v>1100</v>
      </c>
      <c r="F28" s="118" t="s">
        <v>1101</v>
      </c>
      <c r="G28" s="118" t="s">
        <v>1102</v>
      </c>
      <c r="H28" s="304" t="s">
        <v>1103</v>
      </c>
      <c r="I28" s="117" t="s">
        <v>1104</v>
      </c>
      <c r="J28" s="117" t="s">
        <v>1049</v>
      </c>
      <c r="K28" s="117" t="s">
        <v>1105</v>
      </c>
      <c r="L28" s="144" t="str">
        <f>HYPERLINK("https://www.google.com/maps/search/Ar%20d%27Aura/@40.6375,-7.3911,17z","📍 Ar d'Aura")</f>
        <v>📍 Ar d'Aura</v>
      </c>
    </row>
    <row r="29" spans="1:12" ht="110" customHeight="1" x14ac:dyDescent="0.35">
      <c r="A29" s="115">
        <v>26</v>
      </c>
      <c r="B29" s="116" t="s">
        <v>1106</v>
      </c>
      <c r="C29" s="115" t="s">
        <v>913</v>
      </c>
      <c r="D29" s="115" t="s">
        <v>923</v>
      </c>
      <c r="E29" s="116" t="s">
        <v>1107</v>
      </c>
      <c r="F29" s="116" t="s">
        <v>1108</v>
      </c>
      <c r="G29" s="116" t="s">
        <v>1109</v>
      </c>
      <c r="H29" s="305" t="s">
        <v>1110</v>
      </c>
      <c r="I29" s="115" t="s">
        <v>1111</v>
      </c>
      <c r="J29" s="115" t="s">
        <v>929</v>
      </c>
      <c r="K29" s="115" t="s">
        <v>1029</v>
      </c>
      <c r="L29" s="143" t="str">
        <f>HYPERLINK("https://www.google.com/maps/search/Evil%20Live/@38.7681,-9.0941,17z","📍 Evil Live")</f>
        <v>📍 Evil Live</v>
      </c>
    </row>
    <row r="30" spans="1:12" ht="110" customHeight="1" x14ac:dyDescent="0.35">
      <c r="A30" s="117">
        <v>27</v>
      </c>
      <c r="B30" s="118" t="s">
        <v>1112</v>
      </c>
      <c r="C30" s="117" t="s">
        <v>836</v>
      </c>
      <c r="D30" s="117" t="s">
        <v>932</v>
      </c>
      <c r="E30" s="118" t="s">
        <v>1113</v>
      </c>
      <c r="F30" s="118" t="s">
        <v>1114</v>
      </c>
      <c r="G30" s="118" t="s">
        <v>1115</v>
      </c>
      <c r="H30" s="304" t="s">
        <v>1116</v>
      </c>
      <c r="I30" s="117" t="s">
        <v>954</v>
      </c>
      <c r="J30" s="117" t="s">
        <v>981</v>
      </c>
      <c r="K30" s="117" t="s">
        <v>947</v>
      </c>
      <c r="L30" s="144" t="str">
        <f>HYPERLINK("https://www.google.com/maps/search/Mercado%20Medieval/@39.363,-9.1571,17z","📍 Mercado Medieval")</f>
        <v>📍 Mercado Medieval</v>
      </c>
    </row>
    <row r="31" spans="1:12" ht="110" customHeight="1" x14ac:dyDescent="0.35">
      <c r="A31" s="115">
        <v>28</v>
      </c>
      <c r="B31" s="116" t="s">
        <v>1117</v>
      </c>
      <c r="C31" s="115" t="s">
        <v>913</v>
      </c>
      <c r="D31" s="115" t="s">
        <v>975</v>
      </c>
      <c r="E31" s="116" t="s">
        <v>1118</v>
      </c>
      <c r="F31" s="116" t="s">
        <v>1119</v>
      </c>
      <c r="G31" s="116" t="s">
        <v>1120</v>
      </c>
      <c r="H31" s="305" t="s">
        <v>1121</v>
      </c>
      <c r="I31" s="115" t="s">
        <v>1122</v>
      </c>
      <c r="J31" s="115" t="s">
        <v>1082</v>
      </c>
      <c r="K31" s="115" t="s">
        <v>973</v>
      </c>
      <c r="L31" s="143" t="str">
        <f>HYPERLINK("https://www.google.com/maps/search/Comic%20Con%20Portugal/@38.7725,-9.0952,17z","📍 Comic Con Portugal")</f>
        <v>📍 Comic Con Portugal</v>
      </c>
    </row>
    <row r="32" spans="1:12" ht="110" customHeight="1" x14ac:dyDescent="0.35">
      <c r="A32" s="120">
        <v>29</v>
      </c>
      <c r="B32" s="121" t="s">
        <v>1123</v>
      </c>
      <c r="C32" s="120" t="s">
        <v>792</v>
      </c>
      <c r="D32" s="120" t="s">
        <v>1124</v>
      </c>
      <c r="E32" s="121" t="s">
        <v>1125</v>
      </c>
      <c r="F32" s="121" t="s">
        <v>1126</v>
      </c>
      <c r="G32" s="121" t="s">
        <v>1127</v>
      </c>
      <c r="H32" s="304" t="s">
        <v>1128</v>
      </c>
      <c r="I32" s="120" t="s">
        <v>1129</v>
      </c>
      <c r="J32" s="120" t="s">
        <v>1012</v>
      </c>
      <c r="K32" s="120" t="s">
        <v>1105</v>
      </c>
      <c r="L32" s="145" t="str">
        <f>HYPERLINK("https://www.google.com/maps/search/Fantasporto/@41.1455,-8.6074,17z","📍 Fantasporto")</f>
        <v>📍 Fantasporto</v>
      </c>
    </row>
    <row r="33" spans="1:12" ht="110" customHeight="1" x14ac:dyDescent="0.35">
      <c r="A33" s="115">
        <v>30</v>
      </c>
      <c r="B33" s="116" t="s">
        <v>1130</v>
      </c>
      <c r="C33" s="115" t="s">
        <v>836</v>
      </c>
      <c r="D33" s="115" t="s">
        <v>914</v>
      </c>
      <c r="E33" s="116" t="s">
        <v>1131</v>
      </c>
      <c r="F33" s="116" t="s">
        <v>1132</v>
      </c>
      <c r="G33" s="116" t="s">
        <v>1133</v>
      </c>
      <c r="H33" s="305" t="s">
        <v>1134</v>
      </c>
      <c r="I33" s="115" t="s">
        <v>1135</v>
      </c>
      <c r="J33" s="115" t="s">
        <v>1136</v>
      </c>
      <c r="K33" s="115" t="s">
        <v>990</v>
      </c>
      <c r="L33" s="143" t="str">
        <f>HYPERLINK("https://www.google.com/maps/search/Expofacic/@40.3465,-8.5912,17z","📍 Expofacic")</f>
        <v>📍 Expofacic</v>
      </c>
    </row>
    <row r="34" spans="1:12" ht="110" customHeight="1" x14ac:dyDescent="0.35">
      <c r="A34" s="122">
        <v>31</v>
      </c>
      <c r="B34" s="123" t="s">
        <v>1137</v>
      </c>
      <c r="C34" s="122" t="s">
        <v>767</v>
      </c>
      <c r="D34" s="122" t="s">
        <v>958</v>
      </c>
      <c r="E34" s="123" t="s">
        <v>1138</v>
      </c>
      <c r="F34" s="123" t="s">
        <v>977</v>
      </c>
      <c r="G34" s="123" t="s">
        <v>1139</v>
      </c>
      <c r="H34" s="304" t="s">
        <v>1140</v>
      </c>
      <c r="I34" s="122" t="s">
        <v>1141</v>
      </c>
      <c r="J34" s="122" t="s">
        <v>981</v>
      </c>
      <c r="K34" s="122" t="s">
        <v>947</v>
      </c>
      <c r="L34" s="146" t="str">
        <f>HYPERLINK("https://www.google.com/maps/search/Marisco%20Olh%C3%A3o/@37.0239,-7.8422,17z","📍 Marisco Olhão")</f>
        <v>📍 Marisco Olhão</v>
      </c>
    </row>
    <row r="35" spans="1:12" ht="110" customHeight="1" x14ac:dyDescent="0.35">
      <c r="A35" s="115">
        <v>32</v>
      </c>
      <c r="B35" s="116" t="s">
        <v>1142</v>
      </c>
      <c r="C35" s="115" t="s">
        <v>913</v>
      </c>
      <c r="D35" s="115" t="s">
        <v>923</v>
      </c>
      <c r="E35" s="116" t="s">
        <v>1143</v>
      </c>
      <c r="F35" s="116" t="s">
        <v>1144</v>
      </c>
      <c r="G35" s="116" t="s">
        <v>1145</v>
      </c>
      <c r="H35" s="305" t="s">
        <v>1146</v>
      </c>
      <c r="I35" s="115" t="s">
        <v>1147</v>
      </c>
      <c r="J35" s="115" t="s">
        <v>1049</v>
      </c>
      <c r="K35" s="115" t="s">
        <v>1013</v>
      </c>
      <c r="L35" s="143" t="str">
        <f>HYPERLINK("https://www.google.com/maps/search/Arraial%20Pride/@38.7075,-9.1364,17z","📍 Arraial Pride")</f>
        <v>📍 Arraial Pride</v>
      </c>
    </row>
    <row r="36" spans="1:12" ht="110" customHeight="1" x14ac:dyDescent="0.35">
      <c r="A36" s="120">
        <v>33</v>
      </c>
      <c r="B36" s="121" t="s">
        <v>1148</v>
      </c>
      <c r="C36" s="120" t="s">
        <v>792</v>
      </c>
      <c r="D36" s="120" t="s">
        <v>958</v>
      </c>
      <c r="E36" s="121" t="s">
        <v>1149</v>
      </c>
      <c r="F36" s="121" t="s">
        <v>1066</v>
      </c>
      <c r="G36" s="121" t="s">
        <v>1150</v>
      </c>
      <c r="H36" s="304" t="s">
        <v>1151</v>
      </c>
      <c r="I36" s="120" t="s">
        <v>1152</v>
      </c>
      <c r="J36" s="120" t="s">
        <v>1049</v>
      </c>
      <c r="K36" s="120" t="s">
        <v>1153</v>
      </c>
      <c r="L36" s="145" t="str">
        <f>HYPERLINK("https://www.google.com/maps/search/Senhora%20da%20Agonia/@41.6917,-8.8356,17z","📍 Senhora da Agonia")</f>
        <v>📍 Senhora da Agonia</v>
      </c>
    </row>
    <row r="37" spans="1:12" ht="110" customHeight="1" x14ac:dyDescent="0.35">
      <c r="A37" s="115">
        <v>34</v>
      </c>
      <c r="B37" s="116" t="s">
        <v>1154</v>
      </c>
      <c r="C37" s="115" t="s">
        <v>913</v>
      </c>
      <c r="D37" s="115" t="s">
        <v>958</v>
      </c>
      <c r="E37" s="116" t="s">
        <v>1155</v>
      </c>
      <c r="F37" s="116" t="s">
        <v>1156</v>
      </c>
      <c r="G37" s="116" t="s">
        <v>1157</v>
      </c>
      <c r="H37" s="305" t="s">
        <v>1158</v>
      </c>
      <c r="I37" s="115" t="s">
        <v>1159</v>
      </c>
      <c r="J37" s="115" t="s">
        <v>1063</v>
      </c>
      <c r="K37" s="115" t="s">
        <v>1160</v>
      </c>
      <c r="L37" s="143" t="str">
        <f>HYPERLINK("https://www.google.com/maps/search/Jazz%20em%20Agosto/@38.7371,-9.1541,17z","📍 Jazz em Agosto")</f>
        <v>📍 Jazz em Agosto</v>
      </c>
    </row>
    <row r="38" spans="1:12" ht="110" customHeight="1" x14ac:dyDescent="0.35">
      <c r="A38" s="120">
        <v>35</v>
      </c>
      <c r="B38" s="121" t="s">
        <v>1161</v>
      </c>
      <c r="C38" s="120" t="s">
        <v>792</v>
      </c>
      <c r="D38" s="120" t="s">
        <v>1124</v>
      </c>
      <c r="E38" s="121" t="s">
        <v>1162</v>
      </c>
      <c r="F38" s="121" t="s">
        <v>1163</v>
      </c>
      <c r="G38" s="121" t="s">
        <v>1164</v>
      </c>
      <c r="H38" s="304" t="s">
        <v>1165</v>
      </c>
      <c r="I38" s="120" t="s">
        <v>1057</v>
      </c>
      <c r="J38" s="120" t="s">
        <v>1049</v>
      </c>
      <c r="K38" s="120" t="s">
        <v>1166</v>
      </c>
      <c r="L38" s="145" t="str">
        <f>HYPERLINK("https://www.google.com/maps/search/Caretos%20de%20Podence/@41.5936,-6.9272,17z","📍 Caretos de Podence")</f>
        <v>📍 Caretos de Podence</v>
      </c>
    </row>
    <row r="39" spans="1:12" ht="110" customHeight="1" x14ac:dyDescent="0.35">
      <c r="A39" s="115">
        <v>36</v>
      </c>
      <c r="B39" s="116" t="s">
        <v>1167</v>
      </c>
      <c r="C39" s="115" t="s">
        <v>913</v>
      </c>
      <c r="D39" s="115" t="s">
        <v>1168</v>
      </c>
      <c r="E39" s="116" t="s">
        <v>1169</v>
      </c>
      <c r="F39" s="116" t="s">
        <v>1170</v>
      </c>
      <c r="G39" s="116" t="s">
        <v>1171</v>
      </c>
      <c r="H39" s="305" t="s">
        <v>1172</v>
      </c>
      <c r="I39" s="115" t="s">
        <v>1173</v>
      </c>
      <c r="J39" s="115" t="s">
        <v>1049</v>
      </c>
      <c r="K39" s="115" t="s">
        <v>1174</v>
      </c>
      <c r="L39" s="143" t="str">
        <f>HYPERLINK("https://www.google.com/maps/search/Out%20Jazz/@38.7139,-9.1592,17z","📍 Out Jazz")</f>
        <v>📍 Out Jazz</v>
      </c>
    </row>
    <row r="40" spans="1:12" ht="110" customHeight="1" x14ac:dyDescent="0.35">
      <c r="A40" s="117">
        <v>37</v>
      </c>
      <c r="B40" s="118" t="s">
        <v>1175</v>
      </c>
      <c r="C40" s="117" t="s">
        <v>836</v>
      </c>
      <c r="D40" s="117" t="s">
        <v>1176</v>
      </c>
      <c r="E40" s="118" t="s">
        <v>1177</v>
      </c>
      <c r="F40" s="118" t="s">
        <v>1178</v>
      </c>
      <c r="G40" s="118" t="s">
        <v>1179</v>
      </c>
      <c r="H40" s="304" t="s">
        <v>1180</v>
      </c>
      <c r="I40" s="117" t="s">
        <v>1181</v>
      </c>
      <c r="J40" s="117" t="s">
        <v>1020</v>
      </c>
      <c r="K40" s="117" t="s">
        <v>1182</v>
      </c>
      <c r="L40" s="144" t="str">
        <f>HYPERLINK("https://www.google.com/maps/search/Gouveia%20Art%20Rock/@40.4939,-7.5925,17z","📍 Gouveia Art Rock")</f>
        <v>📍 Gouveia Art Rock</v>
      </c>
    </row>
    <row r="41" spans="1:12" ht="110" customHeight="1" x14ac:dyDescent="0.35">
      <c r="A41" s="115">
        <v>38</v>
      </c>
      <c r="B41" s="116" t="s">
        <v>1183</v>
      </c>
      <c r="C41" s="115" t="s">
        <v>792</v>
      </c>
      <c r="D41" s="115" t="s">
        <v>923</v>
      </c>
      <c r="E41" s="116" t="s">
        <v>1184</v>
      </c>
      <c r="F41" s="116" t="s">
        <v>1046</v>
      </c>
      <c r="G41" s="116" t="s">
        <v>1185</v>
      </c>
      <c r="H41" s="305" t="s">
        <v>1186</v>
      </c>
      <c r="I41" s="115" t="s">
        <v>1187</v>
      </c>
      <c r="J41" s="115" t="s">
        <v>1049</v>
      </c>
      <c r="K41" s="115" t="s">
        <v>956</v>
      </c>
      <c r="L41" s="143" t="str">
        <f>HYPERLINK("https://www.google.com/maps/search/S%C3%A3o%20Gon%C3%A7alo/@41.2681,-8.0778,17z","📍 São Gonçalo")</f>
        <v>📍 São Gonçalo</v>
      </c>
    </row>
    <row r="42" spans="1:12" ht="110" customHeight="1" x14ac:dyDescent="0.35">
      <c r="A42" s="112">
        <v>39</v>
      </c>
      <c r="B42" s="113" t="s">
        <v>1188</v>
      </c>
      <c r="C42" s="112" t="s">
        <v>913</v>
      </c>
      <c r="D42" s="112" t="s">
        <v>1022</v>
      </c>
      <c r="E42" s="113" t="s">
        <v>1189</v>
      </c>
      <c r="F42" s="113" t="s">
        <v>1190</v>
      </c>
      <c r="G42" s="113" t="s">
        <v>1191</v>
      </c>
      <c r="H42" s="304" t="s">
        <v>1192</v>
      </c>
      <c r="I42" s="112" t="s">
        <v>1147</v>
      </c>
      <c r="J42" s="112" t="s">
        <v>1036</v>
      </c>
      <c r="K42" s="112" t="s">
        <v>982</v>
      </c>
      <c r="L42" s="142" t="str">
        <f>HYPERLINK("https://www.google.com/maps/search/Iminente/@38.7317,-9.1014,17z","📍 Iminente")</f>
        <v>📍 Iminente</v>
      </c>
    </row>
    <row r="43" spans="1:12" ht="110" customHeight="1" x14ac:dyDescent="0.35">
      <c r="A43" s="115">
        <v>40</v>
      </c>
      <c r="B43" s="116" t="s">
        <v>1193</v>
      </c>
      <c r="C43" s="115" t="s">
        <v>836</v>
      </c>
      <c r="D43" s="115" t="s">
        <v>1022</v>
      </c>
      <c r="E43" s="116" t="s">
        <v>1113</v>
      </c>
      <c r="F43" s="116" t="s">
        <v>1194</v>
      </c>
      <c r="G43" s="116" t="s">
        <v>1195</v>
      </c>
      <c r="H43" s="305" t="s">
        <v>1196</v>
      </c>
      <c r="I43" s="115" t="s">
        <v>1197</v>
      </c>
      <c r="J43" s="115" t="s">
        <v>1049</v>
      </c>
      <c r="K43" s="115" t="s">
        <v>1166</v>
      </c>
      <c r="L43" s="143" t="str">
        <f>HYPERLINK("https://www.google.com/maps/search/FOLIO/@39.3615,-9.1575,17z","📍 FOLIO")</f>
        <v>📍 FOLIO</v>
      </c>
    </row>
    <row r="44" spans="1:12" ht="110" customHeight="1" x14ac:dyDescent="0.35">
      <c r="A44" s="126">
        <v>41</v>
      </c>
      <c r="B44" s="127" t="s">
        <v>1198</v>
      </c>
      <c r="C44" s="126" t="s">
        <v>524</v>
      </c>
      <c r="D44" s="126" t="s">
        <v>1022</v>
      </c>
      <c r="E44" s="127" t="s">
        <v>1199</v>
      </c>
      <c r="F44" s="127" t="s">
        <v>1200</v>
      </c>
      <c r="G44" s="127" t="s">
        <v>1201</v>
      </c>
      <c r="H44" s="304" t="s">
        <v>1202</v>
      </c>
      <c r="I44" s="126" t="s">
        <v>1203</v>
      </c>
      <c r="J44" s="126" t="s">
        <v>1049</v>
      </c>
      <c r="K44" s="126" t="s">
        <v>1204</v>
      </c>
      <c r="L44" s="147" t="str">
        <f>HYPERLINK("https://www.google.com/maps/search/%C3%93rg%C3%A3o%20Madeira/@32.6483,-16.9086,17z","📍 Órgão Madeira")</f>
        <v>📍 Órgão Madeira</v>
      </c>
    </row>
    <row r="45" spans="1:12" ht="110" customHeight="1" x14ac:dyDescent="0.35">
      <c r="A45" s="115">
        <v>42</v>
      </c>
      <c r="B45" s="116" t="s">
        <v>1205</v>
      </c>
      <c r="C45" s="115" t="s">
        <v>524</v>
      </c>
      <c r="D45" s="115" t="s">
        <v>1206</v>
      </c>
      <c r="E45" s="116" t="s">
        <v>1207</v>
      </c>
      <c r="F45" s="116" t="s">
        <v>1208</v>
      </c>
      <c r="G45" s="116" t="s">
        <v>1209</v>
      </c>
      <c r="H45" s="305" t="s">
        <v>1210</v>
      </c>
      <c r="I45" s="115" t="s">
        <v>1211</v>
      </c>
      <c r="J45" s="115" t="s">
        <v>1049</v>
      </c>
      <c r="K45" s="115" t="s">
        <v>1212</v>
      </c>
      <c r="L45" s="143" t="str">
        <f>HYPERLINK("https://www.google.com/maps/search/Passagem%20de%20Ano/@32.6444,-16.9059,17z","📍 Passagem de Ano")</f>
        <v>📍 Passagem de Ano</v>
      </c>
    </row>
    <row r="46" spans="1:12" ht="110" customHeight="1" x14ac:dyDescent="0.35">
      <c r="A46" s="112">
        <v>43</v>
      </c>
      <c r="B46" s="113" t="s">
        <v>1213</v>
      </c>
      <c r="C46" s="112" t="s">
        <v>913</v>
      </c>
      <c r="D46" s="112" t="s">
        <v>958</v>
      </c>
      <c r="E46" s="113" t="s">
        <v>1214</v>
      </c>
      <c r="F46" s="113" t="s">
        <v>1215</v>
      </c>
      <c r="G46" s="113" t="s">
        <v>1216</v>
      </c>
      <c r="H46" s="304" t="s">
        <v>1217</v>
      </c>
      <c r="I46" s="112" t="s">
        <v>1147</v>
      </c>
      <c r="J46" s="112" t="s">
        <v>1063</v>
      </c>
      <c r="K46" s="112" t="s">
        <v>973</v>
      </c>
      <c r="L46" s="142" t="str">
        <f>HYPERLINK("https://www.google.com/maps/search/Sol%20da%20Caparica/@38.6433,-9.2331,17z","📍 Sol da Caparica")</f>
        <v>📍 Sol da Caparica</v>
      </c>
    </row>
    <row r="47" spans="1:12" ht="110" customHeight="1" x14ac:dyDescent="0.35">
      <c r="A47" s="115">
        <v>44</v>
      </c>
      <c r="B47" s="116" t="s">
        <v>1218</v>
      </c>
      <c r="C47" s="115" t="s">
        <v>1219</v>
      </c>
      <c r="D47" s="115" t="s">
        <v>1220</v>
      </c>
      <c r="E47" s="116" t="s">
        <v>1221</v>
      </c>
      <c r="F47" s="116" t="s">
        <v>1222</v>
      </c>
      <c r="G47" s="116" t="s">
        <v>1223</v>
      </c>
      <c r="H47" s="305" t="s">
        <v>1224</v>
      </c>
      <c r="I47" s="115" t="s">
        <v>1225</v>
      </c>
      <c r="J47" s="115" t="s">
        <v>981</v>
      </c>
      <c r="K47" s="115" t="s">
        <v>1204</v>
      </c>
      <c r="L47" s="143" t="str">
        <f>HYPERLINK("https://www.google.com/maps/search/Festival%20Term%C3%B3metro/@38.7208,-9.1465,17z","📍 Festival Termómetro")</f>
        <v>📍 Festival Termómetro</v>
      </c>
    </row>
    <row r="48" spans="1:12" ht="110" customHeight="1" x14ac:dyDescent="0.35">
      <c r="A48" s="128">
        <v>45</v>
      </c>
      <c r="B48" s="129" t="s">
        <v>1226</v>
      </c>
      <c r="C48" s="128" t="s">
        <v>853</v>
      </c>
      <c r="D48" s="128" t="s">
        <v>1022</v>
      </c>
      <c r="E48" s="129" t="s">
        <v>1227</v>
      </c>
      <c r="F48" s="129" t="s">
        <v>1228</v>
      </c>
      <c r="G48" s="129" t="s">
        <v>1229</v>
      </c>
      <c r="H48" s="304" t="s">
        <v>1230</v>
      </c>
      <c r="I48" s="128" t="s">
        <v>1231</v>
      </c>
      <c r="J48" s="128" t="s">
        <v>1049</v>
      </c>
      <c r="K48" s="128" t="s">
        <v>965</v>
      </c>
      <c r="L48" s="148" t="str">
        <f>HYPERLINK("https://www.google.com/maps/search/Feira%20de%20Castro/@37.7011,-8.0847,17z","📍 Feira de Castro")</f>
        <v>📍 Feira de Castro</v>
      </c>
    </row>
    <row r="49" spans="1:12" ht="110" customHeight="1" x14ac:dyDescent="0.35">
      <c r="A49" s="115">
        <v>46</v>
      </c>
      <c r="B49" s="116" t="s">
        <v>1232</v>
      </c>
      <c r="C49" s="115" t="s">
        <v>853</v>
      </c>
      <c r="D49" s="115" t="s">
        <v>923</v>
      </c>
      <c r="E49" s="116" t="s">
        <v>1233</v>
      </c>
      <c r="F49" s="116" t="s">
        <v>1234</v>
      </c>
      <c r="G49" s="116" t="s">
        <v>1235</v>
      </c>
      <c r="H49" s="305" t="s">
        <v>1236</v>
      </c>
      <c r="I49" s="115" t="s">
        <v>1237</v>
      </c>
      <c r="J49" s="115" t="s">
        <v>1049</v>
      </c>
      <c r="K49" s="115" t="s">
        <v>947</v>
      </c>
      <c r="L49" s="143" t="str">
        <f>HYPERLINK("https://www.google.com/maps/search/Festival%20B/@38.015,-7.8653,17z","📍 Festival B")</f>
        <v>📍 Festival B</v>
      </c>
    </row>
    <row r="50" spans="1:12" ht="110" customHeight="1" x14ac:dyDescent="0.35">
      <c r="A50" s="131">
        <v>47</v>
      </c>
      <c r="B50" s="132" t="s">
        <v>1238</v>
      </c>
      <c r="C50" s="131" t="s">
        <v>1219</v>
      </c>
      <c r="D50" s="131" t="s">
        <v>1239</v>
      </c>
      <c r="E50" s="132" t="s">
        <v>1240</v>
      </c>
      <c r="F50" s="132" t="s">
        <v>1241</v>
      </c>
      <c r="G50" s="132" t="s">
        <v>1242</v>
      </c>
      <c r="H50" s="304" t="s">
        <v>1243</v>
      </c>
      <c r="I50" s="131" t="s">
        <v>1244</v>
      </c>
      <c r="J50" s="131" t="s">
        <v>1075</v>
      </c>
      <c r="K50" s="131" t="s">
        <v>1245</v>
      </c>
      <c r="L50" s="149" t="str">
        <f>HYPERLINK("https://www.google.com/maps/search/Urban%20Trail/@38.7111,-9.1375,17z","📍 Urban Trail")</f>
        <v>📍 Urban Trail</v>
      </c>
    </row>
    <row r="51" spans="1:12" ht="110" customHeight="1" x14ac:dyDescent="0.35">
      <c r="A51" s="115">
        <v>48</v>
      </c>
      <c r="B51" s="116" t="s">
        <v>1246</v>
      </c>
      <c r="C51" s="115" t="s">
        <v>836</v>
      </c>
      <c r="D51" s="115" t="s">
        <v>1052</v>
      </c>
      <c r="E51" s="116" t="s">
        <v>1247</v>
      </c>
      <c r="F51" s="116" t="s">
        <v>1248</v>
      </c>
      <c r="G51" s="116" t="s">
        <v>1249</v>
      </c>
      <c r="H51" s="305" t="s">
        <v>1250</v>
      </c>
      <c r="I51" s="115" t="s">
        <v>1251</v>
      </c>
      <c r="J51" s="115" t="s">
        <v>1136</v>
      </c>
      <c r="K51" s="115" t="s">
        <v>956</v>
      </c>
      <c r="L51" s="143" t="str">
        <f>HYPERLINK("https://www.google.com/maps/search/Queima%20das%20Fitas/@40.2017,-8.4339,17z","📍 Queima das Fitas")</f>
        <v>📍 Queima das Fitas</v>
      </c>
    </row>
    <row r="52" spans="1:12" ht="110" customHeight="1" x14ac:dyDescent="0.35">
      <c r="A52" s="112">
        <v>49</v>
      </c>
      <c r="B52" s="113" t="s">
        <v>1252</v>
      </c>
      <c r="C52" s="112" t="s">
        <v>913</v>
      </c>
      <c r="D52" s="112" t="s">
        <v>1022</v>
      </c>
      <c r="E52" s="113" t="s">
        <v>1253</v>
      </c>
      <c r="F52" s="113" t="s">
        <v>1254</v>
      </c>
      <c r="G52" s="113" t="s">
        <v>1255</v>
      </c>
      <c r="H52" s="304" t="s">
        <v>1256</v>
      </c>
      <c r="I52" s="112" t="s">
        <v>1257</v>
      </c>
      <c r="J52" s="112" t="s">
        <v>1012</v>
      </c>
      <c r="K52" s="112" t="s">
        <v>1105</v>
      </c>
      <c r="L52" s="142" t="str">
        <f>HYPERLINK("https://www.google.com/maps/search/Doclisboa/@38.7208,-9.1465,17z","📍 Doclisboa")</f>
        <v>📍 Doclisboa</v>
      </c>
    </row>
    <row r="53" spans="1:12" ht="110" customHeight="1" x14ac:dyDescent="0.35">
      <c r="A53" s="115">
        <v>50</v>
      </c>
      <c r="B53" s="116" t="s">
        <v>1258</v>
      </c>
      <c r="C53" s="115" t="s">
        <v>913</v>
      </c>
      <c r="D53" s="115" t="s">
        <v>914</v>
      </c>
      <c r="E53" s="116" t="s">
        <v>1259</v>
      </c>
      <c r="F53" s="116" t="s">
        <v>1260</v>
      </c>
      <c r="G53" s="116" t="s">
        <v>1261</v>
      </c>
      <c r="H53" s="305" t="s">
        <v>1262</v>
      </c>
      <c r="I53" s="115" t="s">
        <v>1019</v>
      </c>
      <c r="J53" s="115" t="s">
        <v>1075</v>
      </c>
      <c r="K53" s="115" t="s">
        <v>1245</v>
      </c>
      <c r="L53" s="143" t="str">
        <f>HYPERLINK("https://www.google.com/maps/search/Festival%20Almada/@38.6744,-9.1558,17z","📍 Festival Almada")</f>
        <v>📍 Festival Almada</v>
      </c>
    </row>
    <row r="54" spans="1:12" ht="110" customHeight="1" x14ac:dyDescent="0.35">
      <c r="A54" s="117">
        <v>51</v>
      </c>
      <c r="B54" s="118" t="s">
        <v>1263</v>
      </c>
      <c r="C54" s="117" t="s">
        <v>836</v>
      </c>
      <c r="D54" s="117" t="s">
        <v>914</v>
      </c>
      <c r="E54" s="118" t="s">
        <v>1264</v>
      </c>
      <c r="F54" s="118" t="s">
        <v>1265</v>
      </c>
      <c r="G54" s="118" t="s">
        <v>1266</v>
      </c>
      <c r="H54" s="304" t="s">
        <v>1267</v>
      </c>
      <c r="I54" s="117" t="s">
        <v>1090</v>
      </c>
      <c r="J54" s="117" t="s">
        <v>1049</v>
      </c>
      <c r="K54" s="117" t="s">
        <v>1029</v>
      </c>
      <c r="L54" s="144" t="str">
        <f>HYPERLINK("https://www.google.com/maps/search/Agit%C3%81gueda/@40.575,-8.4444,17z","📍 AgitÁgueda")</f>
        <v>📍 AgitÁgueda</v>
      </c>
    </row>
    <row r="55" spans="1:12" ht="110" customHeight="1" x14ac:dyDescent="0.35">
      <c r="A55" s="115">
        <v>52</v>
      </c>
      <c r="B55" s="116" t="s">
        <v>1268</v>
      </c>
      <c r="C55" s="115" t="s">
        <v>836</v>
      </c>
      <c r="D55" s="115" t="s">
        <v>1269</v>
      </c>
      <c r="E55" s="116" t="s">
        <v>1270</v>
      </c>
      <c r="F55" s="116" t="s">
        <v>1271</v>
      </c>
      <c r="G55" s="116" t="s">
        <v>1272</v>
      </c>
      <c r="H55" s="305" t="s">
        <v>1273</v>
      </c>
      <c r="I55" s="115" t="s">
        <v>1274</v>
      </c>
      <c r="J55" s="115" t="s">
        <v>1012</v>
      </c>
      <c r="K55" s="115" t="s">
        <v>1204</v>
      </c>
      <c r="L55" s="143" t="str">
        <f>HYPERLINK("https://www.google.com/maps/search/Caminhos%20do%20Cinema/@40.2081,-8.4239,17z","📍 Caminhos do Cinema")</f>
        <v>📍 Caminhos do Cinema</v>
      </c>
    </row>
    <row r="56" spans="1:12" ht="110" customHeight="1" x14ac:dyDescent="0.35">
      <c r="A56" s="117">
        <v>53</v>
      </c>
      <c r="B56" s="118" t="s">
        <v>1275</v>
      </c>
      <c r="C56" s="117" t="s">
        <v>836</v>
      </c>
      <c r="D56" s="117" t="s">
        <v>992</v>
      </c>
      <c r="E56" s="118" t="s">
        <v>1276</v>
      </c>
      <c r="F56" s="118" t="s">
        <v>1277</v>
      </c>
      <c r="G56" s="118" t="s">
        <v>1278</v>
      </c>
      <c r="H56" s="304" t="s">
        <v>1279</v>
      </c>
      <c r="I56" s="117" t="s">
        <v>1280</v>
      </c>
      <c r="J56" s="117" t="s">
        <v>1049</v>
      </c>
      <c r="K56" s="117" t="s">
        <v>1166</v>
      </c>
      <c r="L56" s="144" t="str">
        <f>HYPERLINK("https://www.google.com/maps/search/Est%C3%A1tuas%20Vivas/@39.6033,-8.4131,17z","📍 Estátuas Vivas")</f>
        <v>📍 Estátuas Vivas</v>
      </c>
    </row>
    <row r="57" spans="1:12" ht="110" customHeight="1" x14ac:dyDescent="0.35">
      <c r="A57" s="115">
        <v>54</v>
      </c>
      <c r="B57" s="116" t="s">
        <v>1281</v>
      </c>
      <c r="C57" s="115" t="s">
        <v>792</v>
      </c>
      <c r="D57" s="115" t="s">
        <v>1052</v>
      </c>
      <c r="E57" s="116" t="s">
        <v>1282</v>
      </c>
      <c r="F57" s="116" t="s">
        <v>1008</v>
      </c>
      <c r="G57" s="116" t="s">
        <v>1283</v>
      </c>
      <c r="H57" s="305" t="s">
        <v>1284</v>
      </c>
      <c r="I57" s="115" t="s">
        <v>1285</v>
      </c>
      <c r="J57" s="115" t="s">
        <v>1049</v>
      </c>
      <c r="K57" s="115" t="s">
        <v>990</v>
      </c>
      <c r="L57" s="143" t="str">
        <f>HYPERLINK("https://www.google.com/maps/search/Braga%20Romana/@41.5475,-8.4278,17z","📍 Braga Romana")</f>
        <v>📍 Braga Romana</v>
      </c>
    </row>
    <row r="58" spans="1:12" ht="110" customHeight="1" x14ac:dyDescent="0.35">
      <c r="A58" s="131">
        <v>55</v>
      </c>
      <c r="B58" s="132" t="s">
        <v>1286</v>
      </c>
      <c r="C58" s="131" t="s">
        <v>1219</v>
      </c>
      <c r="D58" s="131" t="s">
        <v>1269</v>
      </c>
      <c r="E58" s="132" t="s">
        <v>1287</v>
      </c>
      <c r="F58" s="132" t="s">
        <v>1288</v>
      </c>
      <c r="G58" s="132" t="s">
        <v>1289</v>
      </c>
      <c r="H58" s="304" t="s">
        <v>1290</v>
      </c>
      <c r="I58" s="131" t="s">
        <v>1291</v>
      </c>
      <c r="J58" s="131" t="s">
        <v>1292</v>
      </c>
      <c r="K58" s="131" t="s">
        <v>1092</v>
      </c>
      <c r="L58" s="149" t="str">
        <f>HYPERLINK("https://www.google.com/maps/search/Misty%20Fest/@38.6956,-9.2092,17z","📍 Misty Fest")</f>
        <v>📍 Misty Fest</v>
      </c>
    </row>
    <row r="59" spans="1:12" ht="110" customHeight="1" x14ac:dyDescent="0.35">
      <c r="A59" s="115">
        <v>56</v>
      </c>
      <c r="B59" s="116" t="s">
        <v>1293</v>
      </c>
      <c r="C59" s="115" t="s">
        <v>913</v>
      </c>
      <c r="D59" s="115" t="s">
        <v>1168</v>
      </c>
      <c r="E59" s="116" t="s">
        <v>1294</v>
      </c>
      <c r="F59" s="116" t="s">
        <v>1170</v>
      </c>
      <c r="G59" s="116" t="s">
        <v>1295</v>
      </c>
      <c r="H59" s="305" t="s">
        <v>1296</v>
      </c>
      <c r="I59" s="115" t="s">
        <v>1297</v>
      </c>
      <c r="J59" s="115" t="s">
        <v>1049</v>
      </c>
      <c r="K59" s="115" t="s">
        <v>1245</v>
      </c>
      <c r="L59" s="143" t="str">
        <f>HYPERLINK("https://www.google.com/maps/search/Somersby%20Out%20Jazz/@38.7075,-9.1364,17z","📍 Somersby Out Jazz")</f>
        <v>📍 Somersby Out Jazz</v>
      </c>
    </row>
    <row r="60" spans="1:12" ht="110" customHeight="1" x14ac:dyDescent="0.35">
      <c r="A60" s="117">
        <v>57</v>
      </c>
      <c r="B60" s="118" t="s">
        <v>1298</v>
      </c>
      <c r="C60" s="117" t="s">
        <v>836</v>
      </c>
      <c r="D60" s="117" t="s">
        <v>1299</v>
      </c>
      <c r="E60" s="118" t="s">
        <v>1276</v>
      </c>
      <c r="F60" s="118" t="s">
        <v>1066</v>
      </c>
      <c r="G60" s="118" t="s">
        <v>1300</v>
      </c>
      <c r="H60" s="304" t="s">
        <v>1301</v>
      </c>
      <c r="I60" s="117" t="s">
        <v>1302</v>
      </c>
      <c r="J60" s="117" t="s">
        <v>1049</v>
      </c>
      <c r="K60" s="117" t="s">
        <v>1303</v>
      </c>
      <c r="L60" s="144" t="str">
        <f>HYPERLINK("https://www.google.com/maps/search/Festa%20dos%20Tabuleiros/@39.6033,-8.4131,17z","📍 Festa dos Tabuleiros")</f>
        <v>📍 Festa dos Tabuleiros</v>
      </c>
    </row>
    <row r="61" spans="1:12" ht="110" customHeight="1" x14ac:dyDescent="0.35">
      <c r="A61" s="115">
        <v>58</v>
      </c>
      <c r="B61" s="116" t="s">
        <v>1304</v>
      </c>
      <c r="C61" s="115" t="s">
        <v>913</v>
      </c>
      <c r="D61" s="115" t="s">
        <v>975</v>
      </c>
      <c r="E61" s="116" t="s">
        <v>1305</v>
      </c>
      <c r="F61" s="116" t="s">
        <v>1306</v>
      </c>
      <c r="G61" s="116" t="s">
        <v>1307</v>
      </c>
      <c r="H61" s="305" t="s">
        <v>1308</v>
      </c>
      <c r="I61" s="115" t="s">
        <v>1197</v>
      </c>
      <c r="J61" s="115" t="s">
        <v>1012</v>
      </c>
      <c r="K61" s="115" t="s">
        <v>1174</v>
      </c>
      <c r="L61" s="143" t="str">
        <f>HYPERLINK("https://www.google.com/maps/search/Monstra/@38.7208,-9.1465,17z","📍 Monstra")</f>
        <v>📍 Monstra</v>
      </c>
    </row>
    <row r="62" spans="1:12" ht="110" customHeight="1" x14ac:dyDescent="0.35">
      <c r="A62" s="122">
        <v>59</v>
      </c>
      <c r="B62" s="123" t="s">
        <v>1309</v>
      </c>
      <c r="C62" s="122" t="s">
        <v>767</v>
      </c>
      <c r="D62" s="122" t="s">
        <v>1310</v>
      </c>
      <c r="E62" s="123" t="s">
        <v>1311</v>
      </c>
      <c r="F62" s="123" t="s">
        <v>1312</v>
      </c>
      <c r="G62" s="123" t="s">
        <v>1313</v>
      </c>
      <c r="H62" s="304" t="s">
        <v>1314</v>
      </c>
      <c r="I62" s="122" t="s">
        <v>1315</v>
      </c>
      <c r="J62" s="122" t="s">
        <v>1012</v>
      </c>
      <c r="K62" s="122" t="s">
        <v>1166</v>
      </c>
      <c r="L62" s="146" t="str">
        <f>HYPERLINK("https://www.google.com/maps/search/Paderne%20Medieval/@37.1764,-8.2033,17z","📍 Paderne Medieval")</f>
        <v>📍 Paderne Medieval</v>
      </c>
    </row>
    <row r="63" spans="1:12" ht="110" customHeight="1" x14ac:dyDescent="0.35">
      <c r="A63" s="115">
        <v>60</v>
      </c>
      <c r="B63" s="116" t="s">
        <v>1316</v>
      </c>
      <c r="C63" s="115" t="s">
        <v>792</v>
      </c>
      <c r="D63" s="115" t="s">
        <v>914</v>
      </c>
      <c r="E63" s="116" t="s">
        <v>1317</v>
      </c>
      <c r="F63" s="116" t="s">
        <v>1318</v>
      </c>
      <c r="G63" s="116" t="s">
        <v>1319</v>
      </c>
      <c r="H63" s="305" t="s">
        <v>1320</v>
      </c>
      <c r="I63" s="115" t="s">
        <v>1321</v>
      </c>
      <c r="J63" s="115" t="s">
        <v>964</v>
      </c>
      <c r="K63" s="115" t="s">
        <v>990</v>
      </c>
      <c r="L63" s="143" t="str">
        <f>HYPERLINK("https://www.google.com/maps/search/MEO%20Mar%C3%A9s%20Vivas/@41.1333,-8.65,17z","📍 MEO Marés Vivas")</f>
        <v>📍 MEO Marés Vivas</v>
      </c>
    </row>
  </sheetData>
  <mergeCells count="2">
    <mergeCell ref="A2:K2"/>
    <mergeCell ref="A1:K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4"/>
  <sheetViews>
    <sheetView topLeftCell="B1" workbookViewId="0">
      <pane ySplit="3" topLeftCell="A145" activePane="bottomLeft" state="frozen"/>
      <selection pane="bottomLeft" activeCell="G147" sqref="G147"/>
    </sheetView>
  </sheetViews>
  <sheetFormatPr defaultRowHeight="14.5" x14ac:dyDescent="0.35"/>
  <cols>
    <col min="1" max="1" width="4" customWidth="1"/>
    <col min="2" max="2" width="36" customWidth="1"/>
    <col min="3" max="3" width="16" customWidth="1"/>
    <col min="4" max="4" width="22" customWidth="1"/>
    <col min="5" max="5" width="11" customWidth="1"/>
    <col min="6" max="6" width="65" customWidth="1"/>
    <col min="7" max="7" width="22" customWidth="1"/>
    <col min="8" max="8" width="24" customWidth="1"/>
    <col min="9" max="9" width="28" customWidth="1"/>
  </cols>
  <sheetData>
    <row r="1" spans="1:9" ht="32" customHeight="1" x14ac:dyDescent="0.35">
      <c r="A1" s="1418" t="s">
        <v>1765</v>
      </c>
      <c r="B1" s="1313"/>
      <c r="C1" s="1313"/>
      <c r="D1" s="1313"/>
      <c r="E1" s="1313"/>
      <c r="F1" s="1313"/>
      <c r="G1" s="1313"/>
      <c r="H1" s="1313"/>
      <c r="I1" s="1313"/>
    </row>
    <row r="2" spans="1:9" ht="16" customHeight="1" x14ac:dyDescent="0.35">
      <c r="A2" s="1365" t="s">
        <v>1766</v>
      </c>
      <c r="B2" s="1313"/>
      <c r="C2" s="1313"/>
      <c r="D2" s="1313"/>
      <c r="E2" s="1313"/>
      <c r="F2" s="1313"/>
      <c r="G2" s="1313"/>
      <c r="H2" s="1313"/>
      <c r="I2" s="1313"/>
    </row>
    <row r="3" spans="1:9" ht="24" customHeight="1" x14ac:dyDescent="0.35">
      <c r="A3" s="37" t="s">
        <v>141</v>
      </c>
      <c r="B3" s="37" t="s">
        <v>1767</v>
      </c>
      <c r="C3" s="37" t="s">
        <v>1768</v>
      </c>
      <c r="D3" s="37" t="s">
        <v>1769</v>
      </c>
      <c r="E3" s="37" t="s">
        <v>1327</v>
      </c>
      <c r="F3" s="37" t="s">
        <v>8</v>
      </c>
      <c r="G3" s="37" t="s">
        <v>789</v>
      </c>
      <c r="H3" s="37" t="s">
        <v>539</v>
      </c>
      <c r="I3" s="37" t="s">
        <v>1770</v>
      </c>
    </row>
    <row r="4" spans="1:9" ht="24" customHeight="1" x14ac:dyDescent="0.35">
      <c r="A4" s="1419" t="s">
        <v>1771</v>
      </c>
      <c r="B4" s="1313"/>
      <c r="C4" s="1313"/>
      <c r="D4" s="1313"/>
      <c r="E4" s="1313"/>
      <c r="F4" s="1313"/>
      <c r="G4" s="1313"/>
      <c r="H4" s="1313"/>
      <c r="I4" s="1313"/>
    </row>
    <row r="5" spans="1:9" ht="110" customHeight="1" x14ac:dyDescent="0.35">
      <c r="A5" s="337">
        <v>1</v>
      </c>
      <c r="B5" s="150" t="s">
        <v>1772</v>
      </c>
      <c r="C5" s="151" t="s">
        <v>1773</v>
      </c>
      <c r="D5" s="133" t="s">
        <v>1310</v>
      </c>
      <c r="E5" s="152" t="s">
        <v>1392</v>
      </c>
      <c r="F5" s="153" t="s">
        <v>1774</v>
      </c>
      <c r="G5" s="114" t="str">
        <f>HYPERLINK("https://www.google.com/maps/search/Festa%20do%20M%C3%A1rtir%20S.%20Sebasti%C3%A3o%20%E2%80%94%20Matosinhos%20Caminha%20Portugal/@41.1835,-8.692,17z","🎉 Festa do Mártir S. Sebastiã…")</f>
        <v>🎉 Festa do Mártir S. Sebastiã…</v>
      </c>
      <c r="H5" s="154"/>
      <c r="I5" s="155" t="s">
        <v>1773</v>
      </c>
    </row>
    <row r="6" spans="1:9" ht="110" customHeight="1" x14ac:dyDescent="0.35">
      <c r="A6" s="335">
        <v>2</v>
      </c>
      <c r="B6" s="156" t="s">
        <v>1775</v>
      </c>
      <c r="C6" s="157" t="s">
        <v>1776</v>
      </c>
      <c r="D6" s="133" t="s">
        <v>1310</v>
      </c>
      <c r="E6" s="158" t="s">
        <v>1392</v>
      </c>
      <c r="F6" s="159" t="s">
        <v>1777</v>
      </c>
      <c r="G6" s="160" t="str">
        <f>HYPERLINK("https://www.google.com/maps/search/Festas%20de%20S.%20Sebasti%C3%A3o%20e%20S.%20Roque%20Mirandela%20Portugal/@41.4864,-7.1804,17z","🎉 Festas de S. Sebastião e S.…")</f>
        <v>🎉 Festas de S. Sebastião e S.…</v>
      </c>
      <c r="H6" s="161"/>
      <c r="I6" s="162" t="s">
        <v>1776</v>
      </c>
    </row>
    <row r="7" spans="1:9" ht="110" customHeight="1" x14ac:dyDescent="0.35">
      <c r="A7" s="337">
        <v>3</v>
      </c>
      <c r="B7" s="150" t="s">
        <v>1778</v>
      </c>
      <c r="C7" s="151" t="s">
        <v>1779</v>
      </c>
      <c r="D7" s="133" t="s">
        <v>1780</v>
      </c>
      <c r="E7" s="163" t="s">
        <v>1728</v>
      </c>
      <c r="F7" s="153" t="s">
        <v>1781</v>
      </c>
      <c r="G7" s="114" t="str">
        <f>HYPERLINK("https://www.google.com/maps/search/Festa%20das%20Fogaceiras%20Santa%20Maria%20da%20Feira%20Portugal/@40.9266,-8.5439,17z","🎉 Festa das Fogaceiras")</f>
        <v>🎉 Festa das Fogaceiras</v>
      </c>
      <c r="H7" s="164" t="str">
        <f>HYPERLINK("https://www.cm-feira.pt","🌐 www.cm-feira.pt")</f>
        <v>🌐 www.cm-feira.pt</v>
      </c>
      <c r="I7" s="155" t="s">
        <v>1782</v>
      </c>
    </row>
    <row r="8" spans="1:9" ht="110" customHeight="1" x14ac:dyDescent="0.35">
      <c r="A8" s="335">
        <v>4</v>
      </c>
      <c r="B8" s="156" t="s">
        <v>1783</v>
      </c>
      <c r="C8" s="157" t="s">
        <v>1784</v>
      </c>
      <c r="D8" s="133" t="s">
        <v>1124</v>
      </c>
      <c r="E8" s="165" t="s">
        <v>1728</v>
      </c>
      <c r="F8" s="159" t="s">
        <v>1785</v>
      </c>
      <c r="G8" s="160" t="str">
        <f>HYPERLINK("https://www.google.com/maps/search/Festa%20de%20Santa%20%C3%81gueda%20%E2%80%94%20Sousela%20Bragan%C3%A7a%20Portugal/@40.5784,-8.4437,17z","🎉 Festa de Santa Águeda — Sou…")</f>
        <v>🎉 Festa de Santa Águeda — Sou…</v>
      </c>
      <c r="H8" s="161"/>
      <c r="I8" s="162" t="s">
        <v>1784</v>
      </c>
    </row>
    <row r="9" spans="1:9" ht="110" customHeight="1" x14ac:dyDescent="0.35">
      <c r="A9" s="337">
        <v>5</v>
      </c>
      <c r="B9" s="150" t="s">
        <v>1161</v>
      </c>
      <c r="C9" s="151" t="s">
        <v>1786</v>
      </c>
      <c r="D9" s="133" t="s">
        <v>1787</v>
      </c>
      <c r="E9" s="163" t="s">
        <v>1728</v>
      </c>
      <c r="F9" s="153" t="s">
        <v>1788</v>
      </c>
      <c r="G9" s="114" t="str">
        <f>HYPERLINK("https://www.google.com/maps/search/Caretos%20de%20Podence%20Macedo%20de%20Cavaleiros%20Portugal/@41.5365,-6.9651,17z","🎉 Caretos de Podence")</f>
        <v>🎉 Caretos de Podence</v>
      </c>
      <c r="H9" s="164" t="str">
        <f>HYPERLINK("https://www.caretos.com","🌐 www.caretos.com")</f>
        <v>🌐 www.caretos.com</v>
      </c>
      <c r="I9" s="155" t="s">
        <v>1789</v>
      </c>
    </row>
    <row r="10" spans="1:9" ht="110" customHeight="1" x14ac:dyDescent="0.35">
      <c r="A10" s="335">
        <v>6</v>
      </c>
      <c r="B10" s="156" t="s">
        <v>1790</v>
      </c>
      <c r="C10" s="157" t="s">
        <v>1791</v>
      </c>
      <c r="D10" s="133" t="s">
        <v>1792</v>
      </c>
      <c r="E10" s="158" t="s">
        <v>1392</v>
      </c>
      <c r="F10" s="159" t="s">
        <v>1793</v>
      </c>
      <c r="G10" s="160" t="str">
        <f>HYPERLINK("https://www.google.com/maps/search/Romaria%20de%20Santa%20B%C3%A1rbara%20Guimar%C3%A3es%20Portugal/@41.2779,-7.5772,17z","🎉 Romaria de Santa Bárbara")</f>
        <v>🎉 Romaria de Santa Bárbara</v>
      </c>
      <c r="H10" s="161"/>
      <c r="I10" s="162" t="s">
        <v>1794</v>
      </c>
    </row>
    <row r="11" spans="1:9" ht="110" customHeight="1" x14ac:dyDescent="0.35">
      <c r="A11" s="337">
        <v>7</v>
      </c>
      <c r="B11" s="150" t="s">
        <v>1795</v>
      </c>
      <c r="C11" s="151" t="s">
        <v>1791</v>
      </c>
      <c r="D11" s="133" t="s">
        <v>1796</v>
      </c>
      <c r="E11" s="152" t="s">
        <v>1392</v>
      </c>
      <c r="F11" s="153" t="s">
        <v>1797</v>
      </c>
      <c r="G11" s="114" t="str">
        <f>HYPERLINK("https://www.google.com/maps/search/Romaria%20de%20Nossa%20Senhora%20da%20Sa%C3%BAde%20Guimar%C3%A3es%20Portugal/@41.4425,-8.2928,17z","🎉 Romaria de Nossa Senhora da…")</f>
        <v>🎉 Romaria de Nossa Senhora da…</v>
      </c>
      <c r="H11" s="154"/>
      <c r="I11" s="155" t="s">
        <v>1798</v>
      </c>
    </row>
    <row r="12" spans="1:9" ht="110" customHeight="1" x14ac:dyDescent="0.35">
      <c r="A12" s="335">
        <v>8</v>
      </c>
      <c r="B12" s="156" t="s">
        <v>1799</v>
      </c>
      <c r="C12" s="157" t="s">
        <v>1552</v>
      </c>
      <c r="D12" s="133" t="s">
        <v>1800</v>
      </c>
      <c r="E12" s="165" t="s">
        <v>1728</v>
      </c>
      <c r="F12" s="159" t="s">
        <v>1801</v>
      </c>
      <c r="G12" s="160" t="str">
        <f>HYPERLINK("https://www.google.com/maps/search/Semana%20Santa%20de%20Braga%20Portugal/@41.551,-8.4254,17z","🎉 Semana Santa de Braga")</f>
        <v>🎉 Semana Santa de Braga</v>
      </c>
      <c r="H12" s="166" t="str">
        <f>HYPERLINK("https://www.semanasanta.cm-braga.pt","🌐 www.semanasanta.cm-braga.pt")</f>
        <v>🌐 www.semanasanta.cm-braga.pt</v>
      </c>
      <c r="I12" s="162" t="s">
        <v>1802</v>
      </c>
    </row>
    <row r="13" spans="1:9" ht="110" customHeight="1" x14ac:dyDescent="0.35">
      <c r="A13" s="337">
        <v>9</v>
      </c>
      <c r="B13" s="150" t="s">
        <v>1803</v>
      </c>
      <c r="C13" s="151" t="s">
        <v>1363</v>
      </c>
      <c r="D13" s="133" t="s">
        <v>1804</v>
      </c>
      <c r="E13" s="152" t="s">
        <v>1392</v>
      </c>
      <c r="F13" s="153" t="s">
        <v>1805</v>
      </c>
      <c r="G13" s="114" t="str">
        <f>HYPERLINK("https://www.google.com/maps/search/Festa%20de%20Santa%20Joana%20Princesa%20Aveiro%20Portugal/@40.6412,-8.6535,17z","🎉 Festa de Santa Joana Princesa")</f>
        <v>🎉 Festa de Santa Joana Princesa</v>
      </c>
      <c r="H13" s="154"/>
      <c r="I13" s="155" t="s">
        <v>1806</v>
      </c>
    </row>
    <row r="14" spans="1:9" ht="110" customHeight="1" x14ac:dyDescent="0.35">
      <c r="A14" s="335">
        <v>10</v>
      </c>
      <c r="B14" s="156" t="s">
        <v>1807</v>
      </c>
      <c r="C14" s="157" t="s">
        <v>1552</v>
      </c>
      <c r="D14" s="133" t="s">
        <v>1052</v>
      </c>
      <c r="E14" s="158" t="s">
        <v>1392</v>
      </c>
      <c r="F14" s="159" t="s">
        <v>1808</v>
      </c>
      <c r="G14" s="160" t="str">
        <f>HYPERLINK("https://www.google.com/maps/search/Romaria%20de%20Santa%20Quit%C3%A9ria%20Braga%20Portugal/@41.3613,-8.1962,17z","🎉 Romaria de Santa Quitéria")</f>
        <v>🎉 Romaria de Santa Quitéria</v>
      </c>
      <c r="H14" s="161"/>
      <c r="I14" s="162" t="s">
        <v>1809</v>
      </c>
    </row>
    <row r="15" spans="1:9" ht="110" customHeight="1" x14ac:dyDescent="0.35">
      <c r="A15" s="337">
        <v>11</v>
      </c>
      <c r="B15" s="150" t="s">
        <v>1810</v>
      </c>
      <c r="C15" s="151" t="s">
        <v>1811</v>
      </c>
      <c r="D15" s="133" t="s">
        <v>1052</v>
      </c>
      <c r="E15" s="152" t="s">
        <v>1392</v>
      </c>
      <c r="F15" s="153" t="s">
        <v>1812</v>
      </c>
      <c r="G15" s="114" t="str">
        <f>HYPERLINK("https://www.google.com/maps/search/Romaria%20%C3%A0%20Senhora%20da%20Gra%C3%A7a%20Celorico%20de%20Basto%20Portugal/@41.4045,-7.9502,17z","🎉 Romaria à Senhora da Graça")</f>
        <v>🎉 Romaria à Senhora da Graça</v>
      </c>
      <c r="H15" s="154"/>
      <c r="I15" s="155" t="s">
        <v>1811</v>
      </c>
    </row>
    <row r="16" spans="1:9" ht="110" customHeight="1" x14ac:dyDescent="0.35">
      <c r="A16" s="335">
        <v>12</v>
      </c>
      <c r="B16" s="156" t="s">
        <v>1813</v>
      </c>
      <c r="C16" s="157" t="s">
        <v>1814</v>
      </c>
      <c r="D16" s="133" t="s">
        <v>1052</v>
      </c>
      <c r="E16" s="158" t="s">
        <v>1392</v>
      </c>
      <c r="F16" s="159" t="s">
        <v>1815</v>
      </c>
      <c r="G16" s="160" t="str">
        <f>HYPERLINK("https://www.google.com/maps/search/Festa%20de%20Nossa%20Senhora%20da%20Sa%C3%BAde%20Maia%20Portugal/@41.2345,-8.6201,17z","🎉 Festa de Nossa Senhora da S…")</f>
        <v>🎉 Festa de Nossa Senhora da S…</v>
      </c>
      <c r="H16" s="161"/>
      <c r="I16" s="162" t="s">
        <v>1814</v>
      </c>
    </row>
    <row r="17" spans="1:9" ht="110" customHeight="1" x14ac:dyDescent="0.35">
      <c r="A17" s="337">
        <v>13</v>
      </c>
      <c r="B17" s="150" t="s">
        <v>1816</v>
      </c>
      <c r="C17" s="151" t="s">
        <v>1184</v>
      </c>
      <c r="D17" s="133" t="s">
        <v>1052</v>
      </c>
      <c r="E17" s="163" t="s">
        <v>1728</v>
      </c>
      <c r="F17" s="153" t="s">
        <v>1817</v>
      </c>
      <c r="G17" s="114" t="str">
        <f>HYPERLINK("https://www.google.com/maps/search/Feira%20de%20Do%C3%A7aria%20Conventual%20Amarante%20Portugal/@41.2698,-8.0726,17z","🎉 Feira de Doçaria Conventual")</f>
        <v>🎉 Feira de Doçaria Conventual</v>
      </c>
      <c r="H17" s="164" t="str">
        <f>HYPERLINK("https://www.cm-amarante.pt","🌐 www.cm-amarante.pt")</f>
        <v>🌐 www.cm-amarante.pt</v>
      </c>
      <c r="I17" s="155" t="s">
        <v>1184</v>
      </c>
    </row>
    <row r="18" spans="1:9" ht="110" customHeight="1" x14ac:dyDescent="0.35">
      <c r="A18" s="335">
        <v>14</v>
      </c>
      <c r="B18" s="156" t="s">
        <v>1818</v>
      </c>
      <c r="C18" s="157" t="s">
        <v>1791</v>
      </c>
      <c r="D18" s="133" t="s">
        <v>1819</v>
      </c>
      <c r="E18" s="158" t="s">
        <v>1392</v>
      </c>
      <c r="F18" s="159" t="s">
        <v>1820</v>
      </c>
      <c r="G18" s="160" t="str">
        <f>HYPERLINK("https://www.google.com/maps/search/Romaria%20de%20Nossa%20Senhora%20da%20Azinheira%20Guimar%C3%A3es%20Portugal/@41.4425,-8.2928,17z","🎉 Romaria de Nossa Senhora da…")</f>
        <v>🎉 Romaria de Nossa Senhora da…</v>
      </c>
      <c r="H18" s="161"/>
      <c r="I18" s="162" t="s">
        <v>1821</v>
      </c>
    </row>
    <row r="19" spans="1:9" ht="110" customHeight="1" x14ac:dyDescent="0.35">
      <c r="A19" s="337">
        <v>15</v>
      </c>
      <c r="B19" s="150" t="s">
        <v>1822</v>
      </c>
      <c r="C19" s="151" t="s">
        <v>1823</v>
      </c>
      <c r="D19" s="133" t="s">
        <v>1824</v>
      </c>
      <c r="E19" s="152" t="s">
        <v>1392</v>
      </c>
      <c r="F19" s="153" t="s">
        <v>1825</v>
      </c>
      <c r="G19" s="114" t="str">
        <f>HYPERLINK("https://www.google.com/maps/search/Feiras%20Francas%20de%20Fafe%20Portugal/@41.4511,-8.1743,17z","🎉 Feiras Francas de Fafe")</f>
        <v>🎉 Feiras Francas de Fafe</v>
      </c>
      <c r="H19" s="154"/>
      <c r="I19" s="155" t="s">
        <v>1826</v>
      </c>
    </row>
    <row r="20" spans="1:9" ht="110" customHeight="1" x14ac:dyDescent="0.35">
      <c r="A20" s="335">
        <v>16</v>
      </c>
      <c r="B20" s="156" t="s">
        <v>1827</v>
      </c>
      <c r="C20" s="157" t="s">
        <v>1828</v>
      </c>
      <c r="D20" s="133" t="s">
        <v>1829</v>
      </c>
      <c r="E20" s="165" t="s">
        <v>1728</v>
      </c>
      <c r="F20" s="159" t="s">
        <v>1830</v>
      </c>
      <c r="G20" s="160" t="str">
        <f>HYPERLINK("https://www.google.com/maps/search/Romaria%20de%20S.%20Torcato%20Carrazeda%20de%20Ansi%C3%A3es%20Portugal/@41.2511,-7.0917,17z","🎉 Romaria de S. Torcato")</f>
        <v>🎉 Romaria de S. Torcato</v>
      </c>
      <c r="H20" s="166" t="str">
        <f>HYPERLINK("https://www.sao-torcato.pt","🌐 www.sao-torcato.pt")</f>
        <v>🌐 www.sao-torcato.pt</v>
      </c>
      <c r="I20" s="162" t="s">
        <v>1831</v>
      </c>
    </row>
    <row r="21" spans="1:9" ht="110" customHeight="1" x14ac:dyDescent="0.35">
      <c r="A21" s="337">
        <v>17</v>
      </c>
      <c r="B21" s="150" t="s">
        <v>1832</v>
      </c>
      <c r="C21" s="151" t="s">
        <v>1552</v>
      </c>
      <c r="D21" s="133" t="s">
        <v>1833</v>
      </c>
      <c r="E21" s="163" t="s">
        <v>1728</v>
      </c>
      <c r="F21" s="153" t="s">
        <v>1834</v>
      </c>
      <c r="G21" s="114" t="str">
        <f>HYPERLINK("https://www.google.com/maps/search/Festa%20de%20Nossa%20Senhora%20do%20Sameiro%20Braga%20Portugal/@41.5612,-8.4103,17z","🎉 Festa de Nossa Senhora do S…")</f>
        <v>🎉 Festa de Nossa Senhora do S…</v>
      </c>
      <c r="H21" s="164" t="str">
        <f>HYPERLINK("https://www.sameiro.pt","🌐 www.sameiro.pt")</f>
        <v>🌐 www.sameiro.pt</v>
      </c>
      <c r="I21" s="155" t="s">
        <v>1835</v>
      </c>
    </row>
    <row r="22" spans="1:9" ht="110" customHeight="1" x14ac:dyDescent="0.35">
      <c r="A22" s="335">
        <v>18</v>
      </c>
      <c r="B22" s="156" t="s">
        <v>1836</v>
      </c>
      <c r="C22" s="157" t="s">
        <v>1837</v>
      </c>
      <c r="D22" s="133" t="s">
        <v>923</v>
      </c>
      <c r="E22" s="158" t="s">
        <v>1392</v>
      </c>
      <c r="F22" s="159" t="s">
        <v>1838</v>
      </c>
      <c r="G22" s="160" t="str">
        <f>HYPERLINK("https://www.google.com/maps/search/Santos%20Populares%20de%20Bai%C3%A3o%20/%20Chaves%20Portugal/@41.7399,-7.4705,17z","🎉 Santos Populares de Baião /…")</f>
        <v>🎉 Santos Populares de Baião /…</v>
      </c>
      <c r="H22" s="161"/>
      <c r="I22" s="162" t="s">
        <v>1837</v>
      </c>
    </row>
    <row r="23" spans="1:9" ht="110" customHeight="1" x14ac:dyDescent="0.35">
      <c r="A23" s="337">
        <v>19</v>
      </c>
      <c r="B23" s="150" t="s">
        <v>1839</v>
      </c>
      <c r="C23" s="151" t="s">
        <v>1840</v>
      </c>
      <c r="D23" s="133" t="s">
        <v>923</v>
      </c>
      <c r="E23" s="152" t="s">
        <v>1392</v>
      </c>
      <c r="F23" s="153" t="s">
        <v>1841</v>
      </c>
      <c r="G23" s="114" t="str">
        <f>HYPERLINK("https://www.google.com/maps/search/Festa%20de%20Mon%C3%A7%C3%A3o%20Castelo%20de%20Paiva%20Portugal/@42.0766,-8.4765,17z","🎉 Festa de Monção")</f>
        <v>🎉 Festa de Monção</v>
      </c>
      <c r="H23" s="154"/>
      <c r="I23" s="155" t="s">
        <v>1840</v>
      </c>
    </row>
    <row r="24" spans="1:9" ht="110" customHeight="1" x14ac:dyDescent="0.35">
      <c r="A24" s="335">
        <v>20</v>
      </c>
      <c r="B24" s="156" t="s">
        <v>1842</v>
      </c>
      <c r="C24" s="157" t="s">
        <v>1823</v>
      </c>
      <c r="D24" s="133" t="s">
        <v>923</v>
      </c>
      <c r="E24" s="158" t="s">
        <v>1392</v>
      </c>
      <c r="F24" s="159" t="s">
        <v>1843</v>
      </c>
      <c r="G24" s="160" t="str">
        <f>HYPERLINK("https://www.google.com/maps/search/Festas%20de%20S.%20Jo%C3%A3o%20e%20S.%20Jos%C3%A9%20Fafe%20Portugal/@41.8052,-8.4169,17z","🎉 Festas de S. João e S. José")</f>
        <v>🎉 Festas de S. João e S. José</v>
      </c>
      <c r="H24" s="161"/>
      <c r="I24" s="162" t="s">
        <v>1823</v>
      </c>
    </row>
    <row r="25" spans="1:9" ht="110" customHeight="1" x14ac:dyDescent="0.35">
      <c r="A25" s="337">
        <v>21</v>
      </c>
      <c r="B25" s="150" t="s">
        <v>1844</v>
      </c>
      <c r="C25" s="151" t="s">
        <v>1845</v>
      </c>
      <c r="D25" s="133" t="s">
        <v>923</v>
      </c>
      <c r="E25" s="152" t="s">
        <v>1392</v>
      </c>
      <c r="F25" s="153" t="s">
        <v>1846</v>
      </c>
      <c r="G25" s="114" t="str">
        <f>HYPERLINK("https://www.google.com/maps/search/Romaria%20de%20Nossa%20Senhora%20de%20Ao%20P%C3%A9%20da%20Cruz%20Lousada%20Portugal/@41.2805,-8.2872,17z","🎉 Romaria de Nossa Senhora de…")</f>
        <v>🎉 Romaria de Nossa Senhora de…</v>
      </c>
      <c r="H25" s="154"/>
      <c r="I25" s="155" t="s">
        <v>1845</v>
      </c>
    </row>
    <row r="26" spans="1:9" ht="110" customHeight="1" x14ac:dyDescent="0.35">
      <c r="A26" s="335">
        <v>22</v>
      </c>
      <c r="B26" s="156" t="s">
        <v>1847</v>
      </c>
      <c r="C26" s="157" t="s">
        <v>1773</v>
      </c>
      <c r="D26" s="133" t="s">
        <v>923</v>
      </c>
      <c r="E26" s="158" t="s">
        <v>1392</v>
      </c>
      <c r="F26" s="159" t="s">
        <v>1848</v>
      </c>
      <c r="G26" s="160" t="str">
        <f>HYPERLINK("https://www.google.com/maps/search/Romaria%20de%20Nossa%20Senhora%20d%27Agonia%20Matosinhos%20Portugal/@41.1835,-8.692,17z","🎉 Romaria de Nossa Senhora d'…")</f>
        <v>🎉 Romaria de Nossa Senhora d'…</v>
      </c>
      <c r="H26" s="161"/>
      <c r="I26" s="162" t="s">
        <v>1773</v>
      </c>
    </row>
    <row r="27" spans="1:9" ht="110" customHeight="1" x14ac:dyDescent="0.35">
      <c r="A27" s="337">
        <v>23</v>
      </c>
      <c r="B27" s="150" t="s">
        <v>1849</v>
      </c>
      <c r="C27" s="151" t="s">
        <v>1850</v>
      </c>
      <c r="D27" s="133" t="s">
        <v>923</v>
      </c>
      <c r="E27" s="152" t="s">
        <v>1392</v>
      </c>
      <c r="F27" s="153" t="s">
        <v>1851</v>
      </c>
      <c r="G27" s="114" t="str">
        <f>HYPERLINK("https://www.google.com/maps/search/Festa%20em%20Honra%20de%20S.%20Pedro%20Moimenta%20da%20Beira%20Portugal/@40.9848,-7.6205,17z","🎉 Festa em Honra de S. Pedro")</f>
        <v>🎉 Festa em Honra de S. Pedro</v>
      </c>
      <c r="H27" s="154"/>
      <c r="I27" s="155" t="s">
        <v>1850</v>
      </c>
    </row>
    <row r="28" spans="1:9" ht="110" customHeight="1" x14ac:dyDescent="0.35">
      <c r="A28" s="335">
        <v>24</v>
      </c>
      <c r="B28" s="156" t="s">
        <v>1852</v>
      </c>
      <c r="C28" s="157" t="s">
        <v>1853</v>
      </c>
      <c r="D28" s="133" t="s">
        <v>923</v>
      </c>
      <c r="E28" s="158" t="s">
        <v>1392</v>
      </c>
      <c r="F28" s="159" t="s">
        <v>1854</v>
      </c>
      <c r="G28" s="160" t="str">
        <f>HYPERLINK("https://www.google.com/maps/search/Festas%20de%20Santo%20Ant%C3%B3nio%20Vale%20de%20Cambra%20Portugal/@40.8498,-8.3884,17z","🎉 Festas de Santo António")</f>
        <v>🎉 Festas de Santo António</v>
      </c>
      <c r="H28" s="161"/>
      <c r="I28" s="162" t="s">
        <v>1853</v>
      </c>
    </row>
    <row r="29" spans="1:9" ht="110" customHeight="1" x14ac:dyDescent="0.35">
      <c r="A29" s="337">
        <v>25</v>
      </c>
      <c r="B29" s="150" t="s">
        <v>1855</v>
      </c>
      <c r="C29" s="151" t="s">
        <v>1552</v>
      </c>
      <c r="D29" s="133" t="s">
        <v>1856</v>
      </c>
      <c r="E29" s="163" t="s">
        <v>1728</v>
      </c>
      <c r="F29" s="153" t="s">
        <v>1857</v>
      </c>
      <c r="G29" s="114" t="str">
        <f>HYPERLINK("https://www.google.com/maps/search/Festa%20de%20S%C3%A3o%20Jo%C3%A3o%20de%20Braga%20Portugal/@41.551,-8.4254,17z","🎉 Festa de São João de Braga")</f>
        <v>🎉 Festa de São João de Braga</v>
      </c>
      <c r="H29" s="164" t="str">
        <f>HYPERLINK("https://www.cm-braga.pt","🌐 www.cm-braga.pt")</f>
        <v>🌐 www.cm-braga.pt</v>
      </c>
      <c r="I29" s="155" t="s">
        <v>1858</v>
      </c>
    </row>
    <row r="30" spans="1:9" ht="110" customHeight="1" x14ac:dyDescent="0.35">
      <c r="A30" s="335">
        <v>26</v>
      </c>
      <c r="B30" s="156" t="s">
        <v>1859</v>
      </c>
      <c r="C30" s="157" t="s">
        <v>1860</v>
      </c>
      <c r="D30" s="133" t="s">
        <v>914</v>
      </c>
      <c r="E30" s="158" t="s">
        <v>1392</v>
      </c>
      <c r="F30" s="159" t="s">
        <v>1861</v>
      </c>
      <c r="G30" s="160" t="str">
        <f>HYPERLINK("https://www.google.com/maps/search/Romaria%20a%20S%C3%A3o%20Domingos%20Alij%C3%B3%20Portugal/@41.2751,-7.4711,17z","🎉 Romaria a São Domingos")</f>
        <v>🎉 Romaria a São Domingos</v>
      </c>
      <c r="H30" s="161"/>
      <c r="I30" s="162" t="s">
        <v>1862</v>
      </c>
    </row>
    <row r="31" spans="1:9" ht="110" customHeight="1" x14ac:dyDescent="0.35">
      <c r="A31" s="337">
        <v>27</v>
      </c>
      <c r="B31" s="150" t="s">
        <v>1863</v>
      </c>
      <c r="C31" s="151" t="s">
        <v>1864</v>
      </c>
      <c r="D31" s="133" t="s">
        <v>914</v>
      </c>
      <c r="E31" s="152" t="s">
        <v>1392</v>
      </c>
      <c r="F31" s="153" t="s">
        <v>1865</v>
      </c>
      <c r="G31" s="114" t="str">
        <f>HYPERLINK("https://www.google.com/maps/search/Romaria%20de%20S.%20Salvador%20do%20Monte%20Arcos%20de%20Valdevez%20Portugal/@41.8466,-8.4222,17z","🎉 Romaria de S. Salvador do M…")</f>
        <v>🎉 Romaria de S. Salvador do M…</v>
      </c>
      <c r="H31" s="154"/>
      <c r="I31" s="155" t="s">
        <v>1866</v>
      </c>
    </row>
    <row r="32" spans="1:9" ht="110" customHeight="1" x14ac:dyDescent="0.35">
      <c r="A32" s="335">
        <v>28</v>
      </c>
      <c r="B32" s="156" t="s">
        <v>1867</v>
      </c>
      <c r="C32" s="157" t="s">
        <v>1868</v>
      </c>
      <c r="D32" s="133" t="s">
        <v>914</v>
      </c>
      <c r="E32" s="165" t="s">
        <v>1728</v>
      </c>
      <c r="F32" s="159" t="s">
        <v>1869</v>
      </c>
      <c r="G32" s="160" t="str">
        <f>HYPERLINK("https://www.google.com/maps/search/Festa%20de%20S.%20Bento%20Armamar%20Portugal/@41.1146,-7.6972,17z","🎉 Festa de S. Bento")</f>
        <v>🎉 Festa de S. Bento</v>
      </c>
      <c r="H32" s="161"/>
      <c r="I32" s="162" t="s">
        <v>1870</v>
      </c>
    </row>
    <row r="33" spans="1:9" ht="110" customHeight="1" x14ac:dyDescent="0.35">
      <c r="A33" s="337">
        <v>29</v>
      </c>
      <c r="B33" s="150" t="s">
        <v>1871</v>
      </c>
      <c r="C33" s="151" t="s">
        <v>1872</v>
      </c>
      <c r="D33" s="133" t="s">
        <v>914</v>
      </c>
      <c r="E33" s="152" t="s">
        <v>1392</v>
      </c>
      <c r="F33" s="153" t="s">
        <v>1873</v>
      </c>
      <c r="G33" s="114" t="str">
        <f>HYPERLINK("https://www.google.com/maps/search/Romaria%20de%20Santo%20Ant%C3%B3nio%20Mondim%20de%20Basto%20Portugal/@41.4045,-7.9502,17z","🎉 Romaria de Santo António")</f>
        <v>🎉 Romaria de Santo António</v>
      </c>
      <c r="H33" s="154"/>
      <c r="I33" s="155" t="s">
        <v>1872</v>
      </c>
    </row>
    <row r="34" spans="1:9" ht="110" customHeight="1" x14ac:dyDescent="0.35">
      <c r="A34" s="335">
        <v>30</v>
      </c>
      <c r="B34" s="156" t="s">
        <v>1874</v>
      </c>
      <c r="C34" s="157" t="s">
        <v>1264</v>
      </c>
      <c r="D34" s="133" t="s">
        <v>1875</v>
      </c>
      <c r="E34" s="158" t="s">
        <v>1392</v>
      </c>
      <c r="F34" s="159" t="s">
        <v>1876</v>
      </c>
      <c r="G34" s="160" t="str">
        <f>HYPERLINK("https://www.google.com/maps/search/Festa%20de%20Santa%20Marinha%20%C3%81gueda%20Portugal/@40.5784,-8.4437,17z","🎉 Festa de Santa Marinha")</f>
        <v>🎉 Festa de Santa Marinha</v>
      </c>
      <c r="H34" s="161"/>
      <c r="I34" s="162" t="s">
        <v>1877</v>
      </c>
    </row>
    <row r="35" spans="1:9" ht="110" customHeight="1" x14ac:dyDescent="0.35">
      <c r="A35" s="337">
        <v>31</v>
      </c>
      <c r="B35" s="150" t="s">
        <v>1878</v>
      </c>
      <c r="C35" s="151" t="s">
        <v>1776</v>
      </c>
      <c r="D35" s="133" t="s">
        <v>1879</v>
      </c>
      <c r="E35" s="152" t="s">
        <v>1392</v>
      </c>
      <c r="F35" s="153" t="s">
        <v>1880</v>
      </c>
      <c r="G35" s="114" t="str">
        <f>HYPERLINK("https://www.google.com/maps/search/Festas%20de%20Nossa%20Senhora%20do%20Amparo%20Mirandela%20Portugal/@41.4864,-7.1804,17z","🎉 Festas de Nossa Senhora do …")</f>
        <v>🎉 Festas de Nossa Senhora do …</v>
      </c>
      <c r="H35" s="154"/>
      <c r="I35" s="155" t="s">
        <v>1776</v>
      </c>
    </row>
    <row r="36" spans="1:9" ht="110" customHeight="1" x14ac:dyDescent="0.35">
      <c r="A36" s="335">
        <v>32</v>
      </c>
      <c r="B36" s="156" t="s">
        <v>1881</v>
      </c>
      <c r="C36" s="157" t="s">
        <v>1882</v>
      </c>
      <c r="D36" s="133" t="s">
        <v>1883</v>
      </c>
      <c r="E36" s="165" t="s">
        <v>1728</v>
      </c>
      <c r="F36" s="159" t="s">
        <v>1884</v>
      </c>
      <c r="G36" s="160" t="str">
        <f>HYPERLINK("https://www.google.com/maps/search/Feira%20do%20Linho%20Ribeira%20de%20Pena%20Portugal/@41.5312,-7.7996,17z","🎉 Feira do Linho")</f>
        <v>🎉 Feira do Linho</v>
      </c>
      <c r="H36" s="161"/>
      <c r="I36" s="162" t="s">
        <v>1882</v>
      </c>
    </row>
    <row r="37" spans="1:9" ht="110" customHeight="1" x14ac:dyDescent="0.35">
      <c r="A37" s="337">
        <v>33</v>
      </c>
      <c r="B37" s="150" t="s">
        <v>1885</v>
      </c>
      <c r="C37" s="151" t="s">
        <v>1872</v>
      </c>
      <c r="D37" s="133" t="s">
        <v>1886</v>
      </c>
      <c r="E37" s="152" t="s">
        <v>1392</v>
      </c>
      <c r="F37" s="153" t="s">
        <v>1887</v>
      </c>
      <c r="G37" s="114" t="str">
        <f>HYPERLINK("https://www.google.com/maps/search/Feira%20da%20Terra%20Mondim%20de%20Basto%20Portugal/@41.4045,-7.9502,17z","🎉 Feira da Terra")</f>
        <v>🎉 Feira da Terra</v>
      </c>
      <c r="H37" s="154"/>
      <c r="I37" s="155" t="s">
        <v>1872</v>
      </c>
    </row>
    <row r="38" spans="1:9" ht="110" customHeight="1" x14ac:dyDescent="0.35">
      <c r="A38" s="335">
        <v>34</v>
      </c>
      <c r="B38" s="156" t="s">
        <v>1888</v>
      </c>
      <c r="C38" s="157" t="s">
        <v>1784</v>
      </c>
      <c r="D38" s="133" t="s">
        <v>1889</v>
      </c>
      <c r="E38" s="158" t="s">
        <v>1392</v>
      </c>
      <c r="F38" s="159" t="s">
        <v>1890</v>
      </c>
      <c r="G38" s="160" t="str">
        <f>HYPERLINK("https://www.google.com/maps/search/Festas%20de%20Nossa%20Senhora%20das%20Gra%C3%A7as%20Bragan%C3%A7a%20Portugal/@41.551,-8.4254,17z","🎉 Festas de Nossa Senhora das…")</f>
        <v>🎉 Festas de Nossa Senhora das…</v>
      </c>
      <c r="H38" s="161"/>
      <c r="I38" s="162" t="s">
        <v>1784</v>
      </c>
    </row>
    <row r="39" spans="1:9" ht="110" customHeight="1" x14ac:dyDescent="0.35">
      <c r="A39" s="337">
        <v>35</v>
      </c>
      <c r="B39" s="150" t="s">
        <v>1891</v>
      </c>
      <c r="C39" s="151" t="s">
        <v>1784</v>
      </c>
      <c r="D39" s="133" t="s">
        <v>1892</v>
      </c>
      <c r="E39" s="163" t="s">
        <v>1728</v>
      </c>
      <c r="F39" s="153" t="s">
        <v>1893</v>
      </c>
      <c r="G39" s="114" t="str">
        <f>HYPERLINK("https://www.google.com/maps/search/Festa%20de%20Nossa%20Senhora%20Aparecida%20Bragan%C3%A7a%20Portugal/@41.551,-8.4254,17z","🎉 Festa de Nossa Senhora Apar…")</f>
        <v>🎉 Festa de Nossa Senhora Apar…</v>
      </c>
      <c r="H39" s="154"/>
      <c r="I39" s="155" t="s">
        <v>1784</v>
      </c>
    </row>
    <row r="40" spans="1:9" ht="110" customHeight="1" x14ac:dyDescent="0.35">
      <c r="A40" s="335">
        <v>36</v>
      </c>
      <c r="B40" s="156" t="s">
        <v>1894</v>
      </c>
      <c r="C40" s="157" t="s">
        <v>1791</v>
      </c>
      <c r="D40" s="133" t="s">
        <v>1895</v>
      </c>
      <c r="E40" s="158" t="s">
        <v>1392</v>
      </c>
      <c r="F40" s="159" t="s">
        <v>1896</v>
      </c>
      <c r="G40" s="160" t="str">
        <f>HYPERLINK("https://www.google.com/maps/search/Festas%20em%20Honra%20dos%20Santos%20Guimar%C3%A3es%20Portugal/@37.1875,-8.1712,17z","🎉 Festas em Honra dos Santos")</f>
        <v>🎉 Festas em Honra dos Santos</v>
      </c>
      <c r="H40" s="161"/>
      <c r="I40" s="162" t="s">
        <v>1897</v>
      </c>
    </row>
    <row r="41" spans="1:9" ht="110" customHeight="1" x14ac:dyDescent="0.35">
      <c r="A41" s="337">
        <v>37</v>
      </c>
      <c r="B41" s="150" t="s">
        <v>1898</v>
      </c>
      <c r="C41" s="151" t="s">
        <v>1811</v>
      </c>
      <c r="D41" s="133" t="s">
        <v>1899</v>
      </c>
      <c r="E41" s="152" t="s">
        <v>1392</v>
      </c>
      <c r="F41" s="153" t="s">
        <v>1900</v>
      </c>
      <c r="G41" s="114" t="str">
        <f>HYPERLINK("https://www.google.com/maps/search/Feira%20de%20Artesanato%20e%20Gastronomia%20de%20Celorico%20de%20Basto%20Portugal/@41.3854,-8.0005,17z","🎉 Feira de Artesanato e Gastr…")</f>
        <v>🎉 Feira de Artesanato e Gastr…</v>
      </c>
      <c r="H41" s="154"/>
      <c r="I41" s="155" t="s">
        <v>1811</v>
      </c>
    </row>
    <row r="42" spans="1:9" ht="110" customHeight="1" x14ac:dyDescent="0.35">
      <c r="A42" s="335">
        <v>38</v>
      </c>
      <c r="B42" s="156" t="s">
        <v>1901</v>
      </c>
      <c r="C42" s="157" t="s">
        <v>1902</v>
      </c>
      <c r="D42" s="133" t="s">
        <v>958</v>
      </c>
      <c r="E42" s="158" t="s">
        <v>1392</v>
      </c>
      <c r="F42" s="159" t="s">
        <v>1903</v>
      </c>
      <c r="G42" s="160" t="str">
        <f>HYPERLINK("https://www.google.com/maps/search/Festas%20da%20Rainha%20Santa%20Mafalda%20Amares%20Portugal/@41.6361,-8.3476,17z","🎉 Festas da Rainha Santa Mafa…")</f>
        <v>🎉 Festas da Rainha Santa Mafa…</v>
      </c>
      <c r="H42" s="161"/>
      <c r="I42" s="162" t="s">
        <v>1902</v>
      </c>
    </row>
    <row r="43" spans="1:9" ht="110" customHeight="1" x14ac:dyDescent="0.35">
      <c r="A43" s="337">
        <v>39</v>
      </c>
      <c r="B43" s="150" t="s">
        <v>1904</v>
      </c>
      <c r="C43" s="151" t="s">
        <v>1094</v>
      </c>
      <c r="D43" s="133" t="s">
        <v>958</v>
      </c>
      <c r="E43" s="163" t="s">
        <v>1728</v>
      </c>
      <c r="F43" s="153" t="s">
        <v>1905</v>
      </c>
      <c r="G43" s="114" t="str">
        <f>HYPERLINK("https://www.google.com/maps/search/Romaria%20ao%20Mosteiro%20de%20S.%20Jo%C3%A3o%20D%27Arga%20Arouca%20Portugal/@40.9342,-8.2479,17z","🎉 Romaria ao Mosteiro de S. J…")</f>
        <v>🎉 Romaria ao Mosteiro de S. J…</v>
      </c>
      <c r="H43" s="154"/>
      <c r="I43" s="155" t="s">
        <v>1906</v>
      </c>
    </row>
    <row r="44" spans="1:9" ht="110" customHeight="1" x14ac:dyDescent="0.35">
      <c r="A44" s="335">
        <v>40</v>
      </c>
      <c r="B44" s="156" t="s">
        <v>1907</v>
      </c>
      <c r="C44" s="157" t="s">
        <v>1908</v>
      </c>
      <c r="D44" s="133" t="s">
        <v>958</v>
      </c>
      <c r="E44" s="158" t="s">
        <v>1392</v>
      </c>
      <c r="F44" s="159" t="s">
        <v>1909</v>
      </c>
      <c r="G44" s="160" t="str">
        <f>HYPERLINK("https://www.google.com/maps/search/Festa%20de%20Vilarinho%20da%20Castanheira%20Arouca%20Portugal/@40.9342,-8.2479,17z","🎉 Festa de Vilarinho da Casta…")</f>
        <v>🎉 Festa de Vilarinho da Casta…</v>
      </c>
      <c r="H44" s="161"/>
      <c r="I44" s="162" t="s">
        <v>1908</v>
      </c>
    </row>
    <row r="45" spans="1:9" ht="110" customHeight="1" x14ac:dyDescent="0.35">
      <c r="A45" s="337">
        <v>41</v>
      </c>
      <c r="B45" s="150" t="s">
        <v>1910</v>
      </c>
      <c r="C45" s="151" t="s">
        <v>1911</v>
      </c>
      <c r="D45" s="133" t="s">
        <v>958</v>
      </c>
      <c r="E45" s="152" t="s">
        <v>1392</v>
      </c>
      <c r="F45" s="153" t="s">
        <v>1912</v>
      </c>
      <c r="G45" s="114" t="str">
        <f>HYPERLINK("https://www.google.com/maps/search/Festas%20de%20Nossa%20Senhora%20do%20Mar%20Boticas%20Portugal/@41.5329,-8.7789,17z","🎉 Festas de Nossa Senhora do …")</f>
        <v>🎉 Festas de Nossa Senhora do …</v>
      </c>
      <c r="H45" s="154"/>
      <c r="I45" s="155" t="s">
        <v>1911</v>
      </c>
    </row>
    <row r="46" spans="1:9" ht="110" customHeight="1" x14ac:dyDescent="0.35">
      <c r="A46" s="335">
        <v>42</v>
      </c>
      <c r="B46" s="156" t="s">
        <v>1913</v>
      </c>
      <c r="C46" s="157" t="s">
        <v>1784</v>
      </c>
      <c r="D46" s="133" t="s">
        <v>958</v>
      </c>
      <c r="E46" s="158" t="s">
        <v>1392</v>
      </c>
      <c r="F46" s="159" t="s">
        <v>1914</v>
      </c>
      <c r="G46" s="160" t="str">
        <f>HYPERLINK("https://www.google.com/maps/search/Romaria%20de%20Nossa%20Senhora%20da%20Aparecida%20Bragan%C3%A7a%20Portugal/@41.551,-8.4254,17z","🎉 Romaria de Nossa Senhora da…")</f>
        <v>🎉 Romaria de Nossa Senhora da…</v>
      </c>
      <c r="H46" s="161"/>
      <c r="I46" s="162" t="s">
        <v>1915</v>
      </c>
    </row>
    <row r="47" spans="1:9" ht="110" customHeight="1" x14ac:dyDescent="0.35">
      <c r="A47" s="337">
        <v>43</v>
      </c>
      <c r="B47" s="150" t="s">
        <v>1916</v>
      </c>
      <c r="C47" s="151" t="s">
        <v>1917</v>
      </c>
      <c r="D47" s="133" t="s">
        <v>958</v>
      </c>
      <c r="E47" s="152" t="s">
        <v>1392</v>
      </c>
      <c r="F47" s="153" t="s">
        <v>1918</v>
      </c>
      <c r="G47" s="114" t="str">
        <f>HYPERLINK("https://www.google.com/maps/search/Festas%20de%20Santo%20Ambr%C3%B3sio%20Cabeceiras%20de%20Basto%20Portugal/@41.5154,-7.9797,17z","🎉 Festas de Santo Ambrósio")</f>
        <v>🎉 Festas de Santo Ambrósio</v>
      </c>
      <c r="H47" s="154"/>
      <c r="I47" s="155" t="s">
        <v>1917</v>
      </c>
    </row>
    <row r="48" spans="1:9" ht="110" customHeight="1" x14ac:dyDescent="0.35">
      <c r="A48" s="335">
        <v>44</v>
      </c>
      <c r="B48" s="156" t="s">
        <v>1919</v>
      </c>
      <c r="C48" s="157" t="s">
        <v>1920</v>
      </c>
      <c r="D48" s="133" t="s">
        <v>958</v>
      </c>
      <c r="E48" s="158" t="s">
        <v>1392</v>
      </c>
      <c r="F48" s="159" t="s">
        <v>1921</v>
      </c>
      <c r="G48" s="160" t="str">
        <f>HYPERLINK("https://www.google.com/maps/search/Festas%20de%20Paredes%20Espinho%20Portugal/@41.2046,-8.3311,17z","🎉 Festas de Paredes")</f>
        <v>🎉 Festas de Paredes</v>
      </c>
      <c r="H48" s="161"/>
      <c r="I48" s="162" t="s">
        <v>1920</v>
      </c>
    </row>
    <row r="49" spans="1:9" ht="110" customHeight="1" x14ac:dyDescent="0.35">
      <c r="A49" s="337">
        <v>45</v>
      </c>
      <c r="B49" s="150" t="s">
        <v>1922</v>
      </c>
      <c r="C49" s="151" t="s">
        <v>1923</v>
      </c>
      <c r="D49" s="133" t="s">
        <v>958</v>
      </c>
      <c r="E49" s="152" t="s">
        <v>1392</v>
      </c>
      <c r="F49" s="153" t="s">
        <v>1924</v>
      </c>
      <c r="G49" s="114" t="str">
        <f>HYPERLINK("https://www.google.com/maps/search/Festas%20de%20Freixo%20de%20Espada%20%C3%A0%20Cinta%20Portugal/@41.1083,-6.8201,17z","🎉 Festas de Freixo de Espada …")</f>
        <v>🎉 Festas de Freixo de Espada …</v>
      </c>
      <c r="H49" s="154"/>
      <c r="I49" s="155" t="s">
        <v>1923</v>
      </c>
    </row>
    <row r="50" spans="1:9" ht="110" customHeight="1" x14ac:dyDescent="0.35">
      <c r="A50" s="335">
        <v>46</v>
      </c>
      <c r="B50" s="156" t="s">
        <v>1925</v>
      </c>
      <c r="C50" s="157" t="s">
        <v>1786</v>
      </c>
      <c r="D50" s="133" t="s">
        <v>958</v>
      </c>
      <c r="E50" s="158" t="s">
        <v>1392</v>
      </c>
      <c r="F50" s="159" t="s">
        <v>1926</v>
      </c>
      <c r="G50" s="160" t="str">
        <f>HYPERLINK("https://www.google.com/maps/search/Festas%20de%20Macedo%20de%20Cavaleiros%20/%20Ger%C3%AAs%20Portugal/@41.5365,-6.9651,17z","🎉 Festas de Macedo de Cavalei…")</f>
        <v>🎉 Festas de Macedo de Cavalei…</v>
      </c>
      <c r="H50" s="161"/>
      <c r="I50" s="162" t="s">
        <v>1786</v>
      </c>
    </row>
    <row r="51" spans="1:9" ht="110" customHeight="1" x14ac:dyDescent="0.35">
      <c r="A51" s="337">
        <v>47</v>
      </c>
      <c r="B51" s="150" t="s">
        <v>1927</v>
      </c>
      <c r="C51" s="151" t="s">
        <v>1928</v>
      </c>
      <c r="D51" s="133" t="s">
        <v>958</v>
      </c>
      <c r="E51" s="152" t="s">
        <v>1392</v>
      </c>
      <c r="F51" s="153" t="s">
        <v>1929</v>
      </c>
      <c r="G51" s="114" t="str">
        <f>HYPERLINK("https://www.google.com/maps/search/Romaria%20ao%20Monte%20do%20Faro%20Marco%20de%20Canaveses%20Portugal/@41.1792,-8.1544,17z","🎉 Romaria ao Monte do Faro")</f>
        <v>🎉 Romaria ao Monte do Faro</v>
      </c>
      <c r="H51" s="154"/>
      <c r="I51" s="155" t="s">
        <v>1930</v>
      </c>
    </row>
    <row r="52" spans="1:9" ht="110" customHeight="1" x14ac:dyDescent="0.35">
      <c r="A52" s="335">
        <v>48</v>
      </c>
      <c r="B52" s="156" t="s">
        <v>1931</v>
      </c>
      <c r="C52" s="157" t="s">
        <v>1932</v>
      </c>
      <c r="D52" s="133" t="s">
        <v>958</v>
      </c>
      <c r="E52" s="158" t="s">
        <v>1392</v>
      </c>
      <c r="F52" s="159" t="s">
        <v>1933</v>
      </c>
      <c r="G52" s="160" t="str">
        <f>HYPERLINK("https://www.google.com/maps/search/Festas%20de%20Nossa%20Senhora%20da%20Guia%20Mes%C3%A3o%20Frio%20Portugal/@41.1481,-7.8474,17z","🎉 Festas de Nossa Senhora da …")</f>
        <v>🎉 Festas de Nossa Senhora da …</v>
      </c>
      <c r="H52" s="161"/>
      <c r="I52" s="162" t="s">
        <v>1932</v>
      </c>
    </row>
    <row r="53" spans="1:9" ht="110" customHeight="1" x14ac:dyDescent="0.35">
      <c r="A53" s="337">
        <v>49</v>
      </c>
      <c r="B53" s="150" t="s">
        <v>1934</v>
      </c>
      <c r="C53" s="151" t="s">
        <v>1935</v>
      </c>
      <c r="D53" s="133" t="s">
        <v>958</v>
      </c>
      <c r="E53" s="163" t="s">
        <v>1728</v>
      </c>
      <c r="F53" s="153" t="s">
        <v>1936</v>
      </c>
      <c r="G53" s="114" t="str">
        <f>HYPERLINK("https://www.google.com/maps/search/Festas%20da%20Vila%20Miranda%20do%20Douro%20Portugal/@41.496,-6.2741,17z","🎉 Festas da Vila")</f>
        <v>🎉 Festas da Vila</v>
      </c>
      <c r="H53" s="154"/>
      <c r="I53" s="155" t="s">
        <v>1935</v>
      </c>
    </row>
    <row r="54" spans="1:9" ht="110" customHeight="1" x14ac:dyDescent="0.35">
      <c r="A54" s="335">
        <v>50</v>
      </c>
      <c r="B54" s="156" t="s">
        <v>1937</v>
      </c>
      <c r="C54" s="157" t="s">
        <v>1938</v>
      </c>
      <c r="D54" s="133" t="s">
        <v>958</v>
      </c>
      <c r="E54" s="158" t="s">
        <v>1392</v>
      </c>
      <c r="F54" s="159" t="s">
        <v>1939</v>
      </c>
      <c r="G54" s="160" t="str">
        <f>HYPERLINK("https://www.google.com/maps/search/Festa%20de%20Nossa%20Senhora%20de%20La%20Salette%20Oliveira%20de%20Azem%C3%A9is%20Portugal/@40.8381,-8.4764,17z","🎉 Festa de Nossa Senhora de L…")</f>
        <v>🎉 Festa de Nossa Senhora de L…</v>
      </c>
      <c r="H54" s="161"/>
      <c r="I54" s="162" t="s">
        <v>1938</v>
      </c>
    </row>
    <row r="55" spans="1:9" ht="110" customHeight="1" x14ac:dyDescent="0.35">
      <c r="A55" s="337">
        <v>51</v>
      </c>
      <c r="B55" s="150" t="s">
        <v>1940</v>
      </c>
      <c r="C55" s="151" t="s">
        <v>1791</v>
      </c>
      <c r="D55" s="133" t="s">
        <v>1941</v>
      </c>
      <c r="E55" s="163" t="s">
        <v>1728</v>
      </c>
      <c r="F55" s="153" t="s">
        <v>1942</v>
      </c>
      <c r="G55" s="114" t="str">
        <f>HYPERLINK("https://www.google.com/maps/search/Festas%20Gualterianas%20Guimar%C3%A3es%20Portugal/@41.4425,-8.2928,17z","🎉 Festas Gualterianas")</f>
        <v>🎉 Festas Gualterianas</v>
      </c>
      <c r="H55" s="164" t="str">
        <f>HYPERLINK("https://www.gualterianas.com","🌐 www.gualterianas.com")</f>
        <v>🌐 www.gualterianas.com</v>
      </c>
      <c r="I55" s="155" t="s">
        <v>1943</v>
      </c>
    </row>
    <row r="56" spans="1:9" ht="110" customHeight="1" x14ac:dyDescent="0.35">
      <c r="A56" s="335">
        <v>52</v>
      </c>
      <c r="B56" s="156" t="s">
        <v>1944</v>
      </c>
      <c r="C56" s="157" t="s">
        <v>1149</v>
      </c>
      <c r="D56" s="133" t="s">
        <v>1945</v>
      </c>
      <c r="E56" s="165" t="s">
        <v>1728</v>
      </c>
      <c r="F56" s="159" t="s">
        <v>1946</v>
      </c>
      <c r="G56" s="160" t="str">
        <f>HYPERLINK("https://www.google.com/maps/search/Romaria%20de%20Nossa%20Senhora%20da%20Agonia%20Viana%20do%20Castelo%20Portugal/@41.6944,-8.8346,17z","🎉 Romaria de Nossa Senhora da…")</f>
        <v>🎉 Romaria de Nossa Senhora da…</v>
      </c>
      <c r="H56" s="166" t="str">
        <f>HYPERLINK("https://www.festasagonia.com","🌐 www.festasagonia.com")</f>
        <v>🌐 www.festasagonia.com</v>
      </c>
      <c r="I56" s="162" t="s">
        <v>1149</v>
      </c>
    </row>
    <row r="57" spans="1:9" ht="110" customHeight="1" x14ac:dyDescent="0.35">
      <c r="A57" s="337">
        <v>53</v>
      </c>
      <c r="B57" s="150" t="s">
        <v>1947</v>
      </c>
      <c r="C57" s="151" t="s">
        <v>1911</v>
      </c>
      <c r="D57" s="133" t="s">
        <v>1948</v>
      </c>
      <c r="E57" s="163" t="s">
        <v>1728</v>
      </c>
      <c r="F57" s="153" t="s">
        <v>1949</v>
      </c>
      <c r="G57" s="114" t="str">
        <f>HYPERLINK("https://www.google.com/maps/search/Romaria%20a%20S%C3%A3o%20Bartolomeu%20do%20Mar%20Esposende%20Portugal/@41.5329,-8.7789,17z","🎉 Romaria a São Bartolomeu do…")</f>
        <v>🎉 Romaria a São Bartolomeu do…</v>
      </c>
      <c r="H57" s="154"/>
      <c r="I57" s="155" t="s">
        <v>1950</v>
      </c>
    </row>
    <row r="58" spans="1:9" ht="110" customHeight="1" x14ac:dyDescent="0.35">
      <c r="A58" s="335">
        <v>54</v>
      </c>
      <c r="B58" s="156" t="s">
        <v>1951</v>
      </c>
      <c r="C58" s="157" t="s">
        <v>1864</v>
      </c>
      <c r="D58" s="133" t="s">
        <v>1952</v>
      </c>
      <c r="E58" s="165" t="s">
        <v>1728</v>
      </c>
      <c r="F58" s="159" t="s">
        <v>1953</v>
      </c>
      <c r="G58" s="160" t="str">
        <f>HYPERLINK("https://www.google.com/maps/search/Romaria%20de%20Nossa%20Senhora%20da%20Peneda%20Arcos%20de%20Valdevez%20Portugal/@41.9108,-8.2092,17z","🎉 Romaria de Nossa Senhora da…")</f>
        <v>🎉 Romaria de Nossa Senhora da…</v>
      </c>
      <c r="H58" s="166" t="str">
        <f>HYPERLINK("https://www.santuariodapeneda.pt","🌐 www.santuariodapeneda.pt")</f>
        <v>🌐 www.santuariodapeneda.pt</v>
      </c>
      <c r="I58" s="162" t="s">
        <v>1954</v>
      </c>
    </row>
    <row r="59" spans="1:9" ht="110" customHeight="1" x14ac:dyDescent="0.35">
      <c r="A59" s="337">
        <v>55</v>
      </c>
      <c r="B59" s="150" t="s">
        <v>1951</v>
      </c>
      <c r="C59" s="151" t="s">
        <v>1864</v>
      </c>
      <c r="D59" s="133" t="s">
        <v>1955</v>
      </c>
      <c r="E59" s="163" t="s">
        <v>1728</v>
      </c>
      <c r="F59" s="153" t="s">
        <v>1956</v>
      </c>
      <c r="G59" s="114" t="str">
        <f>HYPERLINK("https://www.google.com/maps/search/Romaria%20de%20Nossa%20Senhora%20da%20Peneda%20Arcos%20de%20Valdevez%20Portugal/@41.9108,-8.2092,17z","🎉 Romaria de Nossa Senhora da…")</f>
        <v>🎉 Romaria de Nossa Senhora da…</v>
      </c>
      <c r="H59" s="164" t="str">
        <f>HYPERLINK("https://www.santuariodapeneda.pt","🌐 www.santuariodapeneda.pt")</f>
        <v>🌐 www.santuariodapeneda.pt</v>
      </c>
      <c r="I59" s="155" t="s">
        <v>1957</v>
      </c>
    </row>
    <row r="60" spans="1:9" ht="110" customHeight="1" x14ac:dyDescent="0.35">
      <c r="A60" s="335">
        <v>56</v>
      </c>
      <c r="B60" s="156" t="s">
        <v>1958</v>
      </c>
      <c r="C60" s="157" t="s">
        <v>1959</v>
      </c>
      <c r="D60" s="133" t="s">
        <v>992</v>
      </c>
      <c r="E60" s="165" t="s">
        <v>1728</v>
      </c>
      <c r="F60" s="159" t="s">
        <v>1960</v>
      </c>
      <c r="G60" s="160" t="str">
        <f>HYPERLINK("https://www.google.com/maps/search/Festa%20da%20Miseric%C3%B3rdia%20Alf%C3%A2ndega%20da%20F%C3%A9%20Portugal/@41.3439,-6.9585,17z","🎉 Festa da Misericórdia")</f>
        <v>🎉 Festa da Misericórdia</v>
      </c>
      <c r="H60" s="161"/>
      <c r="I60" s="162" t="s">
        <v>1959</v>
      </c>
    </row>
    <row r="61" spans="1:9" ht="110" customHeight="1" x14ac:dyDescent="0.35">
      <c r="A61" s="337">
        <v>57</v>
      </c>
      <c r="B61" s="150" t="s">
        <v>1961</v>
      </c>
      <c r="C61" s="151" t="s">
        <v>1811</v>
      </c>
      <c r="D61" s="133" t="s">
        <v>992</v>
      </c>
      <c r="E61" s="152" t="s">
        <v>1392</v>
      </c>
      <c r="F61" s="153" t="s">
        <v>1962</v>
      </c>
      <c r="G61" s="114" t="str">
        <f>HYPERLINK("https://www.google.com/maps/search/Festas%20de%20Celorico%20de%20Basto%20Portugal/@41.3854,-8.0005,17z","🎉 Festas de Celorico de Basto")</f>
        <v>🎉 Festas de Celorico de Basto</v>
      </c>
      <c r="H61" s="154"/>
      <c r="I61" s="155" t="s">
        <v>1811</v>
      </c>
    </row>
    <row r="62" spans="1:9" ht="110" customHeight="1" x14ac:dyDescent="0.35">
      <c r="A62" s="335">
        <v>58</v>
      </c>
      <c r="B62" s="156" t="s">
        <v>1963</v>
      </c>
      <c r="C62" s="157" t="s">
        <v>1964</v>
      </c>
      <c r="D62" s="133" t="s">
        <v>992</v>
      </c>
      <c r="E62" s="158" t="s">
        <v>1392</v>
      </c>
      <c r="F62" s="159" t="s">
        <v>1965</v>
      </c>
      <c r="G62" s="160" t="str">
        <f>HYPERLINK("https://www.google.com/maps/search/Festas%20de%20Nossa%20Senhora%20do%20Ros%C3%A1rio%20Chaves%20Portugal/@41.7399,-7.4705,17z","🎉 Festas de Nossa Senhora do …")</f>
        <v>🎉 Festas de Nossa Senhora do …</v>
      </c>
      <c r="H62" s="161"/>
      <c r="I62" s="162" t="s">
        <v>1964</v>
      </c>
    </row>
    <row r="63" spans="1:9" ht="110" customHeight="1" x14ac:dyDescent="0.35">
      <c r="A63" s="337">
        <v>59</v>
      </c>
      <c r="B63" s="150" t="s">
        <v>1966</v>
      </c>
      <c r="C63" s="151" t="s">
        <v>1967</v>
      </c>
      <c r="D63" s="133" t="s">
        <v>992</v>
      </c>
      <c r="E63" s="152" t="s">
        <v>1392</v>
      </c>
      <c r="F63" s="153" t="s">
        <v>1968</v>
      </c>
      <c r="G63" s="114" t="str">
        <f>HYPERLINK("https://www.google.com/maps/search/Festa%20de%20Santa%20Luzia%20e%20La%20Salette%20Cinf%C3%A3es%20Portugal/@41.0756,-8.0904,17z","🎉 Festa de Santa Luzia e La S…")</f>
        <v>🎉 Festa de Santa Luzia e La S…</v>
      </c>
      <c r="H63" s="154"/>
      <c r="I63" s="155" t="s">
        <v>1967</v>
      </c>
    </row>
    <row r="64" spans="1:9" ht="110" customHeight="1" x14ac:dyDescent="0.35">
      <c r="A64" s="335">
        <v>60</v>
      </c>
      <c r="B64" s="156" t="s">
        <v>1969</v>
      </c>
      <c r="C64" s="157" t="s">
        <v>1970</v>
      </c>
      <c r="D64" s="133" t="s">
        <v>992</v>
      </c>
      <c r="E64" s="158" t="s">
        <v>1392</v>
      </c>
      <c r="F64" s="159" t="s">
        <v>1971</v>
      </c>
      <c r="G64" s="160" t="str">
        <f>HYPERLINK("https://www.google.com/maps/search/Romaria%20a%20Santa%20Maria%20Gondomar%20Portugal/@41.1497,-8.5354,17z","🎉 Romaria a Santa Maria")</f>
        <v>🎉 Romaria a Santa Maria</v>
      </c>
      <c r="H64" s="161"/>
      <c r="I64" s="162" t="s">
        <v>1970</v>
      </c>
    </row>
    <row r="65" spans="1:9" ht="110" customHeight="1" x14ac:dyDescent="0.35">
      <c r="A65" s="337">
        <v>61</v>
      </c>
      <c r="B65" s="150" t="s">
        <v>1972</v>
      </c>
      <c r="C65" s="151" t="s">
        <v>1973</v>
      </c>
      <c r="D65" s="133" t="s">
        <v>992</v>
      </c>
      <c r="E65" s="152" t="s">
        <v>1392</v>
      </c>
      <c r="F65" s="153" t="s">
        <v>1974</v>
      </c>
      <c r="G65" s="114" t="str">
        <f>HYPERLINK("https://www.google.com/maps/search/Festa%20de%20Nossa%20Senhora%20do%20Monte%20Lamego%20Portugal/@41.0993,-7.8099,17z","🎉 Festa de Nossa Senhora do M…")</f>
        <v>🎉 Festa de Nossa Senhora do M…</v>
      </c>
      <c r="H65" s="154"/>
      <c r="I65" s="155" t="s">
        <v>1973</v>
      </c>
    </row>
    <row r="66" spans="1:9" ht="110" customHeight="1" x14ac:dyDescent="0.35">
      <c r="A66" s="335">
        <v>62</v>
      </c>
      <c r="B66" s="156" t="s">
        <v>1975</v>
      </c>
      <c r="C66" s="157" t="s">
        <v>1976</v>
      </c>
      <c r="D66" s="133" t="s">
        <v>992</v>
      </c>
      <c r="E66" s="158" t="s">
        <v>1392</v>
      </c>
      <c r="F66" s="159" t="s">
        <v>1977</v>
      </c>
      <c r="G66" s="160" t="str">
        <f>HYPERLINK("https://www.google.com/maps/search/Festas%20de%20Montalegre%20Portugal/@41.8237,-7.7891,17z","🎉 Festas de Montalegre")</f>
        <v>🎉 Festas de Montalegre</v>
      </c>
      <c r="H66" s="161"/>
      <c r="I66" s="162" t="s">
        <v>1976</v>
      </c>
    </row>
    <row r="67" spans="1:9" ht="110" customHeight="1" x14ac:dyDescent="0.35">
      <c r="A67" s="337">
        <v>63</v>
      </c>
      <c r="B67" s="150" t="s">
        <v>1978</v>
      </c>
      <c r="C67" s="151" t="s">
        <v>1917</v>
      </c>
      <c r="D67" s="133" t="s">
        <v>992</v>
      </c>
      <c r="E67" s="152" t="s">
        <v>1392</v>
      </c>
      <c r="F67" s="153" t="s">
        <v>1979</v>
      </c>
      <c r="G67" s="114" t="str">
        <f>HYPERLINK("https://www.google.com/maps/search/Agro-Basto%20Cabeceiras%20de%20Basto%20Portugal/@41.5154,-7.9797,17z","🎉 Agro-Basto")</f>
        <v>🎉 Agro-Basto</v>
      </c>
      <c r="H67" s="154"/>
      <c r="I67" s="155" t="s">
        <v>1917</v>
      </c>
    </row>
    <row r="68" spans="1:9" ht="110" customHeight="1" x14ac:dyDescent="0.35">
      <c r="A68" s="335">
        <v>64</v>
      </c>
      <c r="B68" s="156" t="s">
        <v>1980</v>
      </c>
      <c r="C68" s="157" t="s">
        <v>1872</v>
      </c>
      <c r="D68" s="133" t="s">
        <v>1981</v>
      </c>
      <c r="E68" s="158" t="s">
        <v>1392</v>
      </c>
      <c r="F68" s="159" t="s">
        <v>1982</v>
      </c>
      <c r="G68" s="160" t="str">
        <f>HYPERLINK("https://www.google.com/maps/search/Peregrina%C3%A7%C3%A3o%20a%20Nossa%20Senhora%20da%20Gra%C3%A7a%20Mondim%20de%20Basto%20Portugal/@41.4045,-7.9502,17z","🎉 Peregrinação a Nossa Senhor…")</f>
        <v>🎉 Peregrinação a Nossa Senhor…</v>
      </c>
      <c r="H68" s="161"/>
      <c r="I68" s="162" t="s">
        <v>1983</v>
      </c>
    </row>
    <row r="69" spans="1:9" ht="110" customHeight="1" x14ac:dyDescent="0.35">
      <c r="A69" s="337">
        <v>65</v>
      </c>
      <c r="B69" s="150" t="s">
        <v>1984</v>
      </c>
      <c r="C69" s="151" t="s">
        <v>1985</v>
      </c>
      <c r="D69" s="133" t="s">
        <v>1986</v>
      </c>
      <c r="E69" s="163" t="s">
        <v>1728</v>
      </c>
      <c r="F69" s="153" t="s">
        <v>1987</v>
      </c>
      <c r="G69" s="114" t="str">
        <f>HYPERLINK("https://www.google.com/maps/search/Feiras%20Novas%20Ponte%20de%20Lima%20Portugal/@41.7677,-8.5773,17z","🎉 Feiras Novas")</f>
        <v>🎉 Feiras Novas</v>
      </c>
      <c r="H69" s="164" t="str">
        <f>HYPERLINK("https://www.feirasnovas.com","🌐 www.feirasnovas.com")</f>
        <v>🌐 www.feirasnovas.com</v>
      </c>
      <c r="I69" s="155" t="s">
        <v>1988</v>
      </c>
    </row>
    <row r="70" spans="1:9" ht="110" customHeight="1" x14ac:dyDescent="0.35">
      <c r="A70" s="335">
        <v>66</v>
      </c>
      <c r="B70" s="156" t="s">
        <v>1795</v>
      </c>
      <c r="C70" s="157" t="s">
        <v>1845</v>
      </c>
      <c r="D70" s="133" t="s">
        <v>1989</v>
      </c>
      <c r="E70" s="158" t="s">
        <v>1392</v>
      </c>
      <c r="F70" s="159" t="s">
        <v>1990</v>
      </c>
      <c r="G70" s="160" t="str">
        <f>HYPERLINK("https://www.google.com/maps/search/Romaria%20de%20Nossa%20Senhora%20da%20Sa%C3%BAde%20Guimar%C3%A3es%20Portugal/@41.4425,-8.2928,17z","🎉 Romaria de Nossa Senhora da…")</f>
        <v>🎉 Romaria de Nossa Senhora da…</v>
      </c>
      <c r="H70" s="161"/>
      <c r="I70" s="162" t="s">
        <v>1991</v>
      </c>
    </row>
    <row r="71" spans="1:9" ht="110" customHeight="1" x14ac:dyDescent="0.35">
      <c r="A71" s="337">
        <v>67</v>
      </c>
      <c r="B71" s="150" t="s">
        <v>1992</v>
      </c>
      <c r="C71" s="151" t="s">
        <v>1845</v>
      </c>
      <c r="D71" s="133" t="s">
        <v>1989</v>
      </c>
      <c r="E71" s="152" t="s">
        <v>1392</v>
      </c>
      <c r="F71" s="153" t="s">
        <v>1993</v>
      </c>
      <c r="G71" s="114" t="str">
        <f>HYPERLINK("https://www.google.com/maps/search/Romaria%20de%20Nossa%20Senhora%20da%20Lapa%20Lousada%20Portugal/@41.1189,-7.5674,17z","🎉 Romaria de Nossa Senhora da…")</f>
        <v>🎉 Romaria de Nossa Senhora da…</v>
      </c>
      <c r="H71" s="154"/>
      <c r="I71" s="155" t="s">
        <v>1994</v>
      </c>
    </row>
    <row r="72" spans="1:9" ht="110" customHeight="1" x14ac:dyDescent="0.35">
      <c r="A72" s="335">
        <v>68</v>
      </c>
      <c r="B72" s="156" t="s">
        <v>1995</v>
      </c>
      <c r="C72" s="157" t="s">
        <v>1996</v>
      </c>
      <c r="D72" s="133" t="s">
        <v>1997</v>
      </c>
      <c r="E72" s="158" t="s">
        <v>1392</v>
      </c>
      <c r="F72" s="159" t="s">
        <v>1998</v>
      </c>
      <c r="G72" s="160" t="str">
        <f>HYPERLINK("https://www.google.com/maps/search/Festa%20de%20Nossa%20Senhora%20da%20Ajuda%20Barcelos%20Portugal/@41.5311,-8.6186,17z","🎉 Festa de Nossa Senhora da A…")</f>
        <v>🎉 Festa de Nossa Senhora da A…</v>
      </c>
      <c r="H72" s="161"/>
      <c r="I72" s="162" t="s">
        <v>1999</v>
      </c>
    </row>
    <row r="73" spans="1:9" ht="110" customHeight="1" x14ac:dyDescent="0.35">
      <c r="A73" s="337">
        <v>69</v>
      </c>
      <c r="B73" s="150" t="s">
        <v>2000</v>
      </c>
      <c r="C73" s="151" t="s">
        <v>2001</v>
      </c>
      <c r="D73" s="133" t="s">
        <v>2002</v>
      </c>
      <c r="E73" s="152" t="s">
        <v>1392</v>
      </c>
      <c r="F73" s="153" t="s">
        <v>2003</v>
      </c>
      <c r="G73" s="114" t="str">
        <f>HYPERLINK("https://www.google.com/maps/search/Romaria%20ao%20Santu%C3%A1rio%20de%20Nossa%20Senhora%20do%20Al%C3%ADvio%20Vila%20Verde%20Portugal/@41.6527,-8.4358,17z","🎉 Romaria ao Santuário de Nos…")</f>
        <v>🎉 Romaria ao Santuário de Nos…</v>
      </c>
      <c r="H73" s="154"/>
      <c r="I73" s="155" t="s">
        <v>2004</v>
      </c>
    </row>
    <row r="74" spans="1:9" ht="110" customHeight="1" x14ac:dyDescent="0.35">
      <c r="A74" s="335">
        <v>70</v>
      </c>
      <c r="B74" s="156" t="s">
        <v>2005</v>
      </c>
      <c r="C74" s="157" t="s">
        <v>1908</v>
      </c>
      <c r="D74" s="133" t="s">
        <v>2006</v>
      </c>
      <c r="E74" s="158" t="s">
        <v>1392</v>
      </c>
      <c r="F74" s="159" t="s">
        <v>2007</v>
      </c>
      <c r="G74" s="160" t="str">
        <f>HYPERLINK("https://www.google.com/maps/search/Festa%20de%20Santa%20Euf%C3%A9mia%20Arouca%20Portugal/@40.9342,-8.2479,17z","🎉 Festa de Santa Eufémia")</f>
        <v>🎉 Festa de Santa Eufémia</v>
      </c>
      <c r="H74" s="161"/>
      <c r="I74" s="162" t="s">
        <v>2008</v>
      </c>
    </row>
    <row r="75" spans="1:9" ht="110" customHeight="1" x14ac:dyDescent="0.35">
      <c r="A75" s="337">
        <v>71</v>
      </c>
      <c r="B75" s="150" t="s">
        <v>2009</v>
      </c>
      <c r="C75" s="151" t="s">
        <v>1911</v>
      </c>
      <c r="D75" s="133" t="s">
        <v>2010</v>
      </c>
      <c r="E75" s="152" t="s">
        <v>1392</v>
      </c>
      <c r="F75" s="153" t="s">
        <v>2011</v>
      </c>
      <c r="G75" s="114" t="str">
        <f>HYPERLINK("https://www.google.com/maps/search/Romaria%20de%20Santa%20Euf%C3%A9mia%20Esposende%20Portugal/@41.5329,-8.7789,17z","🎉 Romaria de Santa Eufémia")</f>
        <v>🎉 Romaria de Santa Eufémia</v>
      </c>
      <c r="H75" s="154"/>
      <c r="I75" s="155" t="s">
        <v>1911</v>
      </c>
    </row>
    <row r="76" spans="1:9" ht="110" customHeight="1" x14ac:dyDescent="0.35">
      <c r="A76" s="335">
        <v>72</v>
      </c>
      <c r="B76" s="156" t="s">
        <v>2009</v>
      </c>
      <c r="C76" s="157" t="s">
        <v>1840</v>
      </c>
      <c r="D76" s="133" t="s">
        <v>2010</v>
      </c>
      <c r="E76" s="158" t="s">
        <v>1392</v>
      </c>
      <c r="F76" s="159" t="s">
        <v>2012</v>
      </c>
      <c r="G76" s="160" t="str">
        <f>HYPERLINK("https://www.google.com/maps/search/Romaria%20de%20Santa%20Euf%C3%A9mia%20Esposende%20Portugal/@41.5329,-8.7789,17z","🎉 Romaria de Santa Eufémia")</f>
        <v>🎉 Romaria de Santa Eufémia</v>
      </c>
      <c r="H76" s="161"/>
      <c r="I76" s="162" t="s">
        <v>1840</v>
      </c>
    </row>
    <row r="77" spans="1:9" ht="110" customHeight="1" x14ac:dyDescent="0.35">
      <c r="A77" s="337">
        <v>73</v>
      </c>
      <c r="B77" s="150" t="s">
        <v>2013</v>
      </c>
      <c r="C77" s="151" t="s">
        <v>1908</v>
      </c>
      <c r="D77" s="133" t="s">
        <v>2014</v>
      </c>
      <c r="E77" s="152" t="s">
        <v>1392</v>
      </c>
      <c r="F77" s="153" t="s">
        <v>2015</v>
      </c>
      <c r="G77" s="114" t="str">
        <f>HYPERLINK("https://www.google.com/maps/search/Feira%20de%20Arouca%20Portugal/@40.9342,-8.2479,17z","🎉 Feira de Arouca")</f>
        <v>🎉 Feira de Arouca</v>
      </c>
      <c r="H77" s="154"/>
      <c r="I77" s="155" t="s">
        <v>1908</v>
      </c>
    </row>
    <row r="78" spans="1:9" ht="110" customHeight="1" x14ac:dyDescent="0.35">
      <c r="A78" s="335">
        <v>74</v>
      </c>
      <c r="B78" s="156" t="s">
        <v>2016</v>
      </c>
      <c r="C78" s="157" t="s">
        <v>1908</v>
      </c>
      <c r="D78" s="133" t="s">
        <v>2014</v>
      </c>
      <c r="E78" s="158" t="s">
        <v>1392</v>
      </c>
      <c r="F78" s="159" t="s">
        <v>2017</v>
      </c>
      <c r="G78" s="160" t="str">
        <f>HYPERLINK("https://www.google.com/maps/search/Feira%20das%20Colheitas%20Arouca%20Portugal/@40.9342,-8.2479,17z","🎉 Feira das Colheitas")</f>
        <v>🎉 Feira das Colheitas</v>
      </c>
      <c r="H78" s="161"/>
      <c r="I78" s="162" t="s">
        <v>1908</v>
      </c>
    </row>
    <row r="79" spans="1:9" ht="110" customHeight="1" x14ac:dyDescent="0.35">
      <c r="A79" s="337">
        <v>75</v>
      </c>
      <c r="B79" s="150" t="s">
        <v>2018</v>
      </c>
      <c r="C79" s="151" t="s">
        <v>2019</v>
      </c>
      <c r="D79" s="133" t="s">
        <v>2020</v>
      </c>
      <c r="E79" s="152" t="s">
        <v>1392</v>
      </c>
      <c r="F79" s="153" t="s">
        <v>2021</v>
      </c>
      <c r="G79" s="114" t="str">
        <f>HYPERLINK("https://www.google.com/maps/search/Festas%20dos%20Roj%C3%B5es%20Espinho%20Portugal/@41.0075,-8.6427,17z","🎉 Festas dos Rojões")</f>
        <v>🎉 Festas dos Rojões</v>
      </c>
      <c r="H79" s="154"/>
      <c r="I79" s="155" t="s">
        <v>2019</v>
      </c>
    </row>
    <row r="80" spans="1:9" ht="110" customHeight="1" x14ac:dyDescent="0.35">
      <c r="A80" s="335">
        <v>76</v>
      </c>
      <c r="B80" s="156" t="s">
        <v>2022</v>
      </c>
      <c r="C80" s="157" t="s">
        <v>2023</v>
      </c>
      <c r="D80" s="133" t="s">
        <v>2024</v>
      </c>
      <c r="E80" s="158" t="s">
        <v>1392</v>
      </c>
      <c r="F80" s="159" t="s">
        <v>2025</v>
      </c>
      <c r="G80" s="160" t="str">
        <f>HYPERLINK("https://www.google.com/maps/search/Rural%20Castanea%20Vinhais%20Portugal/@41.8387,-7.0024,17z","🎉 Rural Castanea")</f>
        <v>🎉 Rural Castanea</v>
      </c>
      <c r="H80" s="161"/>
      <c r="I80" s="162" t="s">
        <v>2023</v>
      </c>
    </row>
    <row r="81" spans="1:9" ht="110" customHeight="1" x14ac:dyDescent="0.35">
      <c r="A81" s="337">
        <v>77</v>
      </c>
      <c r="B81" s="150" t="s">
        <v>2026</v>
      </c>
      <c r="C81" s="151" t="s">
        <v>1784</v>
      </c>
      <c r="D81" s="133" t="s">
        <v>1269</v>
      </c>
      <c r="E81" s="152" t="s">
        <v>1392</v>
      </c>
      <c r="F81" s="153" t="s">
        <v>2027</v>
      </c>
      <c r="G81" s="114" t="str">
        <f>HYPERLINK("https://www.google.com/maps/search/Festa%20de%20Santo%20Ov%C3%ADdeo%20Bragan%C3%A7a%20Portugal/@41.551,-8.4254,17z","🎉 Festa de Santo Ovídeo")</f>
        <v>🎉 Festa de Santo Ovídeo</v>
      </c>
      <c r="H81" s="154"/>
      <c r="I81" s="155" t="s">
        <v>2028</v>
      </c>
    </row>
    <row r="82" spans="1:9" ht="110" customHeight="1" x14ac:dyDescent="0.35">
      <c r="A82" s="335">
        <v>78</v>
      </c>
      <c r="B82" s="156" t="s">
        <v>2029</v>
      </c>
      <c r="C82" s="157" t="s">
        <v>1791</v>
      </c>
      <c r="D82" s="133" t="s">
        <v>2030</v>
      </c>
      <c r="E82" s="165" t="s">
        <v>1728</v>
      </c>
      <c r="F82" s="159" t="s">
        <v>2031</v>
      </c>
      <c r="G82" s="160" t="str">
        <f>HYPERLINK("https://www.google.com/maps/search/Festas%20Nicolinas%20Guimar%C3%A3es%20Portugal/@41.4425,-8.2928,17z","🎉 Festas Nicolinas")</f>
        <v>🎉 Festas Nicolinas</v>
      </c>
      <c r="H82" s="166" t="str">
        <f>HYPERLINK("https://www.festasnicolinas.com","🌐 www.festasnicolinas.com")</f>
        <v>🌐 www.festasnicolinas.com</v>
      </c>
      <c r="I82" s="162" t="s">
        <v>1791</v>
      </c>
    </row>
    <row r="83" spans="1:9" ht="110" customHeight="1" x14ac:dyDescent="0.35">
      <c r="A83" s="337">
        <v>79</v>
      </c>
      <c r="B83" s="150" t="s">
        <v>2032</v>
      </c>
      <c r="C83" s="151" t="s">
        <v>2033</v>
      </c>
      <c r="D83" s="133" t="s">
        <v>2034</v>
      </c>
      <c r="E83" s="163" t="s">
        <v>1728</v>
      </c>
      <c r="F83" s="153" t="s">
        <v>2035</v>
      </c>
      <c r="G83" s="114" t="str">
        <f>HYPERLINK("https://www.google.com/maps/search/Feira%20dos%20Cap%C3%B5es%20de%20Freamunde%20Pa%C3%A7os%20de%20Ferreira%20Portugal/@41.2785,-8.3872,17z","🎉 Feira dos Capões de Freamunde")</f>
        <v>🎉 Feira dos Capões de Freamunde</v>
      </c>
      <c r="H83" s="154"/>
      <c r="I83" s="155" t="s">
        <v>2036</v>
      </c>
    </row>
    <row r="84" spans="1:9" ht="110" customHeight="1" x14ac:dyDescent="0.35">
      <c r="A84" s="335">
        <v>80</v>
      </c>
      <c r="B84" s="156" t="s">
        <v>2037</v>
      </c>
      <c r="C84" s="157" t="s">
        <v>2001</v>
      </c>
      <c r="D84" s="133" t="s">
        <v>1206</v>
      </c>
      <c r="E84" s="158" t="s">
        <v>1392</v>
      </c>
      <c r="F84" s="159" t="s">
        <v>2038</v>
      </c>
      <c r="G84" s="160" t="str">
        <f>HYPERLINK("https://www.google.com/maps/search/Feira%20do%20Mel%2C%20das%20Ma%C3%A7%C3%A3s%20e%20das%20Pinhas%20Vila%20Verde%20Portugal/@41.6527,-8.4358,17z","🎉 Feira do Mel, das Maçãs e d…")</f>
        <v>🎉 Feira do Mel, das Maçãs e d…</v>
      </c>
      <c r="H84" s="161"/>
      <c r="I84" s="162" t="s">
        <v>2001</v>
      </c>
    </row>
    <row r="85" spans="1:9" ht="24" customHeight="1" x14ac:dyDescent="0.35">
      <c r="A85" s="1422" t="s">
        <v>2039</v>
      </c>
      <c r="B85" s="1313"/>
      <c r="C85" s="1313"/>
      <c r="D85" s="1313"/>
      <c r="E85" s="1313"/>
      <c r="F85" s="1313"/>
      <c r="G85" s="1313"/>
      <c r="H85" s="1313"/>
      <c r="I85" s="1313"/>
    </row>
    <row r="86" spans="1:9" ht="110" customHeight="1" x14ac:dyDescent="0.35">
      <c r="A86" s="357">
        <v>1</v>
      </c>
      <c r="B86" s="167" t="s">
        <v>2040</v>
      </c>
      <c r="C86" s="168" t="s">
        <v>2041</v>
      </c>
      <c r="D86" s="169" t="s">
        <v>2042</v>
      </c>
      <c r="E86" s="170" t="s">
        <v>1392</v>
      </c>
      <c r="F86" s="171" t="s">
        <v>2043</v>
      </c>
      <c r="G86" s="119" t="str">
        <f>HYPERLINK("https://www.google.com/maps/search/Feira%20dos%20Pinh%C3%B5es%20Ansi%C3%A3o%20Portugal/@39.9073,-8.4435,17z","🎉 Feira dos Pinhões")</f>
        <v>🎉 Feira dos Pinhões</v>
      </c>
      <c r="H86" s="172"/>
      <c r="I86" s="173" t="s">
        <v>2041</v>
      </c>
    </row>
    <row r="87" spans="1:9" ht="110" customHeight="1" x14ac:dyDescent="0.35">
      <c r="A87" s="351">
        <v>2</v>
      </c>
      <c r="B87" s="174" t="s">
        <v>2044</v>
      </c>
      <c r="C87" s="175" t="s">
        <v>2045</v>
      </c>
      <c r="D87" s="169" t="s">
        <v>2046</v>
      </c>
      <c r="E87" s="176" t="s">
        <v>1392</v>
      </c>
      <c r="F87" s="177" t="s">
        <v>2047</v>
      </c>
      <c r="G87" s="178" t="str">
        <f>HYPERLINK("https://www.google.com/maps/search/Feira%20Tradicional%20de%20S%C3%A3o%20Br%C3%A1s%20Ferreira%20do%20Z%C3%AAzere%20Portugal/@39.6961,-8.2887,17z","🎉 Feira Tradicional de São Brás")</f>
        <v>🎉 Feira Tradicional de São Brás</v>
      </c>
      <c r="H87" s="179"/>
      <c r="I87" s="180" t="s">
        <v>2045</v>
      </c>
    </row>
    <row r="88" spans="1:9" ht="110" customHeight="1" x14ac:dyDescent="0.35">
      <c r="A88" s="357">
        <v>3</v>
      </c>
      <c r="B88" s="167" t="s">
        <v>2048</v>
      </c>
      <c r="C88" s="168" t="s">
        <v>2049</v>
      </c>
      <c r="D88" s="169" t="s">
        <v>1124</v>
      </c>
      <c r="E88" s="181" t="s">
        <v>1728</v>
      </c>
      <c r="F88" s="171" t="s">
        <v>2050</v>
      </c>
      <c r="G88" s="119" t="str">
        <f>HYPERLINK("https://www.google.com/maps/search/Feira%20do%20Queijo%20Serra%20da%20Estrela%20Seia%20Portugal/@40.4166,-7.6985,17z","🎉 Feira do Queijo Serra da Es…")</f>
        <v>🎉 Feira do Queijo Serra da Es…</v>
      </c>
      <c r="H88" s="182" t="str">
        <f>HYPERLINK("https://www.queijoserraestrela.pt","🌐 www.queijoserraestrela.pt")</f>
        <v>🌐 www.queijoserraestrela.pt</v>
      </c>
      <c r="I88" s="173" t="s">
        <v>2049</v>
      </c>
    </row>
    <row r="89" spans="1:9" ht="110" customHeight="1" x14ac:dyDescent="0.35">
      <c r="A89" s="351">
        <v>4</v>
      </c>
      <c r="B89" s="174" t="s">
        <v>2048</v>
      </c>
      <c r="C89" s="175" t="s">
        <v>1100</v>
      </c>
      <c r="D89" s="169" t="s">
        <v>2051</v>
      </c>
      <c r="E89" s="183" t="s">
        <v>1728</v>
      </c>
      <c r="F89" s="177" t="s">
        <v>2052</v>
      </c>
      <c r="G89" s="178" t="str">
        <f>HYPERLINK("https://www.google.com/maps/search/Feira%20do%20Queijo%20Serra%20da%20Estrela%20Seia%20Portugal/@40.4166,-7.6985,17z","🎉 Feira do Queijo Serra da Es…")</f>
        <v>🎉 Feira do Queijo Serra da Es…</v>
      </c>
      <c r="H89" s="184" t="str">
        <f>HYPERLINK("https://www.queijosestrela.pt","🌐 www.queijosestrela.pt")</f>
        <v>🌐 www.queijosestrela.pt</v>
      </c>
      <c r="I89" s="180" t="s">
        <v>1100</v>
      </c>
    </row>
    <row r="90" spans="1:9" ht="110" customHeight="1" x14ac:dyDescent="0.35">
      <c r="A90" s="357">
        <v>5</v>
      </c>
      <c r="B90" s="167" t="s">
        <v>2053</v>
      </c>
      <c r="C90" s="168" t="s">
        <v>2054</v>
      </c>
      <c r="D90" s="169" t="s">
        <v>975</v>
      </c>
      <c r="E90" s="170" t="s">
        <v>1392</v>
      </c>
      <c r="F90" s="171" t="s">
        <v>2055</v>
      </c>
      <c r="G90" s="119" t="str">
        <f>HYPERLINK("https://www.google.com/maps/search/Festa%20do%20Queijo%20Serra%20da%20Estrela%20de%20Oliveira%20do%20Hospital%20Portugal/@40.3601,-7.8629,17z","🎉 Festa do Queijo Serra da Es…")</f>
        <v>🎉 Festa do Queijo Serra da Es…</v>
      </c>
      <c r="H90" s="172"/>
      <c r="I90" s="173" t="s">
        <v>2054</v>
      </c>
    </row>
    <row r="91" spans="1:9" ht="110" customHeight="1" x14ac:dyDescent="0.35">
      <c r="A91" s="351">
        <v>6</v>
      </c>
      <c r="B91" s="174" t="s">
        <v>2048</v>
      </c>
      <c r="C91" s="175" t="s">
        <v>2056</v>
      </c>
      <c r="D91" s="169" t="s">
        <v>975</v>
      </c>
      <c r="E91" s="176" t="s">
        <v>1392</v>
      </c>
      <c r="F91" s="177" t="s">
        <v>2057</v>
      </c>
      <c r="G91" s="178" t="str">
        <f>HYPERLINK("https://www.google.com/maps/search/Feira%20do%20Queijo%20Serra%20da%20Estrela%20Seia%20Portugal/@40.4166,-7.6985,17z","🎉 Feira do Queijo Serra da Es…")</f>
        <v>🎉 Feira do Queijo Serra da Es…</v>
      </c>
      <c r="H91" s="179"/>
      <c r="I91" s="180" t="s">
        <v>2056</v>
      </c>
    </row>
    <row r="92" spans="1:9" ht="110" customHeight="1" x14ac:dyDescent="0.35">
      <c r="A92" s="357">
        <v>7</v>
      </c>
      <c r="B92" s="167" t="s">
        <v>2058</v>
      </c>
      <c r="C92" s="168" t="s">
        <v>2059</v>
      </c>
      <c r="D92" s="169" t="s">
        <v>2060</v>
      </c>
      <c r="E92" s="170" t="s">
        <v>1392</v>
      </c>
      <c r="F92" s="171" t="s">
        <v>2061</v>
      </c>
      <c r="G92" s="119" t="str">
        <f>HYPERLINK("https://www.google.com/maps/search/Romaria%20de%20Nossa%20Senhora%20do%20Incenso%20Penamacor%20Portugal/@40.1726,-7.1749,17z","🎉 Romaria de Nossa Senhora do…")</f>
        <v>🎉 Romaria de Nossa Senhora do…</v>
      </c>
      <c r="H92" s="172"/>
      <c r="I92" s="173" t="s">
        <v>2062</v>
      </c>
    </row>
    <row r="93" spans="1:9" ht="110" customHeight="1" x14ac:dyDescent="0.35">
      <c r="A93" s="351">
        <v>8</v>
      </c>
      <c r="B93" s="174" t="s">
        <v>2063</v>
      </c>
      <c r="C93" s="175" t="s">
        <v>2064</v>
      </c>
      <c r="D93" s="169" t="s">
        <v>2065</v>
      </c>
      <c r="E93" s="176" t="s">
        <v>1392</v>
      </c>
      <c r="F93" s="177" t="s">
        <v>2066</v>
      </c>
      <c r="G93" s="178" t="str">
        <f>HYPERLINK("https://www.google.com/maps/search/Romaria%20ao%20Santu%C3%A1rio%20do%20Senhor%20dos%20Caminhos%20S%C3%A1t%C3%A3o%20Portugal/@40.7379,-7.6327,17z","🎉 Romaria ao Santuário do Sen…")</f>
        <v>🎉 Romaria ao Santuário do Sen…</v>
      </c>
      <c r="H93" s="179"/>
      <c r="I93" s="180" t="s">
        <v>2064</v>
      </c>
    </row>
    <row r="94" spans="1:9" ht="110" customHeight="1" x14ac:dyDescent="0.35">
      <c r="A94" s="357">
        <v>9</v>
      </c>
      <c r="B94" s="167" t="s">
        <v>2067</v>
      </c>
      <c r="C94" s="168" t="s">
        <v>2068</v>
      </c>
      <c r="D94" s="169" t="s">
        <v>2069</v>
      </c>
      <c r="E94" s="181" t="s">
        <v>1728</v>
      </c>
      <c r="F94" s="171" t="s">
        <v>2070</v>
      </c>
      <c r="G94" s="119" t="str">
        <f>HYPERLINK("https://www.google.com/maps/search/Peregrina%C3%A7%C3%A3o%20ao%20Santu%C3%A1rio%20de%20F%C3%A1tima%20Our%C3%A9m%20Portugal/@39.6278,-8.6705,17z","🎉 Peregrinação ao Santuário d…")</f>
        <v>🎉 Peregrinação ao Santuário d…</v>
      </c>
      <c r="H94" s="182" t="str">
        <f>HYPERLINK("https://www.fatima.pt","🌐 www.fatima.pt")</f>
        <v>🌐 www.fatima.pt</v>
      </c>
      <c r="I94" s="173" t="s">
        <v>2071</v>
      </c>
    </row>
    <row r="95" spans="1:9" ht="110" customHeight="1" x14ac:dyDescent="0.35">
      <c r="A95" s="351">
        <v>10</v>
      </c>
      <c r="B95" s="174" t="s">
        <v>2072</v>
      </c>
      <c r="C95" s="175" t="s">
        <v>2073</v>
      </c>
      <c r="D95" s="169" t="s">
        <v>2074</v>
      </c>
      <c r="E95" s="176" t="s">
        <v>1392</v>
      </c>
      <c r="F95" s="177" t="s">
        <v>2075</v>
      </c>
      <c r="G95" s="178" t="str">
        <f>HYPERLINK("https://www.google.com/maps/search/Peregrina%C3%A7%C3%B5es%20ao%20Santu%C3%A1rio%20de%20Nossa%20Senhora%20da%20Lapa%20Sernancelhe%20Portugal/@40.8953,-7.4886,17z","🎉 Peregrinações ao Santuário …")</f>
        <v>🎉 Peregrinações ao Santuário …</v>
      </c>
      <c r="H95" s="179"/>
      <c r="I95" s="180" t="s">
        <v>2073</v>
      </c>
    </row>
    <row r="96" spans="1:9" ht="110" customHeight="1" x14ac:dyDescent="0.35">
      <c r="A96" s="357">
        <v>11</v>
      </c>
      <c r="B96" s="167" t="s">
        <v>1298</v>
      </c>
      <c r="C96" s="168" t="s">
        <v>1276</v>
      </c>
      <c r="D96" s="169" t="s">
        <v>2076</v>
      </c>
      <c r="E96" s="181" t="s">
        <v>1728</v>
      </c>
      <c r="F96" s="171" t="s">
        <v>2077</v>
      </c>
      <c r="G96" s="119" t="str">
        <f>HYPERLINK("https://www.google.com/maps/search/Festa%20dos%20Tabuleiros%20Tomar%20Portugal/@39.6039,-8.4104,17z","🎉 Festa dos Tabuleiros")</f>
        <v>🎉 Festa dos Tabuleiros</v>
      </c>
      <c r="H96" s="182" t="str">
        <f>HYPERLINK("https://www.festadostabuleiros.com","🌐 www.festadostabuleiros.com")</f>
        <v>🌐 www.festadostabuleiros.com</v>
      </c>
      <c r="I96" s="173" t="s">
        <v>1276</v>
      </c>
    </row>
    <row r="97" spans="1:9" ht="110" customHeight="1" x14ac:dyDescent="0.35">
      <c r="A97" s="351">
        <v>12</v>
      </c>
      <c r="B97" s="174" t="s">
        <v>2078</v>
      </c>
      <c r="C97" s="175" t="s">
        <v>1276</v>
      </c>
      <c r="D97" s="169" t="s">
        <v>2079</v>
      </c>
      <c r="E97" s="183" t="s">
        <v>1728</v>
      </c>
      <c r="F97" s="177" t="s">
        <v>2080</v>
      </c>
      <c r="G97" s="178" t="str">
        <f>HYPERLINK("https://www.google.com/maps/search/Festa%20da%20Aleluia%20%E2%80%94%20Bons%20Sons%20Tomar%20Portugal/@39.6039,-8.4104,17z","🎉 Festa da Aleluia — Bons Sons")</f>
        <v>🎉 Festa da Aleluia — Bons Sons</v>
      </c>
      <c r="H97" s="184" t="str">
        <f>HYPERLINK("https://www.bonsons.com","🌐 www.bonsons.com")</f>
        <v>🌐 www.bonsons.com</v>
      </c>
      <c r="I97" s="180" t="s">
        <v>1031</v>
      </c>
    </row>
    <row r="98" spans="1:9" ht="110" customHeight="1" x14ac:dyDescent="0.35">
      <c r="A98" s="357">
        <v>13</v>
      </c>
      <c r="B98" s="167" t="s">
        <v>2081</v>
      </c>
      <c r="C98" s="168" t="s">
        <v>2082</v>
      </c>
      <c r="D98" s="169" t="s">
        <v>958</v>
      </c>
      <c r="E98" s="170" t="s">
        <v>1392</v>
      </c>
      <c r="F98" s="171" t="s">
        <v>2083</v>
      </c>
      <c r="G98" s="119" t="str">
        <f>HYPERLINK("https://www.google.com/maps/search/Romaria%20ao%20Milagre%20de%20Urgueira%20Tondela%20Portugal/@40.5579,-8.1626,17z","🎉 Romaria ao Milagre de Urgue…")</f>
        <v>🎉 Romaria ao Milagre de Urgue…</v>
      </c>
      <c r="H98" s="172"/>
      <c r="I98" s="173" t="s">
        <v>2082</v>
      </c>
    </row>
    <row r="99" spans="1:9" ht="110" customHeight="1" x14ac:dyDescent="0.35">
      <c r="A99" s="351">
        <v>14</v>
      </c>
      <c r="B99" s="174" t="s">
        <v>1995</v>
      </c>
      <c r="C99" s="175" t="s">
        <v>2084</v>
      </c>
      <c r="D99" s="169" t="s">
        <v>2085</v>
      </c>
      <c r="E99" s="176" t="s">
        <v>1392</v>
      </c>
      <c r="F99" s="177" t="s">
        <v>2086</v>
      </c>
      <c r="G99" s="178" t="str">
        <f>HYPERLINK("https://www.google.com/maps/search/Festa%20de%20Nossa%20Senhora%20da%20Ajuda%20Barcelos%20Portugal/@41.5311,-8.6186,17z","🎉 Festa de Nossa Senhora da A…")</f>
        <v>🎉 Festa de Nossa Senhora da A…</v>
      </c>
      <c r="H99" s="179"/>
      <c r="I99" s="180" t="s">
        <v>2084</v>
      </c>
    </row>
    <row r="100" spans="1:9" ht="110" customHeight="1" x14ac:dyDescent="0.35">
      <c r="A100" s="357">
        <v>15</v>
      </c>
      <c r="B100" s="167" t="s">
        <v>2087</v>
      </c>
      <c r="C100" s="168" t="s">
        <v>2088</v>
      </c>
      <c r="D100" s="169" t="s">
        <v>992</v>
      </c>
      <c r="E100" s="170" t="s">
        <v>1392</v>
      </c>
      <c r="F100" s="171" t="s">
        <v>2089</v>
      </c>
      <c r="G100" s="119" t="str">
        <f>HYPERLINK("https://www.google.com/maps/search/Festas%20de%20S%C3%A3o%20Mateus%20Soure%20Portugal/@40.0584,-8.6244,17z","🎉 Festas de São Mateus")</f>
        <v>🎉 Festas de São Mateus</v>
      </c>
      <c r="H100" s="172"/>
      <c r="I100" s="173" t="s">
        <v>2088</v>
      </c>
    </row>
    <row r="101" spans="1:9" ht="110" customHeight="1" x14ac:dyDescent="0.35">
      <c r="A101" s="351">
        <v>16</v>
      </c>
      <c r="B101" s="174" t="s">
        <v>2090</v>
      </c>
      <c r="C101" s="175" t="s">
        <v>2091</v>
      </c>
      <c r="D101" s="169" t="s">
        <v>2092</v>
      </c>
      <c r="E101" s="176" t="s">
        <v>1392</v>
      </c>
      <c r="F101" s="177" t="s">
        <v>2093</v>
      </c>
      <c r="G101" s="178" t="str">
        <f>HYPERLINK("https://www.google.com/maps/search/Romaria%20de%20Santa%20Luzia%20Fund%C3%A3o%20Portugal/@40.1392,-7.5014,17z","🎉 Romaria de Santa Luzia")</f>
        <v>🎉 Romaria de Santa Luzia</v>
      </c>
      <c r="H101" s="179"/>
      <c r="I101" s="180" t="s">
        <v>2094</v>
      </c>
    </row>
    <row r="102" spans="1:9" ht="110" customHeight="1" x14ac:dyDescent="0.35">
      <c r="A102" s="357">
        <v>17</v>
      </c>
      <c r="B102" s="167" t="s">
        <v>2095</v>
      </c>
      <c r="C102" s="168" t="s">
        <v>2096</v>
      </c>
      <c r="D102" s="169" t="s">
        <v>1022</v>
      </c>
      <c r="E102" s="170" t="s">
        <v>1392</v>
      </c>
      <c r="F102" s="171" t="s">
        <v>2097</v>
      </c>
      <c r="G102" s="119" t="str">
        <f>HYPERLINK("https://www.google.com/maps/search/Festa%20da%20Castanha%20Gouveia%20Portugal/@40.4949,-7.5914,17z","🎉 Festa da Castanha")</f>
        <v>🎉 Festa da Castanha</v>
      </c>
      <c r="H102" s="172"/>
      <c r="I102" s="173" t="s">
        <v>2096</v>
      </c>
    </row>
    <row r="103" spans="1:9" ht="110" customHeight="1" x14ac:dyDescent="0.35">
      <c r="A103" s="351">
        <v>18</v>
      </c>
      <c r="B103" s="174" t="s">
        <v>2098</v>
      </c>
      <c r="C103" s="175" t="s">
        <v>2099</v>
      </c>
      <c r="D103" s="169" t="s">
        <v>1022</v>
      </c>
      <c r="E103" s="176" t="s">
        <v>1392</v>
      </c>
      <c r="F103" s="177" t="s">
        <v>2100</v>
      </c>
      <c r="G103" s="178" t="str">
        <f>HYPERLINK("https://www.google.com/maps/search/Feira%20dos%20Frutos%20Secos%20e%20Passados%20Torres%20Novas%20Portugal/@39.4809,-8.5374,17z","🎉 Feira dos Frutos Secos e Pa…")</f>
        <v>🎉 Feira dos Frutos Secos e Pa…</v>
      </c>
      <c r="H103" s="179"/>
      <c r="I103" s="180" t="s">
        <v>2099</v>
      </c>
    </row>
    <row r="104" spans="1:9" ht="110" customHeight="1" x14ac:dyDescent="0.35">
      <c r="A104" s="357">
        <v>19</v>
      </c>
      <c r="B104" s="167" t="s">
        <v>2101</v>
      </c>
      <c r="C104" s="168" t="s">
        <v>2073</v>
      </c>
      <c r="D104" s="169" t="s">
        <v>1022</v>
      </c>
      <c r="E104" s="170" t="s">
        <v>1392</v>
      </c>
      <c r="F104" s="171" t="s">
        <v>2102</v>
      </c>
      <c r="G104" s="119" t="str">
        <f>HYPERLINK("https://www.google.com/maps/search/Festa%20da%20Castanha%20de%20Sernancelhe%20Portugal/@40.8953,-7.4886,17z","🎉 Festa da Castanha de Sernan…")</f>
        <v>🎉 Festa da Castanha de Sernan…</v>
      </c>
      <c r="H104" s="172"/>
      <c r="I104" s="173" t="s">
        <v>2073</v>
      </c>
    </row>
    <row r="105" spans="1:9" ht="110" customHeight="1" x14ac:dyDescent="0.35">
      <c r="A105" s="351">
        <v>20</v>
      </c>
      <c r="B105" s="174" t="s">
        <v>2103</v>
      </c>
      <c r="C105" s="175" t="s">
        <v>1276</v>
      </c>
      <c r="D105" s="169" t="s">
        <v>2104</v>
      </c>
      <c r="E105" s="183" t="s">
        <v>1728</v>
      </c>
      <c r="F105" s="177" t="s">
        <v>2105</v>
      </c>
      <c r="G105" s="178" t="str">
        <f>HYPERLINK("https://www.google.com/maps/search/Feira%20de%20Santa%20Iria%20Tomar%20Portugal/@39.6039,-8.4104,17z","🎉 Feira de Santa Iria")</f>
        <v>🎉 Feira de Santa Iria</v>
      </c>
      <c r="H105" s="179"/>
      <c r="I105" s="180" t="s">
        <v>1276</v>
      </c>
    </row>
    <row r="106" spans="1:9" ht="110" customHeight="1" x14ac:dyDescent="0.35">
      <c r="A106" s="357">
        <v>21</v>
      </c>
      <c r="B106" s="167" t="s">
        <v>2106</v>
      </c>
      <c r="C106" s="168" t="s">
        <v>2059</v>
      </c>
      <c r="D106" s="169" t="s">
        <v>2107</v>
      </c>
      <c r="E106" s="170" t="s">
        <v>1392</v>
      </c>
      <c r="F106" s="171" t="s">
        <v>2108</v>
      </c>
      <c r="G106" s="119" t="str">
        <f>HYPERLINK("https://www.google.com/maps/search/Romaria%20de%20Nossa%20Senhora%20da%20P%C3%B3voa%20Penamacor%20Portugal/@40.1726,-7.1749,17z","🎉 Romaria de Nossa Senhora da…")</f>
        <v>🎉 Romaria de Nossa Senhora da…</v>
      </c>
      <c r="H106" s="172"/>
      <c r="I106" s="173" t="s">
        <v>2059</v>
      </c>
    </row>
    <row r="107" spans="1:9" ht="24" customHeight="1" x14ac:dyDescent="0.35">
      <c r="A107" s="1421" t="s">
        <v>2109</v>
      </c>
      <c r="B107" s="1313"/>
      <c r="C107" s="1313"/>
      <c r="D107" s="1313"/>
      <c r="E107" s="1313"/>
      <c r="F107" s="1313"/>
      <c r="G107" s="1313"/>
      <c r="H107" s="1313"/>
      <c r="I107" s="1313"/>
    </row>
    <row r="108" spans="1:9" ht="110" customHeight="1" x14ac:dyDescent="0.35">
      <c r="A108" s="359">
        <v>1</v>
      </c>
      <c r="B108" s="185" t="s">
        <v>2110</v>
      </c>
      <c r="C108" s="186" t="s">
        <v>913</v>
      </c>
      <c r="D108" s="187" t="s">
        <v>2111</v>
      </c>
      <c r="E108" s="188" t="s">
        <v>1728</v>
      </c>
      <c r="F108" s="189" t="s">
        <v>2112</v>
      </c>
      <c r="G108" s="190" t="str">
        <f>HYPERLINK("https://www.google.com/maps/search/Prociss%C3%A3o%20do%20Senhor%20dos%20Passos%20da%20Gra%C3%A7a%20Lisboa%20Portugal/@38.7139,-9.1394,17z","🎉 Procissão do Senhor dos Pas…")</f>
        <v>🎉 Procissão do Senhor dos Pas…</v>
      </c>
      <c r="H108" s="191"/>
      <c r="I108" s="192" t="s">
        <v>2113</v>
      </c>
    </row>
    <row r="109" spans="1:9" ht="110" customHeight="1" x14ac:dyDescent="0.35">
      <c r="A109" s="339">
        <v>2</v>
      </c>
      <c r="B109" s="193" t="s">
        <v>2114</v>
      </c>
      <c r="C109" s="194" t="s">
        <v>913</v>
      </c>
      <c r="D109" s="187" t="s">
        <v>2115</v>
      </c>
      <c r="E109" s="195" t="s">
        <v>1728</v>
      </c>
      <c r="F109" s="196" t="s">
        <v>2116</v>
      </c>
      <c r="G109" s="197" t="str">
        <f>HYPERLINK("https://www.google.com/maps/search/Prociss%C3%A3o%20de%20Nossa%20Senhora%20da%20Sa%C3%BAde%20Lisboa%20Portugal/@38.7139,-9.1394,17z","🎉 Procissão de Nossa Senhora …")</f>
        <v>🎉 Procissão de Nossa Senhora …</v>
      </c>
      <c r="H109" s="198"/>
      <c r="I109" s="199" t="s">
        <v>913</v>
      </c>
    </row>
    <row r="110" spans="1:9" ht="110" customHeight="1" x14ac:dyDescent="0.35">
      <c r="A110" s="359">
        <v>3</v>
      </c>
      <c r="B110" s="185" t="s">
        <v>2117</v>
      </c>
      <c r="C110" s="186" t="s">
        <v>913</v>
      </c>
      <c r="D110" s="187" t="s">
        <v>2118</v>
      </c>
      <c r="E110" s="188" t="s">
        <v>1728</v>
      </c>
      <c r="F110" s="189" t="s">
        <v>2119</v>
      </c>
      <c r="G110" s="190" t="str">
        <f>HYPERLINK("https://www.google.com/maps/search/Festas%20Populares%20de%20Santo%20Ant%C3%B3nio%20de%20Lisboa%20Portugal/@38.7139,-9.1394,17z","🎉 Festas Populares de Santo A…")</f>
        <v>🎉 Festas Populares de Santo A…</v>
      </c>
      <c r="H110" s="200" t="str">
        <f>HYPERLINK("https://www.cm-lisboa.pt","🌐 www.cm-lisboa.pt")</f>
        <v>🌐 www.cm-lisboa.pt</v>
      </c>
      <c r="I110" s="192" t="s">
        <v>2120</v>
      </c>
    </row>
    <row r="111" spans="1:9" ht="110" customHeight="1" x14ac:dyDescent="0.35">
      <c r="A111" s="339">
        <v>4</v>
      </c>
      <c r="B111" s="193" t="s">
        <v>2121</v>
      </c>
      <c r="C111" s="194" t="s">
        <v>2122</v>
      </c>
      <c r="D111" s="187" t="s">
        <v>1022</v>
      </c>
      <c r="E111" s="201" t="s">
        <v>1392</v>
      </c>
      <c r="F111" s="196" t="s">
        <v>2123</v>
      </c>
      <c r="G111" s="197" t="str">
        <f>HYPERLINK("https://www.google.com/maps/search/Festa%20das%20Adiafas%20Cadaval%20Portugal/@39.2449,-9.1022,17z","🎉 Festa das Adiafas")</f>
        <v>🎉 Festa das Adiafas</v>
      </c>
      <c r="H111" s="198"/>
      <c r="I111" s="199" t="s">
        <v>2122</v>
      </c>
    </row>
    <row r="112" spans="1:9" ht="24" customHeight="1" x14ac:dyDescent="0.35">
      <c r="A112" s="1420" t="s">
        <v>2124</v>
      </c>
      <c r="B112" s="1313"/>
      <c r="C112" s="1313"/>
      <c r="D112" s="1313"/>
      <c r="E112" s="1313"/>
      <c r="F112" s="1313"/>
      <c r="G112" s="1313"/>
      <c r="H112" s="1313"/>
      <c r="I112" s="1313"/>
    </row>
    <row r="113" spans="1:9" ht="110" customHeight="1" x14ac:dyDescent="0.35">
      <c r="A113" s="345">
        <v>1</v>
      </c>
      <c r="B113" s="202" t="s">
        <v>2125</v>
      </c>
      <c r="C113" s="203" t="s">
        <v>2126</v>
      </c>
      <c r="D113" s="204" t="s">
        <v>2127</v>
      </c>
      <c r="E113" s="205" t="s">
        <v>1728</v>
      </c>
      <c r="F113" s="206" t="s">
        <v>2128</v>
      </c>
      <c r="G113" s="130" t="str">
        <f>HYPERLINK("https://www.google.com/maps/search/Festa%20das%20Santas%20Cruzes%20Serpa%20Portugal/@37.9437,-7.5981,17z","🎉 Festa das Santas Cruzes")</f>
        <v>🎉 Festa das Santas Cruzes</v>
      </c>
      <c r="H113" s="207"/>
      <c r="I113" s="208" t="s">
        <v>2126</v>
      </c>
    </row>
    <row r="114" spans="1:9" ht="110" customHeight="1" x14ac:dyDescent="0.35">
      <c r="A114" s="361">
        <v>2</v>
      </c>
      <c r="B114" s="209" t="s">
        <v>2129</v>
      </c>
      <c r="C114" s="210" t="s">
        <v>2130</v>
      </c>
      <c r="D114" s="204" t="s">
        <v>2131</v>
      </c>
      <c r="E114" s="211" t="s">
        <v>1728</v>
      </c>
      <c r="F114" s="212" t="s">
        <v>2132</v>
      </c>
      <c r="G114" s="213" t="str">
        <f>HYPERLINK("https://www.google.com/maps/search/Romaria%20de%20Nossa%20Senhora%20de%20Aires%20Viana%20do%20Alentejo%20Portugal/@38.3425,-8.0069,17z","🎉 Romaria de Nossa Senhora de…")</f>
        <v>🎉 Romaria de Nossa Senhora de…</v>
      </c>
      <c r="H114" s="214" t="str">
        <f>HYPERLINK("https://www.santuariodeaires.pt","🌐 www.santuariodeaires.pt")</f>
        <v>🌐 www.santuariodeaires.pt</v>
      </c>
      <c r="I114" s="215" t="s">
        <v>2133</v>
      </c>
    </row>
    <row r="115" spans="1:9" ht="110" customHeight="1" x14ac:dyDescent="0.35">
      <c r="A115" s="345">
        <v>3</v>
      </c>
      <c r="B115" s="202" t="s">
        <v>2134</v>
      </c>
      <c r="C115" s="203" t="s">
        <v>2135</v>
      </c>
      <c r="D115" s="204" t="s">
        <v>2136</v>
      </c>
      <c r="E115" s="216" t="s">
        <v>1392</v>
      </c>
      <c r="F115" s="206" t="s">
        <v>2137</v>
      </c>
      <c r="G115" s="130" t="str">
        <f>HYPERLINK("https://www.google.com/maps/search/Festa%20de%20Nossa%20Senhora%20do%20Carmo%20Moura%20Portugal/@38.138,-7.4528,17z","🎉 Festa de Nossa Senhora do C…")</f>
        <v>🎉 Festa de Nossa Senhora do C…</v>
      </c>
      <c r="H115" s="207"/>
      <c r="I115" s="208" t="s">
        <v>2135</v>
      </c>
    </row>
    <row r="116" spans="1:9" ht="110" customHeight="1" x14ac:dyDescent="0.35">
      <c r="A116" s="361">
        <v>4</v>
      </c>
      <c r="B116" s="209" t="s">
        <v>2138</v>
      </c>
      <c r="C116" s="210" t="s">
        <v>2139</v>
      </c>
      <c r="D116" s="204" t="s">
        <v>2140</v>
      </c>
      <c r="E116" s="211" t="s">
        <v>1728</v>
      </c>
      <c r="F116" s="212" t="s">
        <v>2141</v>
      </c>
      <c r="G116" s="213" t="str">
        <f>HYPERLINK("https://www.google.com/maps/search/Festas%20do%20Povo%20Campo%20Maior%20Portugal/@39.021,-7.0671,17z","🎉 Festas do Povo")</f>
        <v>🎉 Festas do Povo</v>
      </c>
      <c r="H116" s="217"/>
      <c r="I116" s="215" t="s">
        <v>2139</v>
      </c>
    </row>
    <row r="117" spans="1:9" ht="110" customHeight="1" x14ac:dyDescent="0.35">
      <c r="A117" s="345">
        <v>5</v>
      </c>
      <c r="B117" s="202" t="s">
        <v>2142</v>
      </c>
      <c r="C117" s="203" t="s">
        <v>2143</v>
      </c>
      <c r="D117" s="204" t="s">
        <v>2144</v>
      </c>
      <c r="E117" s="205" t="s">
        <v>1728</v>
      </c>
      <c r="F117" s="206" t="s">
        <v>2145</v>
      </c>
      <c r="G117" s="130" t="str">
        <f>HYPERLINK("https://www.google.com/maps/search/Festival%20Sudoeste%20Odemira%20Portugal/@37.5244,-8.7876,17z","🎉 Festival Sudoeste")</f>
        <v>🎉 Festival Sudoeste</v>
      </c>
      <c r="H117" s="207"/>
      <c r="I117" s="208" t="s">
        <v>2146</v>
      </c>
    </row>
    <row r="118" spans="1:9" ht="110" customHeight="1" x14ac:dyDescent="0.35">
      <c r="A118" s="361">
        <v>6</v>
      </c>
      <c r="B118" s="209" t="s">
        <v>2147</v>
      </c>
      <c r="C118" s="210" t="s">
        <v>2126</v>
      </c>
      <c r="D118" s="204" t="s">
        <v>2148</v>
      </c>
      <c r="E118" s="211" t="s">
        <v>1728</v>
      </c>
      <c r="F118" s="212" t="s">
        <v>2149</v>
      </c>
      <c r="G118" s="213" t="str">
        <f>HYPERLINK("https://www.google.com/maps/search/Festa%20de%20Pias%20Serpa%20Portugal/@37.9437,-7.5981,17z","🎉 Festa de Pias")</f>
        <v>🎉 Festa de Pias</v>
      </c>
      <c r="H118" s="217"/>
      <c r="I118" s="215" t="s">
        <v>2126</v>
      </c>
    </row>
    <row r="119" spans="1:9" ht="110" customHeight="1" x14ac:dyDescent="0.35">
      <c r="A119" s="345">
        <v>7</v>
      </c>
      <c r="B119" s="202" t="s">
        <v>1226</v>
      </c>
      <c r="C119" s="203" t="s">
        <v>1227</v>
      </c>
      <c r="D119" s="204" t="s">
        <v>2150</v>
      </c>
      <c r="E119" s="205" t="s">
        <v>1728</v>
      </c>
      <c r="F119" s="206" t="s">
        <v>2151</v>
      </c>
      <c r="G119" s="130" t="str">
        <f>HYPERLINK("https://www.google.com/maps/search/Feira%20de%20Castro%20Castro%20Verde%20Portugal/@37.699,-8.0821,17z","🎉 Feira de Castro")</f>
        <v>🎉 Feira de Castro</v>
      </c>
      <c r="H119" s="207"/>
      <c r="I119" s="208" t="s">
        <v>1227</v>
      </c>
    </row>
    <row r="120" spans="1:9" ht="110" customHeight="1" x14ac:dyDescent="0.35">
      <c r="A120" s="361">
        <v>8</v>
      </c>
      <c r="B120" s="209" t="s">
        <v>2152</v>
      </c>
      <c r="C120" s="210" t="s">
        <v>1233</v>
      </c>
      <c r="D120" s="204" t="s">
        <v>2153</v>
      </c>
      <c r="E120" s="218" t="s">
        <v>1392</v>
      </c>
      <c r="F120" s="212" t="s">
        <v>2154</v>
      </c>
      <c r="G120" s="213" t="str">
        <f>HYPERLINK("https://www.google.com/maps/search/Festa%20de%20S%C3%A3o%20Sisenando%20Beja%20Portugal/@38.0155,-7.8637,17z","🎉 Festa de São Sisenando")</f>
        <v>🎉 Festa de São Sisenando</v>
      </c>
      <c r="H120" s="217"/>
      <c r="I120" s="215" t="s">
        <v>1233</v>
      </c>
    </row>
    <row r="121" spans="1:9" ht="110" customHeight="1" x14ac:dyDescent="0.35">
      <c r="A121" s="345">
        <v>9</v>
      </c>
      <c r="B121" s="202" t="s">
        <v>2155</v>
      </c>
      <c r="C121" s="203" t="s">
        <v>2126</v>
      </c>
      <c r="D121" s="204" t="s">
        <v>2156</v>
      </c>
      <c r="E121" s="216" t="s">
        <v>1392</v>
      </c>
      <c r="F121" s="206" t="s">
        <v>2157</v>
      </c>
      <c r="G121" s="130" t="str">
        <f>HYPERLINK("https://www.google.com/maps/search/Festa%20de%20Nossa%20Senhora%20de%20Guadalupe%20Serpa%20Portugal/@37.9437,-7.5981,17z","🎉 Festa de Nossa Senhora de G…")</f>
        <v>🎉 Festa de Nossa Senhora de G…</v>
      </c>
      <c r="H121" s="207"/>
      <c r="I121" s="208" t="s">
        <v>2126</v>
      </c>
    </row>
    <row r="122" spans="1:9" ht="110" customHeight="1" x14ac:dyDescent="0.35">
      <c r="A122" s="361">
        <v>10</v>
      </c>
      <c r="B122" s="209" t="s">
        <v>2158</v>
      </c>
      <c r="C122" s="210" t="s">
        <v>2159</v>
      </c>
      <c r="D122" s="204" t="s">
        <v>2160</v>
      </c>
      <c r="E122" s="218" t="s">
        <v>1392</v>
      </c>
      <c r="F122" s="212" t="s">
        <v>2161</v>
      </c>
      <c r="G122" s="213" t="str">
        <f>HYPERLINK("https://www.google.com/maps/search/Romaria%20de%20Nossa%20Senhora%20da%20Boa%20Nova%20Alandroal%20Portugal/@38.7054,-7.4029,17z","🎉 Romaria de Nossa Senhora da…")</f>
        <v>🎉 Romaria de Nossa Senhora da…</v>
      </c>
      <c r="H122" s="217"/>
      <c r="I122" s="215" t="s">
        <v>2159</v>
      </c>
    </row>
    <row r="123" spans="1:9" ht="24" customHeight="1" x14ac:dyDescent="0.35">
      <c r="A123" s="1423" t="s">
        <v>2162</v>
      </c>
      <c r="B123" s="1313"/>
      <c r="C123" s="1313"/>
      <c r="D123" s="1313"/>
      <c r="E123" s="1313"/>
      <c r="F123" s="1313"/>
      <c r="G123" s="1313"/>
      <c r="H123" s="1313"/>
      <c r="I123" s="1313"/>
    </row>
    <row r="124" spans="1:9" ht="110" customHeight="1" x14ac:dyDescent="0.35">
      <c r="A124" s="347">
        <v>1</v>
      </c>
      <c r="B124" s="219" t="s">
        <v>2163</v>
      </c>
      <c r="C124" s="220" t="s">
        <v>2164</v>
      </c>
      <c r="D124" s="221" t="s">
        <v>2165</v>
      </c>
      <c r="E124" s="222" t="s">
        <v>1392</v>
      </c>
      <c r="F124" s="223" t="s">
        <v>2166</v>
      </c>
      <c r="G124" s="224" t="str">
        <f>HYPERLINK("https://www.google.com/maps/search/Feira%20dos%20Enchidos%20Tradicionais%20Monchique%20Portugal/@37.3194,-8.5583,17z","🎉 Feira dos Enchidos Tradicio…")</f>
        <v>🎉 Feira dos Enchidos Tradicio…</v>
      </c>
      <c r="H124" s="225"/>
      <c r="I124" s="226" t="s">
        <v>2164</v>
      </c>
    </row>
    <row r="125" spans="1:9" ht="110" customHeight="1" x14ac:dyDescent="0.35">
      <c r="A125" s="353">
        <v>2</v>
      </c>
      <c r="B125" s="227" t="s">
        <v>2167</v>
      </c>
      <c r="C125" s="228" t="s">
        <v>2168</v>
      </c>
      <c r="D125" s="221" t="s">
        <v>2169</v>
      </c>
      <c r="E125" s="229" t="s">
        <v>1728</v>
      </c>
      <c r="F125" s="230" t="s">
        <v>2170</v>
      </c>
      <c r="G125" s="231" t="str">
        <f>HYPERLINK("https://www.google.com/maps/search/Festa%20das%20Tochas%20Floridas%20S%C3%A3o%20Br%C3%A1s%20de%20Alportel%20Portugal/@37.1533,-7.8873,17z","🎉 Festa das Tochas Floridas")</f>
        <v>🎉 Festa das Tochas Floridas</v>
      </c>
      <c r="H125" s="232" t="str">
        <f>HYPERLINK("https://www.festadastochas.pt","🌐 www.festadastochas.pt")</f>
        <v>🌐 www.festadastochas.pt</v>
      </c>
      <c r="I125" s="233" t="s">
        <v>2168</v>
      </c>
    </row>
    <row r="126" spans="1:9" ht="110" customHeight="1" x14ac:dyDescent="0.35">
      <c r="A126" s="347">
        <v>3</v>
      </c>
      <c r="B126" s="219" t="s">
        <v>2171</v>
      </c>
      <c r="C126" s="220" t="s">
        <v>2172</v>
      </c>
      <c r="D126" s="221" t="s">
        <v>2173</v>
      </c>
      <c r="E126" s="234" t="s">
        <v>1728</v>
      </c>
      <c r="F126" s="223" t="s">
        <v>2174</v>
      </c>
      <c r="G126" s="224" t="str">
        <f>HYPERLINK("https://www.google.com/maps/search/Festa%20da%20M%C3%A3e%20Soberana%20Loul%C3%A9%20Portugal/@37.1393,-8.0235,17z","🎉 Festa da Mãe Soberana")</f>
        <v>🎉 Festa da Mãe Soberana</v>
      </c>
      <c r="H126" s="235" t="str">
        <f>HYPERLINK("https://www.cm-loule.pt","🌐 www.cm-loule.pt")</f>
        <v>🌐 www.cm-loule.pt</v>
      </c>
      <c r="I126" s="226" t="s">
        <v>2175</v>
      </c>
    </row>
    <row r="127" spans="1:9" ht="110" customHeight="1" x14ac:dyDescent="0.35">
      <c r="A127" s="353">
        <v>4</v>
      </c>
      <c r="B127" s="227" t="s">
        <v>2176</v>
      </c>
      <c r="C127" s="228" t="s">
        <v>2172</v>
      </c>
      <c r="D127" s="221" t="s">
        <v>2177</v>
      </c>
      <c r="E127" s="236" t="s">
        <v>1392</v>
      </c>
      <c r="F127" s="230" t="s">
        <v>2178</v>
      </c>
      <c r="G127" s="231" t="str">
        <f>HYPERLINK("https://www.google.com/maps/search/Festa%20do%201%C2%BA%20de%20Maio%20Loul%C3%A9%20Portugal/@37.1393,-8.0235,17z","🎉 Festa do 1º de Maio")</f>
        <v>🎉 Festa do 1º de Maio</v>
      </c>
      <c r="H127" s="237"/>
      <c r="I127" s="233" t="s">
        <v>2172</v>
      </c>
    </row>
    <row r="128" spans="1:9" ht="110" customHeight="1" x14ac:dyDescent="0.35">
      <c r="A128" s="347">
        <v>5</v>
      </c>
      <c r="B128" s="219" t="s">
        <v>2179</v>
      </c>
      <c r="C128" s="220" t="s">
        <v>2180</v>
      </c>
      <c r="D128" s="221" t="s">
        <v>2181</v>
      </c>
      <c r="E128" s="222" t="s">
        <v>1392</v>
      </c>
      <c r="F128" s="223" t="s">
        <v>2182</v>
      </c>
      <c r="G128" s="224" t="str">
        <f>HYPERLINK("https://www.google.com/maps/search/Festival%20da%20Caldeirada%20e%20do%20Mar%20Silves%20Portugal/@37.1019,-8.3602,17z","🎉 Festival da Caldeirada e do…")</f>
        <v>🎉 Festival da Caldeirada e do…</v>
      </c>
      <c r="H128" s="225"/>
      <c r="I128" s="226" t="s">
        <v>2180</v>
      </c>
    </row>
    <row r="129" spans="1:9" ht="110" customHeight="1" x14ac:dyDescent="0.35">
      <c r="A129" s="353">
        <v>6</v>
      </c>
      <c r="B129" s="227" t="s">
        <v>2183</v>
      </c>
      <c r="C129" s="228" t="s">
        <v>2180</v>
      </c>
      <c r="D129" s="221" t="s">
        <v>2144</v>
      </c>
      <c r="E129" s="229" t="s">
        <v>1728</v>
      </c>
      <c r="F129" s="230" t="s">
        <v>2184</v>
      </c>
      <c r="G129" s="231" t="str">
        <f>HYPERLINK("https://www.google.com/maps/search/Feira%20Medieval%20de%20Silves%20Portugal/@37.1898,-8.4395,17z","🎉 Feira Medieval de Silves")</f>
        <v>🎉 Feira Medieval de Silves</v>
      </c>
      <c r="H129" s="232" t="str">
        <f>HYPERLINK("https://www.feiramedievalsilves.pt","🌐 www.feiramedievalsilves.pt")</f>
        <v>🌐 www.feiramedievalsilves.pt</v>
      </c>
      <c r="I129" s="233" t="s">
        <v>2180</v>
      </c>
    </row>
    <row r="130" spans="1:9" ht="110" customHeight="1" x14ac:dyDescent="0.35">
      <c r="A130" s="347">
        <v>7</v>
      </c>
      <c r="B130" s="219" t="s">
        <v>2185</v>
      </c>
      <c r="C130" s="220" t="s">
        <v>2186</v>
      </c>
      <c r="D130" s="221" t="s">
        <v>2187</v>
      </c>
      <c r="E130" s="222" t="s">
        <v>1392</v>
      </c>
      <c r="F130" s="223" t="s">
        <v>2188</v>
      </c>
      <c r="G130" s="224" t="str">
        <f>HYPERLINK("https://www.google.com/maps/search/Festa%20de%20Nossa%20Senhora%20da%20Orada%20Albufeira%20Portugal/@37.089,-8.2503,17z","🎉 Festa de Nossa Senhora da O…")</f>
        <v>🎉 Festa de Nossa Senhora da O…</v>
      </c>
      <c r="H130" s="225"/>
      <c r="I130" s="226" t="s">
        <v>2186</v>
      </c>
    </row>
    <row r="131" spans="1:9" ht="110" customHeight="1" x14ac:dyDescent="0.35">
      <c r="A131" s="353">
        <v>8</v>
      </c>
      <c r="B131" s="227" t="s">
        <v>2189</v>
      </c>
      <c r="C131" s="228" t="s">
        <v>2190</v>
      </c>
      <c r="D131" s="221" t="s">
        <v>2191</v>
      </c>
      <c r="E131" s="236" t="s">
        <v>1392</v>
      </c>
      <c r="F131" s="230" t="s">
        <v>2192</v>
      </c>
      <c r="G131" s="231" t="str">
        <f>HYPERLINK("https://www.google.com/maps/search/Festa%20de%20Nossa%20Senhora%20da%20Concei%C3%A7%C3%A3o%20Lagoa%20Portugal/@37.134,-8.4583,17z","🎉 Festa de Nossa Senhora da C…")</f>
        <v>🎉 Festa de Nossa Senhora da C…</v>
      </c>
      <c r="H131" s="237"/>
      <c r="I131" s="233" t="s">
        <v>2190</v>
      </c>
    </row>
    <row r="132" spans="1:9" ht="110" customHeight="1" x14ac:dyDescent="0.35">
      <c r="A132" s="347">
        <v>9</v>
      </c>
      <c r="B132" s="219" t="s">
        <v>2193</v>
      </c>
      <c r="C132" s="220" t="s">
        <v>2194</v>
      </c>
      <c r="D132" s="221" t="s">
        <v>2195</v>
      </c>
      <c r="E132" s="222" t="s">
        <v>1392</v>
      </c>
      <c r="F132" s="223" t="s">
        <v>2196</v>
      </c>
      <c r="G132" s="224" t="str">
        <f>HYPERLINK("https://www.google.com/maps/search/Festa%20de%20Nossa%20Senhora%20d%27Alva%20Aljezur%20Portugal/@37.32,-8.7973,17z","🎉 Festa de Nossa Senhora d'Alva")</f>
        <v>🎉 Festa de Nossa Senhora d'Alva</v>
      </c>
      <c r="H132" s="225"/>
      <c r="I132" s="226" t="s">
        <v>2194</v>
      </c>
    </row>
    <row r="133" spans="1:9" ht="110" customHeight="1" x14ac:dyDescent="0.35">
      <c r="A133" s="353">
        <v>10</v>
      </c>
      <c r="B133" s="227" t="s">
        <v>2197</v>
      </c>
      <c r="C133" s="228" t="s">
        <v>2190</v>
      </c>
      <c r="D133" s="221" t="s">
        <v>2198</v>
      </c>
      <c r="E133" s="236" t="s">
        <v>1392</v>
      </c>
      <c r="F133" s="230" t="s">
        <v>2199</v>
      </c>
      <c r="G133" s="231" t="str">
        <f>HYPERLINK("https://www.google.com/maps/search/Festa%20de%20Nossa%20Senhora%20da%20Luz%20Lagoa%20Portugal/@37.134,-8.4583,17z","🎉 Festa de Nossa Senhora da Luz")</f>
        <v>🎉 Festa de Nossa Senhora da Luz</v>
      </c>
      <c r="H133" s="237"/>
      <c r="I133" s="233" t="s">
        <v>2190</v>
      </c>
    </row>
    <row r="134" spans="1:9" ht="110" customHeight="1" x14ac:dyDescent="0.35">
      <c r="A134" s="347">
        <v>11</v>
      </c>
      <c r="B134" s="219" t="s">
        <v>2200</v>
      </c>
      <c r="C134" s="220" t="s">
        <v>2201</v>
      </c>
      <c r="D134" s="221" t="s">
        <v>2202</v>
      </c>
      <c r="E134" s="222" t="s">
        <v>1392</v>
      </c>
      <c r="F134" s="223" t="s">
        <v>2203</v>
      </c>
      <c r="G134" s="224" t="str">
        <f>HYPERLINK("https://www.google.com/maps/search/Festa%20de%20S%C3%A3o%20Gon%C3%A7alo%20de%20Lagos%20Portugal/@37.1021,-8.6741,17z","🎉 Festa de São Gonçalo de Lagos")</f>
        <v>🎉 Festa de São Gonçalo de Lagos</v>
      </c>
      <c r="H134" s="225"/>
      <c r="I134" s="226" t="s">
        <v>2201</v>
      </c>
    </row>
    <row r="135" spans="1:9" ht="110" customHeight="1" x14ac:dyDescent="0.35">
      <c r="A135" s="353">
        <v>12</v>
      </c>
      <c r="B135" s="227" t="s">
        <v>2204</v>
      </c>
      <c r="C135" s="228" t="s">
        <v>2205</v>
      </c>
      <c r="D135" s="221" t="s">
        <v>2206</v>
      </c>
      <c r="E135" s="236" t="s">
        <v>1392</v>
      </c>
      <c r="F135" s="230" t="s">
        <v>2207</v>
      </c>
      <c r="G135" s="231" t="str">
        <f>HYPERLINK("https://www.google.com/maps/search/Feira%20de%20S%C3%A3o%20Martinho%20Portim%C3%A3o%20Portugal/@37.136,-8.5376,17z","🎉 Feira de São Martinho")</f>
        <v>🎉 Feira de São Martinho</v>
      </c>
      <c r="H135" s="237"/>
      <c r="I135" s="233" t="s">
        <v>2205</v>
      </c>
    </row>
    <row r="136" spans="1:9" ht="110" customHeight="1" x14ac:dyDescent="0.35">
      <c r="A136" s="347">
        <v>13</v>
      </c>
      <c r="B136" s="219" t="s">
        <v>2208</v>
      </c>
      <c r="C136" s="220" t="s">
        <v>2194</v>
      </c>
      <c r="D136" s="221" t="s">
        <v>2209</v>
      </c>
      <c r="E136" s="234" t="s">
        <v>1728</v>
      </c>
      <c r="F136" s="223" t="s">
        <v>2210</v>
      </c>
      <c r="G136" s="224" t="str">
        <f>HYPERLINK("https://www.google.com/maps/search/Festival%20da%20Batata-Doce%20de%20Aljezur%20Portugal/@37.32,-8.7973,17z","🎉 Festival da Batata-Doce de …")</f>
        <v>🎉 Festival da Batata-Doce de …</v>
      </c>
      <c r="H136" s="235" t="str">
        <f>HYPERLINK("https://www.festivalalgarvio.com","🌐 www.festivalalgarvio.com")</f>
        <v>🌐 www.festivalalgarvio.com</v>
      </c>
      <c r="I136" s="226" t="s">
        <v>2194</v>
      </c>
    </row>
    <row r="137" spans="1:9" ht="110" customHeight="1" x14ac:dyDescent="0.35">
      <c r="A137" s="353">
        <v>14</v>
      </c>
      <c r="B137" s="227" t="s">
        <v>2189</v>
      </c>
      <c r="C137" s="228" t="s">
        <v>2172</v>
      </c>
      <c r="D137" s="221" t="s">
        <v>2211</v>
      </c>
      <c r="E137" s="236" t="s">
        <v>1392</v>
      </c>
      <c r="F137" s="230" t="s">
        <v>2212</v>
      </c>
      <c r="G137" s="231" t="str">
        <f>HYPERLINK("https://www.google.com/maps/search/Festa%20de%20Nossa%20Senhora%20da%20Concei%C3%A7%C3%A3o%20Lagoa%20Portugal/@37.134,-8.4583,17z","🎉 Festa de Nossa Senhora da C…")</f>
        <v>🎉 Festa de Nossa Senhora da C…</v>
      </c>
      <c r="H137" s="237"/>
      <c r="I137" s="233" t="s">
        <v>2172</v>
      </c>
    </row>
    <row r="138" spans="1:9" ht="110" customHeight="1" x14ac:dyDescent="0.35">
      <c r="A138" s="347">
        <v>15</v>
      </c>
      <c r="B138" s="219" t="s">
        <v>2213</v>
      </c>
      <c r="C138" s="220" t="s">
        <v>2172</v>
      </c>
      <c r="D138" s="221" t="s">
        <v>2214</v>
      </c>
      <c r="E138" s="222" t="s">
        <v>1392</v>
      </c>
      <c r="F138" s="223" t="s">
        <v>2215</v>
      </c>
      <c r="G138" s="224" t="str">
        <f>HYPERLINK("https://www.google.com/maps/search/Festa%20da%20Espiga%20Loul%C3%A9%20Portugal/@37.1393,-8.0235,17z","🎉 Festa da Espiga")</f>
        <v>🎉 Festa da Espiga</v>
      </c>
      <c r="H138" s="225"/>
      <c r="I138" s="226" t="s">
        <v>2172</v>
      </c>
    </row>
    <row r="140" spans="1:9" x14ac:dyDescent="0.35">
      <c r="A140" s="1353" t="s">
        <v>2216</v>
      </c>
      <c r="B140" s="1354"/>
      <c r="C140" s="1354"/>
      <c r="D140" s="1354"/>
      <c r="E140" s="1354"/>
      <c r="F140" s="1354"/>
      <c r="G140" s="1354"/>
      <c r="H140" s="1354"/>
      <c r="I140" s="1354"/>
    </row>
    <row r="142" spans="1:9" ht="22" customHeight="1" x14ac:dyDescent="0.35">
      <c r="A142" s="1370" t="s">
        <v>2217</v>
      </c>
      <c r="B142" s="1313"/>
      <c r="C142" s="1313"/>
      <c r="D142" s="1313"/>
      <c r="E142" s="1313"/>
      <c r="F142" s="1313"/>
      <c r="G142" s="1313"/>
      <c r="H142" s="1313"/>
      <c r="I142" s="1313"/>
    </row>
    <row r="143" spans="1:9" ht="110" customHeight="1" x14ac:dyDescent="0.35">
      <c r="A143" s="350">
        <v>1</v>
      </c>
      <c r="B143" s="251" t="s">
        <v>2218</v>
      </c>
      <c r="C143" s="251" t="s">
        <v>2219</v>
      </c>
      <c r="D143" s="251" t="s">
        <v>2220</v>
      </c>
      <c r="E143" s="251" t="s">
        <v>1728</v>
      </c>
      <c r="F143" s="253" t="s">
        <v>2221</v>
      </c>
      <c r="G143" s="291" t="str">
        <f>HYPERLINK("https://www.google.com/maps/search/Festa%20da%20Flor%20Funchal/@32.6502,-16.9094,16z","📍 Festa da Flor Funchal")</f>
        <v>📍 Festa da Flor Funchal</v>
      </c>
      <c r="H143" s="251" t="s">
        <v>2222</v>
      </c>
      <c r="I143" s="251" t="s">
        <v>2223</v>
      </c>
    </row>
    <row r="144" spans="1:9" ht="110" customHeight="1" x14ac:dyDescent="0.35">
      <c r="A144" s="356">
        <v>2</v>
      </c>
      <c r="B144" s="254" t="s">
        <v>2224</v>
      </c>
      <c r="C144" s="254" t="s">
        <v>2219</v>
      </c>
      <c r="D144" s="254" t="s">
        <v>1124</v>
      </c>
      <c r="E144" s="254" t="s">
        <v>1728</v>
      </c>
      <c r="F144" s="256" t="s">
        <v>2225</v>
      </c>
      <c r="G144" s="366" t="str">
        <f>HYPERLINK("https://www.google.com/maps/search/Carnaval%20Funchal/@32.6502,-16.9094,16z","📍 Carnaval Funchal")</f>
        <v>📍 Carnaval Funchal</v>
      </c>
      <c r="H144" s="254"/>
      <c r="I144" s="254" t="s">
        <v>2226</v>
      </c>
    </row>
    <row r="145" spans="1:9" ht="110" customHeight="1" x14ac:dyDescent="0.35">
      <c r="A145" s="350">
        <v>3</v>
      </c>
      <c r="B145" s="251" t="s">
        <v>2227</v>
      </c>
      <c r="C145" s="251" t="s">
        <v>2228</v>
      </c>
      <c r="D145" s="251" t="s">
        <v>992</v>
      </c>
      <c r="E145" s="251" t="s">
        <v>1728</v>
      </c>
      <c r="F145" s="253" t="s">
        <v>2229</v>
      </c>
      <c r="G145" s="291" t="str">
        <f>HYPERLINK("https://www.google.com/maps/search/Vindima%20C%C3%A2mara%20de%20Lobos/@32.7961,-17.0451,16z","📍 Vindima Câmara de Lobos")</f>
        <v>📍 Vindima Câmara de Lobos</v>
      </c>
      <c r="H145" s="251"/>
      <c r="I145" s="251" t="s">
        <v>2228</v>
      </c>
    </row>
    <row r="146" spans="1:9" ht="110" customHeight="1" x14ac:dyDescent="0.35">
      <c r="A146" s="356">
        <v>4</v>
      </c>
      <c r="B146" s="254" t="s">
        <v>2230</v>
      </c>
      <c r="C146" s="254" t="s">
        <v>2219</v>
      </c>
      <c r="D146" s="254" t="s">
        <v>2191</v>
      </c>
      <c r="E146" s="254" t="s">
        <v>1392</v>
      </c>
      <c r="F146" s="256" t="s">
        <v>2231</v>
      </c>
      <c r="G146" s="366" t="str">
        <f>HYPERLINK("https://www.google.com/maps/search/Igreja%20do%20Monte%20Funchal/@32.6667,-16.8983,16z","📍 Igreja do Monte Funchal")</f>
        <v>📍 Igreja do Monte Funchal</v>
      </c>
      <c r="H146" s="254"/>
      <c r="I146" s="254" t="s">
        <v>2232</v>
      </c>
    </row>
    <row r="147" spans="1:9" ht="110" customHeight="1" x14ac:dyDescent="0.35">
      <c r="A147" s="350">
        <v>5</v>
      </c>
      <c r="B147" s="251" t="s">
        <v>2233</v>
      </c>
      <c r="C147" s="251" t="s">
        <v>2234</v>
      </c>
      <c r="D147" s="251" t="s">
        <v>2235</v>
      </c>
      <c r="E147" s="251" t="s">
        <v>1336</v>
      </c>
      <c r="F147" s="253" t="s">
        <v>2236</v>
      </c>
      <c r="G147" s="291" t="str">
        <f>HYPERLINK("https://www.google.com/maps/search/Ribeira%20Brava%20Madeira/@32.6783,-17.0619,16z","📍 Ribeira Brava Madeira")</f>
        <v>📍 Ribeira Brava Madeira</v>
      </c>
      <c r="H147" s="251"/>
      <c r="I147" s="251" t="s">
        <v>2234</v>
      </c>
    </row>
    <row r="149" spans="1:9" ht="22" customHeight="1" x14ac:dyDescent="0.35">
      <c r="A149" s="1369" t="s">
        <v>2237</v>
      </c>
      <c r="B149" s="1313"/>
      <c r="C149" s="1313"/>
      <c r="D149" s="1313"/>
      <c r="E149" s="1313"/>
      <c r="F149" s="1313"/>
      <c r="G149" s="1313"/>
      <c r="H149" s="1313"/>
      <c r="I149" s="1313"/>
    </row>
    <row r="150" spans="1:9" ht="110" customHeight="1" x14ac:dyDescent="0.35">
      <c r="A150" s="344">
        <v>1</v>
      </c>
      <c r="B150" s="281" t="s">
        <v>2238</v>
      </c>
      <c r="C150" s="281" t="s">
        <v>2239</v>
      </c>
      <c r="D150" s="281" t="s">
        <v>2240</v>
      </c>
      <c r="E150" s="281" t="s">
        <v>1728</v>
      </c>
      <c r="F150" s="283" t="s">
        <v>2241</v>
      </c>
      <c r="G150" s="290" t="str">
        <f>HYPERLINK("https://www.google.com/maps/search/Imperio%20Espirito%20Santo%20A%C3%A7ores/@37.7412,-25.6756,16z","📍 Imperio Espirito Santo Açores")</f>
        <v>📍 Imperio Espirito Santo Açores</v>
      </c>
      <c r="H150" s="281"/>
      <c r="I150" s="281" t="s">
        <v>2242</v>
      </c>
    </row>
    <row r="151" spans="1:9" ht="110" customHeight="1" x14ac:dyDescent="0.35">
      <c r="A151" s="342">
        <v>2</v>
      </c>
      <c r="B151" s="284" t="s">
        <v>2243</v>
      </c>
      <c r="C151" s="284" t="s">
        <v>1065</v>
      </c>
      <c r="D151" s="284" t="s">
        <v>2244</v>
      </c>
      <c r="E151" s="284" t="s">
        <v>1728</v>
      </c>
      <c r="F151" s="285" t="s">
        <v>2245</v>
      </c>
      <c r="G151" s="364" t="str">
        <f>HYPERLINK("https://www.google.com/maps/search/Sanjoaninas%20Angra%20Hero%C3%ADsmo/@38.6583,-27.2172,16z","📍 Sanjoaninas Angra Heroísmo")</f>
        <v>📍 Sanjoaninas Angra Heroísmo</v>
      </c>
      <c r="H151" s="284" t="s">
        <v>2246</v>
      </c>
      <c r="I151" s="284" t="s">
        <v>2247</v>
      </c>
    </row>
    <row r="152" spans="1:9" ht="110" customHeight="1" x14ac:dyDescent="0.35">
      <c r="A152" s="344">
        <v>3</v>
      </c>
      <c r="B152" s="281" t="s">
        <v>2248</v>
      </c>
      <c r="C152" s="281" t="s">
        <v>1065</v>
      </c>
      <c r="D152" s="281" t="s">
        <v>2249</v>
      </c>
      <c r="E152" s="281" t="s">
        <v>1728</v>
      </c>
      <c r="F152" s="283" t="s">
        <v>2250</v>
      </c>
      <c r="G152" s="290" t="str">
        <f>HYPERLINK("https://www.google.com/maps/search/Touradas%20Corda%20Terceira/@38.6583,-27.2172,16z","📍 Touradas Corda Terceira")</f>
        <v>📍 Touradas Corda Terceira</v>
      </c>
      <c r="H152" s="281"/>
      <c r="I152" s="281" t="s">
        <v>2247</v>
      </c>
    </row>
    <row r="153" spans="1:9" ht="110" customHeight="1" x14ac:dyDescent="0.35">
      <c r="A153" s="342">
        <v>4</v>
      </c>
      <c r="B153" s="284" t="s">
        <v>2251</v>
      </c>
      <c r="C153" s="284" t="s">
        <v>2252</v>
      </c>
      <c r="D153" s="284" t="s">
        <v>958</v>
      </c>
      <c r="E153" s="284" t="s">
        <v>1392</v>
      </c>
      <c r="F153" s="285" t="s">
        <v>2253</v>
      </c>
      <c r="G153" s="364" t="str">
        <f>HYPERLINK("https://www.google.com/maps/search/Madalena%20Pico%20A%C3%A7ores/@38.5244,-28.4094,16z","📍 Madalena Pico Açores")</f>
        <v>📍 Madalena Pico Açores</v>
      </c>
      <c r="H153" s="284"/>
      <c r="I153" s="284" t="s">
        <v>2252</v>
      </c>
    </row>
    <row r="154" spans="1:9" ht="110" customHeight="1" x14ac:dyDescent="0.35">
      <c r="A154" s="344">
        <v>5</v>
      </c>
      <c r="B154" s="281" t="s">
        <v>2254</v>
      </c>
      <c r="C154" s="281" t="s">
        <v>2255</v>
      </c>
      <c r="D154" s="281" t="s">
        <v>923</v>
      </c>
      <c r="E154" s="281" t="s">
        <v>1336</v>
      </c>
      <c r="F154" s="283" t="s">
        <v>2256</v>
      </c>
      <c r="G154" s="290" t="str">
        <f>HYPERLINK("https://www.google.com/maps/search/Ribeira%20Grande%20S%C3%A3o%20Miguel/@37.8381,-25.5206,16z","📍 Ribeira Grande São Miguel")</f>
        <v>📍 Ribeira Grande São Miguel</v>
      </c>
      <c r="H154" s="281"/>
      <c r="I154" s="281" t="s">
        <v>2255</v>
      </c>
    </row>
  </sheetData>
  <mergeCells count="10">
    <mergeCell ref="A1:I1"/>
    <mergeCell ref="A149:I149"/>
    <mergeCell ref="A140:I140"/>
    <mergeCell ref="A4:I4"/>
    <mergeCell ref="A112:I112"/>
    <mergeCell ref="A142:I142"/>
    <mergeCell ref="A2:I2"/>
    <mergeCell ref="A107:I107"/>
    <mergeCell ref="A85:I85"/>
    <mergeCell ref="A123:I12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35"/>
  <sheetViews>
    <sheetView topLeftCell="J1" workbookViewId="0">
      <pane ySplit="3" topLeftCell="A35" activePane="bottomLeft" state="frozen"/>
      <selection activeCell="B1" sqref="B1"/>
      <selection pane="bottomLeft" activeCell="K59" sqref="K59"/>
    </sheetView>
  </sheetViews>
  <sheetFormatPr defaultRowHeight="14.5" x14ac:dyDescent="0.35"/>
  <cols>
    <col min="1" max="1" width="6.36328125" customWidth="1"/>
    <col min="2" max="2" width="55.453125" customWidth="1"/>
    <col min="3" max="3" width="18.1796875" customWidth="1"/>
    <col min="4" max="6" width="13.08984375" customWidth="1"/>
    <col min="7" max="7" width="14.54296875" customWidth="1"/>
    <col min="8" max="8" width="13.08984375" customWidth="1"/>
    <col min="9" max="9" width="15.453125" customWidth="1"/>
    <col min="10" max="10" width="236.7265625" bestFit="1" customWidth="1"/>
    <col min="11" max="11" width="54.81640625" customWidth="1"/>
    <col min="12" max="12" width="34.54296875" customWidth="1"/>
  </cols>
  <sheetData>
    <row r="1" spans="1:12" ht="28" customHeight="1" x14ac:dyDescent="0.35">
      <c r="A1" s="1437" t="s">
        <v>20873</v>
      </c>
      <c r="B1" s="1313"/>
      <c r="C1" s="1313"/>
      <c r="D1" s="1313"/>
      <c r="E1" s="1313"/>
      <c r="F1" s="1313"/>
      <c r="G1" s="1313"/>
      <c r="H1" s="1313"/>
      <c r="I1" s="1313"/>
      <c r="J1" s="1313"/>
      <c r="K1" s="1313"/>
      <c r="L1" s="1313"/>
    </row>
    <row r="2" spans="1:12" ht="20" customHeight="1" x14ac:dyDescent="0.35">
      <c r="A2" s="1424" t="s">
        <v>2257</v>
      </c>
      <c r="B2" s="1313"/>
      <c r="C2" s="1313"/>
      <c r="D2" s="1313"/>
      <c r="E2" s="1313"/>
      <c r="F2" s="1313"/>
      <c r="G2" s="1313"/>
      <c r="H2" s="1313"/>
      <c r="I2" s="1313"/>
      <c r="J2" s="1313"/>
      <c r="K2" s="1313"/>
      <c r="L2" s="1313"/>
    </row>
    <row r="3" spans="1:12" ht="16.5" x14ac:dyDescent="0.35">
      <c r="A3" s="713" t="s">
        <v>141</v>
      </c>
      <c r="B3" s="713" t="s">
        <v>2258</v>
      </c>
      <c r="C3" s="713" t="s">
        <v>2259</v>
      </c>
      <c r="D3" s="713" t="s">
        <v>2260</v>
      </c>
      <c r="E3" s="713" t="s">
        <v>2261</v>
      </c>
      <c r="F3" s="713" t="s">
        <v>2262</v>
      </c>
      <c r="G3" s="713" t="s">
        <v>620</v>
      </c>
      <c r="H3" s="713" t="s">
        <v>2263</v>
      </c>
      <c r="I3" s="713" t="s">
        <v>2264</v>
      </c>
      <c r="J3" s="713"/>
      <c r="K3" s="713" t="s">
        <v>20066</v>
      </c>
      <c r="L3" s="713" t="s">
        <v>2265</v>
      </c>
    </row>
    <row r="4" spans="1:12" ht="20" customHeight="1" x14ac:dyDescent="0.35">
      <c r="A4" s="1473" t="s">
        <v>20872</v>
      </c>
      <c r="B4" s="1474"/>
      <c r="C4" s="1474"/>
      <c r="D4" s="1474"/>
      <c r="E4" s="1474"/>
      <c r="F4" s="1474"/>
      <c r="G4" s="1474"/>
      <c r="H4" s="1474"/>
      <c r="I4" s="1474"/>
      <c r="J4" s="1474"/>
      <c r="K4" s="1474"/>
      <c r="L4" s="1474"/>
    </row>
    <row r="5" spans="1:12" ht="15" customHeight="1" x14ac:dyDescent="0.35">
      <c r="A5" s="957">
        <v>1</v>
      </c>
      <c r="B5" s="949" t="s">
        <v>2266</v>
      </c>
      <c r="C5" s="950" t="s">
        <v>1332</v>
      </c>
      <c r="D5" s="951" t="s">
        <v>2267</v>
      </c>
      <c r="E5" s="952" t="s">
        <v>2268</v>
      </c>
      <c r="F5" s="953" t="s">
        <v>2269</v>
      </c>
      <c r="G5" s="952" t="s">
        <v>2270</v>
      </c>
      <c r="H5" s="954" t="s">
        <v>2271</v>
      </c>
      <c r="I5" s="955" t="s">
        <v>2272</v>
      </c>
      <c r="J5" s="956" t="s">
        <v>20067</v>
      </c>
      <c r="K5" s="743" t="str">
        <f>HYPERLINK("https://www.google.com/maps/search/GR50+Grande+Rota+Peneda+Geres/@41.7665,-8.1853,14z","🥾 GR50 — Grande Rota Peneda-Gerês")</f>
        <v>🥾 GR50 — Grande Rota Peneda-Gerês</v>
      </c>
      <c r="L5" s="958" t="s">
        <v>2273</v>
      </c>
    </row>
    <row r="6" spans="1:12" ht="15" customHeight="1" x14ac:dyDescent="0.35">
      <c r="A6" s="967">
        <v>2</v>
      </c>
      <c r="B6" s="959" t="s">
        <v>2274</v>
      </c>
      <c r="C6" s="960" t="s">
        <v>1332</v>
      </c>
      <c r="D6" s="961" t="s">
        <v>2275</v>
      </c>
      <c r="E6" s="962" t="s">
        <v>2276</v>
      </c>
      <c r="F6" s="963" t="s">
        <v>2277</v>
      </c>
      <c r="G6" s="962" t="s">
        <v>2278</v>
      </c>
      <c r="H6" s="964" t="s">
        <v>2279</v>
      </c>
      <c r="I6" s="965" t="s">
        <v>2280</v>
      </c>
      <c r="J6" s="966" t="s">
        <v>20068</v>
      </c>
      <c r="K6" s="744" t="str">
        <f>HYPERLINK("https://www.google.com/maps/search/PR1+Trilho+Cidade+Calcedonia+Geres/@41.7012,-8.172,14z","🥾 PR1 TBR — Trilho da Cidade da Calcedónia")</f>
        <v>🥾 PR1 TBR — Trilho da Cidade da Calcedónia</v>
      </c>
      <c r="L6" s="968" t="s">
        <v>2281</v>
      </c>
    </row>
    <row r="7" spans="1:12" ht="15" customHeight="1" x14ac:dyDescent="0.35">
      <c r="A7" s="957">
        <v>3</v>
      </c>
      <c r="B7" s="949" t="s">
        <v>2282</v>
      </c>
      <c r="C7" s="950" t="s">
        <v>792</v>
      </c>
      <c r="D7" s="951" t="s">
        <v>2283</v>
      </c>
      <c r="E7" s="952" t="s">
        <v>2284</v>
      </c>
      <c r="F7" s="969" t="s">
        <v>2285</v>
      </c>
      <c r="G7" s="952" t="s">
        <v>2278</v>
      </c>
      <c r="H7" s="954" t="s">
        <v>2286</v>
      </c>
      <c r="I7" s="955" t="s">
        <v>2287</v>
      </c>
      <c r="J7" s="956" t="s">
        <v>20069</v>
      </c>
      <c r="K7" s="743" t="str">
        <f>HYPERLINK("https://www.google.com/maps/search/PR2+Trilho+do+Castelo+Geres/@41.7198,-8.1631,14z","🥾 PR2 TBR — Trilho do Castelo")</f>
        <v>🥾 PR2 TBR — Trilho do Castelo</v>
      </c>
      <c r="L7" s="958" t="s">
        <v>2288</v>
      </c>
    </row>
    <row r="8" spans="1:12" ht="15" customHeight="1" x14ac:dyDescent="0.35">
      <c r="A8" s="967">
        <v>4</v>
      </c>
      <c r="B8" s="959" t="s">
        <v>2289</v>
      </c>
      <c r="C8" s="960" t="s">
        <v>1332</v>
      </c>
      <c r="D8" s="961" t="s">
        <v>2290</v>
      </c>
      <c r="E8" s="962" t="s">
        <v>2291</v>
      </c>
      <c r="F8" s="970" t="s">
        <v>2292</v>
      </c>
      <c r="G8" s="962" t="s">
        <v>2278</v>
      </c>
      <c r="H8" s="964" t="s">
        <v>2293</v>
      </c>
      <c r="I8" s="965" t="s">
        <v>2294</v>
      </c>
      <c r="J8" s="966" t="s">
        <v>20070</v>
      </c>
      <c r="K8" s="744" t="str">
        <f>HYPERLINK("https://www.google.com/maps/search/PR3+Trilho+dos+Currais+Geres/@41.722,-8.165,14z","🥾 PR3 TBR — Trilho dos Currais")</f>
        <v>🥾 PR3 TBR — Trilho dos Currais</v>
      </c>
      <c r="L8" s="968" t="s">
        <v>2288</v>
      </c>
    </row>
    <row r="9" spans="1:12" ht="15" customHeight="1" x14ac:dyDescent="0.35">
      <c r="A9" s="957">
        <v>5</v>
      </c>
      <c r="B9" s="949" t="s">
        <v>2295</v>
      </c>
      <c r="C9" s="950" t="s">
        <v>1332</v>
      </c>
      <c r="D9" s="951" t="s">
        <v>2296</v>
      </c>
      <c r="E9" s="952" t="s">
        <v>2284</v>
      </c>
      <c r="F9" s="971" t="s">
        <v>2297</v>
      </c>
      <c r="G9" s="952" t="s">
        <v>2278</v>
      </c>
      <c r="H9" s="954" t="s">
        <v>2298</v>
      </c>
      <c r="I9" s="955" t="s">
        <v>2299</v>
      </c>
      <c r="J9" s="956" t="s">
        <v>20071</v>
      </c>
      <c r="K9" s="743" t="str">
        <f>HYPERLINK("https://www.google.com/maps/search/PR4+Trilho+Moinhos+Regadios+Geres/@41.7665,-8.1853,14z","🥾 PR4 TBR — Trilho dos Moinhos e Regadios Tradicionais")</f>
        <v>🥾 PR4 TBR — Trilho dos Moinhos e Regadios Tradicionais</v>
      </c>
      <c r="L9" s="958" t="s">
        <v>2300</v>
      </c>
    </row>
    <row r="10" spans="1:12" ht="15" customHeight="1" x14ac:dyDescent="0.35">
      <c r="A10" s="967">
        <v>6</v>
      </c>
      <c r="B10" s="959" t="s">
        <v>2301</v>
      </c>
      <c r="C10" s="960" t="s">
        <v>1332</v>
      </c>
      <c r="D10" s="961" t="s">
        <v>2302</v>
      </c>
      <c r="E10" s="962" t="s">
        <v>2284</v>
      </c>
      <c r="F10" s="970" t="s">
        <v>2303</v>
      </c>
      <c r="G10" s="962" t="s">
        <v>2270</v>
      </c>
      <c r="H10" s="964" t="s">
        <v>2304</v>
      </c>
      <c r="I10" s="965" t="s">
        <v>2305</v>
      </c>
      <c r="J10" s="966" t="s">
        <v>20072</v>
      </c>
      <c r="K10" s="744" t="str">
        <f>HYPERLINK("https://www.google.com/maps/search/PR5+Trilho+Aguia+Sarilhao+Geres/@41.735,-8.158,14z","🥾 PR5 TBR — Trilho da Águia do Sarilhão")</f>
        <v>🥾 PR5 TBR — Trilho da Águia do Sarilhão</v>
      </c>
      <c r="L10" s="968" t="s">
        <v>2306</v>
      </c>
    </row>
    <row r="11" spans="1:12" ht="15" customHeight="1" x14ac:dyDescent="0.35">
      <c r="A11" s="957">
        <v>7</v>
      </c>
      <c r="B11" s="949" t="s">
        <v>2307</v>
      </c>
      <c r="C11" s="950" t="s">
        <v>1332</v>
      </c>
      <c r="D11" s="951" t="s">
        <v>2290</v>
      </c>
      <c r="E11" s="952" t="s">
        <v>2308</v>
      </c>
      <c r="F11" s="972" t="s">
        <v>2292</v>
      </c>
      <c r="G11" s="952" t="s">
        <v>2278</v>
      </c>
      <c r="H11" s="954" t="s">
        <v>2309</v>
      </c>
      <c r="I11" s="955" t="s">
        <v>2280</v>
      </c>
      <c r="J11" s="956" t="s">
        <v>20073</v>
      </c>
      <c r="K11" s="743" t="str">
        <f>HYPERLINK("https://www.google.com/maps/search/PR6+Trilho+Miradouros+Geres/@41.7198,-8.1631,14z","🥾 PR6 TBR — Trilho dos Miradouros")</f>
        <v>🥾 PR6 TBR — Trilho dos Miradouros</v>
      </c>
      <c r="L11" s="958" t="s">
        <v>2288</v>
      </c>
    </row>
    <row r="12" spans="1:12" ht="15" customHeight="1" x14ac:dyDescent="0.35">
      <c r="A12" s="967">
        <v>8</v>
      </c>
      <c r="B12" s="959" t="s">
        <v>2310</v>
      </c>
      <c r="C12" s="960" t="s">
        <v>792</v>
      </c>
      <c r="D12" s="961" t="s">
        <v>2311</v>
      </c>
      <c r="E12" s="962" t="s">
        <v>2291</v>
      </c>
      <c r="F12" s="973" t="s">
        <v>2285</v>
      </c>
      <c r="G12" s="962" t="s">
        <v>2278</v>
      </c>
      <c r="H12" s="964" t="s">
        <v>2312</v>
      </c>
      <c r="I12" s="965" t="s">
        <v>2287</v>
      </c>
      <c r="J12" s="966" t="s">
        <v>20074</v>
      </c>
      <c r="K12" s="744" t="str">
        <f>HYPERLINK("https://www.google.com/maps/search/PR7+Trilho+Sao+Bento+Geres/@41.6847,-8.162,14z","🥾 PR7 TBR — Trilho de São Bento")</f>
        <v>🥾 PR7 TBR — Trilho de São Bento</v>
      </c>
      <c r="L12" s="968" t="s">
        <v>2313</v>
      </c>
    </row>
    <row r="13" spans="1:12" ht="15" customHeight="1" x14ac:dyDescent="0.35">
      <c r="A13" s="957">
        <v>9</v>
      </c>
      <c r="B13" s="949" t="s">
        <v>2314</v>
      </c>
      <c r="C13" s="950" t="s">
        <v>1332</v>
      </c>
      <c r="D13" s="951" t="s">
        <v>2315</v>
      </c>
      <c r="E13" s="952" t="s">
        <v>2276</v>
      </c>
      <c r="F13" s="969" t="s">
        <v>2285</v>
      </c>
      <c r="G13" s="952" t="s">
        <v>2278</v>
      </c>
      <c r="H13" s="954" t="s">
        <v>2286</v>
      </c>
      <c r="I13" s="955" t="s">
        <v>2280</v>
      </c>
      <c r="J13" s="956" t="s">
        <v>20075</v>
      </c>
      <c r="K13" s="743" t="str">
        <f>HYPERLINK("https://www.google.com/maps/search/PR8+Trilho+Couto+Souto+Geres/@41.705,-8.17,14z","🥾 PR8 TBR — Trilho do Couto de Souto")</f>
        <v>🥾 PR8 TBR — Trilho do Couto de Souto</v>
      </c>
      <c r="L13" s="958" t="s">
        <v>2316</v>
      </c>
    </row>
    <row r="14" spans="1:12" ht="15" customHeight="1" x14ac:dyDescent="0.35">
      <c r="A14" s="967">
        <v>10</v>
      </c>
      <c r="B14" s="959" t="s">
        <v>2317</v>
      </c>
      <c r="C14" s="960" t="s">
        <v>1332</v>
      </c>
      <c r="D14" s="961" t="s">
        <v>2318</v>
      </c>
      <c r="E14" s="962" t="s">
        <v>2308</v>
      </c>
      <c r="F14" s="973" t="s">
        <v>2285</v>
      </c>
      <c r="G14" s="962" t="s">
        <v>2270</v>
      </c>
      <c r="H14" s="964" t="s">
        <v>2319</v>
      </c>
      <c r="I14" s="965" t="s">
        <v>2287</v>
      </c>
      <c r="J14" s="966" t="s">
        <v>20076</v>
      </c>
      <c r="K14" s="744" t="str">
        <f>HYPERLINK("https://www.google.com/maps/search/PR9+Trilho+Geira+Via+Romana+XVII+Geres/@41.7665,-8.1853,14z","🥾 PR9 TBR — Trilho da Geira (Via Romana XVII)")</f>
        <v>🥾 PR9 TBR — Trilho da Geira (Via Romana XVII)</v>
      </c>
      <c r="L14" s="968" t="s">
        <v>2320</v>
      </c>
    </row>
    <row r="15" spans="1:12" ht="15" customHeight="1" x14ac:dyDescent="0.35">
      <c r="A15" s="957">
        <v>11</v>
      </c>
      <c r="B15" s="949" t="s">
        <v>2321</v>
      </c>
      <c r="C15" s="950" t="s">
        <v>1332</v>
      </c>
      <c r="D15" s="951" t="s">
        <v>2322</v>
      </c>
      <c r="E15" s="952" t="s">
        <v>2284</v>
      </c>
      <c r="F15" s="969" t="s">
        <v>2285</v>
      </c>
      <c r="G15" s="952" t="s">
        <v>2278</v>
      </c>
      <c r="H15" s="954" t="s">
        <v>2323</v>
      </c>
      <c r="I15" s="955" t="s">
        <v>2299</v>
      </c>
      <c r="J15" s="956" t="s">
        <v>20077</v>
      </c>
      <c r="K15" s="743" t="str">
        <f>HYPERLINK("https://www.google.com/maps/search/PR10+Trilho+da+Preguica+Geres/@41.731,-8.16,14z","🥾 PR10 TBR — Trilho da Preguiça")</f>
        <v>🥾 PR10 TBR — Trilho da Preguiça</v>
      </c>
      <c r="L15" s="958" t="s">
        <v>2324</v>
      </c>
    </row>
    <row r="16" spans="1:12" ht="15" customHeight="1" x14ac:dyDescent="0.35">
      <c r="A16" s="967">
        <v>12</v>
      </c>
      <c r="B16" s="959" t="s">
        <v>2325</v>
      </c>
      <c r="C16" s="960" t="s">
        <v>1332</v>
      </c>
      <c r="D16" s="961" t="s">
        <v>2326</v>
      </c>
      <c r="E16" s="962" t="s">
        <v>2284</v>
      </c>
      <c r="F16" s="973" t="s">
        <v>2285</v>
      </c>
      <c r="G16" s="962" t="s">
        <v>2278</v>
      </c>
      <c r="H16" s="964" t="s">
        <v>2327</v>
      </c>
      <c r="I16" s="965" t="s">
        <v>2328</v>
      </c>
      <c r="J16" s="966" t="s">
        <v>20078</v>
      </c>
      <c r="K16" s="744" t="str">
        <f>HYPERLINK("https://www.google.com/maps/search/PR11+Trilho+Silhas+Ursos+Geres/@41.728,-8.165,14z","🥾 PR11 TBR — Trilho das Silhas dos Ursos")</f>
        <v>🥾 PR11 TBR — Trilho das Silhas dos Ursos</v>
      </c>
      <c r="L16" s="968" t="s">
        <v>2324</v>
      </c>
    </row>
    <row r="17" spans="1:12" ht="15" customHeight="1" x14ac:dyDescent="0.35">
      <c r="A17" s="957">
        <v>13</v>
      </c>
      <c r="B17" s="949" t="s">
        <v>2329</v>
      </c>
      <c r="C17" s="950" t="s">
        <v>792</v>
      </c>
      <c r="D17" s="951" t="s">
        <v>2283</v>
      </c>
      <c r="E17" s="952" t="s">
        <v>2330</v>
      </c>
      <c r="F17" s="971" t="s">
        <v>2297</v>
      </c>
      <c r="G17" s="952" t="s">
        <v>2278</v>
      </c>
      <c r="H17" s="954" t="s">
        <v>2331</v>
      </c>
      <c r="I17" s="955" t="s">
        <v>2332</v>
      </c>
      <c r="J17" s="956" t="s">
        <v>20079</v>
      </c>
      <c r="K17" s="743" t="str">
        <f>HYPERLINK("https://www.google.com/maps/search/PR12+Trilho+Moinhos+Santa+Isabel+Geres/@41.698,-8.152,14z","🥾 PR12 TBR — Trilho dos Moinhos de Sta. Isabel do Monte")</f>
        <v>🥾 PR12 TBR — Trilho dos Moinhos de Sta. Isabel do Monte</v>
      </c>
      <c r="L17" s="958" t="s">
        <v>2333</v>
      </c>
    </row>
    <row r="18" spans="1:12" ht="15" customHeight="1" x14ac:dyDescent="0.35">
      <c r="A18" s="967">
        <v>14</v>
      </c>
      <c r="B18" s="959" t="s">
        <v>2334</v>
      </c>
      <c r="C18" s="960" t="s">
        <v>792</v>
      </c>
      <c r="D18" s="961" t="s">
        <v>2335</v>
      </c>
      <c r="E18" s="962" t="s">
        <v>2308</v>
      </c>
      <c r="F18" s="973" t="s">
        <v>2285</v>
      </c>
      <c r="G18" s="962" t="s">
        <v>2278</v>
      </c>
      <c r="H18" s="964" t="s">
        <v>2336</v>
      </c>
      <c r="I18" s="965" t="s">
        <v>2299</v>
      </c>
      <c r="J18" s="966" t="s">
        <v>20080</v>
      </c>
      <c r="K18" s="744" t="str">
        <f>HYPERLINK("https://www.google.com/maps/search/PR13+Trilho+Albufeira+Canicada+Geres/@41.675,-8.163,14z","🥾 PR13 TBR — Trilho da Albufeira da Caniçada")</f>
        <v>🥾 PR13 TBR — Trilho da Albufeira da Caniçada</v>
      </c>
      <c r="L18" s="968" t="s">
        <v>2333</v>
      </c>
    </row>
    <row r="19" spans="1:12" ht="15" customHeight="1" x14ac:dyDescent="0.35">
      <c r="A19" s="957">
        <v>15</v>
      </c>
      <c r="B19" s="949" t="s">
        <v>2337</v>
      </c>
      <c r="C19" s="950" t="s">
        <v>1332</v>
      </c>
      <c r="D19" s="951" t="s">
        <v>2338</v>
      </c>
      <c r="E19" s="952" t="s">
        <v>2308</v>
      </c>
      <c r="F19" s="969" t="s">
        <v>2285</v>
      </c>
      <c r="G19" s="952" t="s">
        <v>2278</v>
      </c>
      <c r="H19" s="954" t="s">
        <v>2319</v>
      </c>
      <c r="I19" s="955" t="s">
        <v>2305</v>
      </c>
      <c r="J19" s="956" t="s">
        <v>20081</v>
      </c>
      <c r="K19" s="743" t="str">
        <f>HYPERLINK("https://www.google.com/maps/search/PR14+Trilho+Sobreiral+Ermida+Geres/@41.742,-8.172,14z","🥾 PR14 TBR — Trilho do Sobreiral da Ermida do Gerês")</f>
        <v>🥾 PR14 TBR — Trilho do Sobreiral da Ermida do Gerês</v>
      </c>
      <c r="L19" s="958" t="s">
        <v>2324</v>
      </c>
    </row>
    <row r="20" spans="1:12" ht="15" customHeight="1" x14ac:dyDescent="0.35">
      <c r="A20" s="967">
        <v>16</v>
      </c>
      <c r="B20" s="959" t="s">
        <v>2339</v>
      </c>
      <c r="C20" s="960" t="s">
        <v>1332</v>
      </c>
      <c r="D20" s="961" t="s">
        <v>2340</v>
      </c>
      <c r="E20" s="962" t="s">
        <v>2341</v>
      </c>
      <c r="F20" s="963" t="s">
        <v>2277</v>
      </c>
      <c r="G20" s="962" t="s">
        <v>2278</v>
      </c>
      <c r="H20" s="964" t="s">
        <v>2342</v>
      </c>
      <c r="I20" s="965" t="s">
        <v>2343</v>
      </c>
      <c r="J20" s="966" t="s">
        <v>20082</v>
      </c>
      <c r="K20" s="744" t="str">
        <f>HYPERLINK("https://www.google.com/maps/search/PR1+Trilho+Pertinho+Ceu+Lindoso/@41.88,-8.358,14z","🥾 PR1 AVV — Trilho Pertinho do Céu")</f>
        <v>🥾 PR1 AVV — Trilho Pertinho do Céu</v>
      </c>
      <c r="L20" s="968" t="s">
        <v>2324</v>
      </c>
    </row>
    <row r="21" spans="1:12" ht="15" customHeight="1" x14ac:dyDescent="0.35">
      <c r="A21" s="957">
        <v>17</v>
      </c>
      <c r="B21" s="949" t="s">
        <v>2344</v>
      </c>
      <c r="C21" s="950" t="s">
        <v>1332</v>
      </c>
      <c r="D21" s="951" t="s">
        <v>2345</v>
      </c>
      <c r="E21" s="952" t="s">
        <v>2308</v>
      </c>
      <c r="F21" s="969" t="s">
        <v>2285</v>
      </c>
      <c r="G21" s="952" t="s">
        <v>2278</v>
      </c>
      <c r="H21" s="954" t="s">
        <v>2346</v>
      </c>
      <c r="I21" s="955" t="s">
        <v>2305</v>
      </c>
      <c r="J21" s="956" t="s">
        <v>20083</v>
      </c>
      <c r="K21" s="743" t="str">
        <f>HYPERLINK("https://www.google.com/maps/search/PR4+Trilho+Brandas+Sistelo/@41.875,-8.41,14z","🥾 PR4 AVV — Trilho das Brandas do Sistelo")</f>
        <v>🥾 PR4 AVV — Trilho das Brandas do Sistelo</v>
      </c>
      <c r="L21" s="958" t="s">
        <v>2324</v>
      </c>
    </row>
    <row r="22" spans="1:12" ht="15" customHeight="1" x14ac:dyDescent="0.35">
      <c r="A22" s="967">
        <v>18</v>
      </c>
      <c r="B22" s="959" t="s">
        <v>2347</v>
      </c>
      <c r="C22" s="960" t="s">
        <v>1332</v>
      </c>
      <c r="D22" s="961" t="s">
        <v>2311</v>
      </c>
      <c r="E22" s="962" t="s">
        <v>2308</v>
      </c>
      <c r="F22" s="973" t="s">
        <v>2285</v>
      </c>
      <c r="G22" s="962" t="s">
        <v>2278</v>
      </c>
      <c r="H22" s="964" t="s">
        <v>2348</v>
      </c>
      <c r="I22" s="965" t="s">
        <v>2280</v>
      </c>
      <c r="J22" s="966" t="s">
        <v>20084</v>
      </c>
      <c r="K22" s="744" t="str">
        <f>HYPERLINK("https://www.google.com/maps/search/PR5+Trilho+da+Peneda+Santuario/@41.975,-8.223,14z","🥾 PR5 AVV — Trilho da Peneda")</f>
        <v>🥾 PR5 AVV — Trilho da Peneda</v>
      </c>
      <c r="L22" s="968" t="s">
        <v>2324</v>
      </c>
    </row>
    <row r="23" spans="1:12" ht="15" customHeight="1" x14ac:dyDescent="0.35">
      <c r="A23" s="957">
        <v>19</v>
      </c>
      <c r="B23" s="949" t="s">
        <v>2349</v>
      </c>
      <c r="C23" s="950" t="s">
        <v>792</v>
      </c>
      <c r="D23" s="951" t="s">
        <v>2350</v>
      </c>
      <c r="E23" s="952" t="s">
        <v>2341</v>
      </c>
      <c r="F23" s="953" t="s">
        <v>2277</v>
      </c>
      <c r="G23" s="952" t="s">
        <v>2278</v>
      </c>
      <c r="H23" s="954" t="s">
        <v>2293</v>
      </c>
      <c r="I23" s="955" t="s">
        <v>2343</v>
      </c>
      <c r="J23" s="956" t="s">
        <v>20085</v>
      </c>
      <c r="K23" s="743" t="str">
        <f>HYPERLINK("https://www.google.com/maps/search/PR8+Trilho+Urzal+Ciclo+Pao+Barroso/@41.885,-8.39,14z","🥾 PR8 AVV — Trilho do Urzal — Ciclo do Pão")</f>
        <v>🥾 PR8 AVV — Trilho do Urzal — Ciclo do Pão</v>
      </c>
      <c r="L23" s="958" t="s">
        <v>2333</v>
      </c>
    </row>
    <row r="24" spans="1:12" ht="15" customHeight="1" x14ac:dyDescent="0.35">
      <c r="A24" s="967">
        <v>20</v>
      </c>
      <c r="B24" s="959" t="s">
        <v>2351</v>
      </c>
      <c r="C24" s="960" t="s">
        <v>1332</v>
      </c>
      <c r="D24" s="961" t="s">
        <v>2290</v>
      </c>
      <c r="E24" s="962" t="s">
        <v>2291</v>
      </c>
      <c r="F24" s="973" t="s">
        <v>2285</v>
      </c>
      <c r="G24" s="962" t="s">
        <v>2278</v>
      </c>
      <c r="H24" s="964" t="s">
        <v>2352</v>
      </c>
      <c r="I24" s="965" t="s">
        <v>2353</v>
      </c>
      <c r="J24" s="966" t="s">
        <v>20086</v>
      </c>
      <c r="K24" s="744" t="str">
        <f>HYPERLINK("https://www.google.com/maps/search/PR1+Trilho+Megalitismo+Castro+Laboreiro/@41.995,-8.2,14z","🥾 PR1 MLG — Trilho do Megalitismo do Planalto")</f>
        <v>🥾 PR1 MLG — Trilho do Megalitismo do Planalto</v>
      </c>
      <c r="L24" s="968" t="s">
        <v>2324</v>
      </c>
    </row>
    <row r="25" spans="1:12" ht="15" customHeight="1" x14ac:dyDescent="0.35">
      <c r="A25" s="957">
        <v>21</v>
      </c>
      <c r="B25" s="949" t="s">
        <v>2354</v>
      </c>
      <c r="C25" s="950" t="s">
        <v>792</v>
      </c>
      <c r="D25" s="951" t="s">
        <v>2296</v>
      </c>
      <c r="E25" s="952" t="s">
        <v>2284</v>
      </c>
      <c r="F25" s="971" t="s">
        <v>2297</v>
      </c>
      <c r="G25" s="952" t="s">
        <v>2278</v>
      </c>
      <c r="H25" s="954" t="s">
        <v>2355</v>
      </c>
      <c r="I25" s="955" t="s">
        <v>2356</v>
      </c>
      <c r="J25" s="956" t="s">
        <v>20087</v>
      </c>
      <c r="K25" s="743" t="str">
        <f>HYPERLINK("https://www.google.com/maps/search/PR5+Trilho+Interpretativo+Castro+Laboreiro/@41.998,-8.199,14z","🥾 PR5 MLG — Trilho Interpretativo de Castro Laboreiro")</f>
        <v>🥾 PR5 MLG — Trilho Interpretativo de Castro Laboreiro</v>
      </c>
      <c r="L25" s="958" t="s">
        <v>2333</v>
      </c>
    </row>
    <row r="26" spans="1:12" ht="15" customHeight="1" x14ac:dyDescent="0.35">
      <c r="A26" s="967">
        <v>22</v>
      </c>
      <c r="B26" s="959" t="s">
        <v>2357</v>
      </c>
      <c r="C26" s="960" t="s">
        <v>792</v>
      </c>
      <c r="D26" s="961" t="s">
        <v>2296</v>
      </c>
      <c r="E26" s="962" t="s">
        <v>2284</v>
      </c>
      <c r="F26" s="974" t="s">
        <v>2297</v>
      </c>
      <c r="G26" s="962" t="s">
        <v>2278</v>
      </c>
      <c r="H26" s="964" t="s">
        <v>2358</v>
      </c>
      <c r="I26" s="965" t="s">
        <v>2332</v>
      </c>
      <c r="J26" s="966" t="s">
        <v>20088</v>
      </c>
      <c r="K26" s="744" t="str">
        <f>HYPERLINK("https://www.google.com/maps/search/PR1+Trilho+Moinhos+Parada+Ponte+de+Lima/@41.79,-8.4,14z","🥾 PR1 PTB — Trilho dos Moinhos de Parada")</f>
        <v>🥾 PR1 PTB — Trilho dos Moinhos de Parada</v>
      </c>
      <c r="L26" s="968" t="s">
        <v>2333</v>
      </c>
    </row>
    <row r="27" spans="1:12" ht="15" customHeight="1" x14ac:dyDescent="0.35">
      <c r="A27" s="957">
        <v>23</v>
      </c>
      <c r="B27" s="949" t="s">
        <v>2359</v>
      </c>
      <c r="C27" s="950" t="s">
        <v>1332</v>
      </c>
      <c r="D27" s="951" t="s">
        <v>2296</v>
      </c>
      <c r="E27" s="952" t="s">
        <v>2284</v>
      </c>
      <c r="F27" s="971" t="s">
        <v>2297</v>
      </c>
      <c r="G27" s="952" t="s">
        <v>2278</v>
      </c>
      <c r="H27" s="954" t="s">
        <v>2360</v>
      </c>
      <c r="I27" s="955" t="s">
        <v>2361</v>
      </c>
      <c r="J27" s="956" t="s">
        <v>20089</v>
      </c>
      <c r="K27" s="743" t="str">
        <f>HYPERLINK("https://www.google.com/maps/search/PR1+Trilho+Leiranco+Montalegre/@41.825,-7.82,14z","🥾 PR1 MTR — Trilho do Leiranco (Montalegre-PNPG)")</f>
        <v>🥾 PR1 MTR — Trilho do Leiranco (Montalegre-PNPG)</v>
      </c>
      <c r="L27" s="958" t="s">
        <v>2324</v>
      </c>
    </row>
    <row r="28" spans="1:12" ht="15" customHeight="1" x14ac:dyDescent="0.35">
      <c r="A28" s="967">
        <v>24</v>
      </c>
      <c r="B28" s="959" t="s">
        <v>2362</v>
      </c>
      <c r="C28" s="960" t="s">
        <v>1669</v>
      </c>
      <c r="D28" s="961" t="s">
        <v>2311</v>
      </c>
      <c r="E28" s="962" t="s">
        <v>2308</v>
      </c>
      <c r="F28" s="973" t="s">
        <v>2285</v>
      </c>
      <c r="G28" s="962" t="s">
        <v>2270</v>
      </c>
      <c r="H28" s="964" t="s">
        <v>2363</v>
      </c>
      <c r="I28" s="965" t="s">
        <v>2328</v>
      </c>
      <c r="J28" s="966" t="s">
        <v>20090</v>
      </c>
      <c r="K28" s="744" t="str">
        <f>HYPERLINK("https://www.google.com/maps/search/PR6+Rota+Contrabando+Montesinho/@41.87,-6.85,14z","🥾 PR6 MTR — Rota do Contrabando")</f>
        <v>🥾 PR6 MTR — Rota do Contrabando</v>
      </c>
      <c r="L28" s="968" t="s">
        <v>2333</v>
      </c>
    </row>
    <row r="29" spans="1:12" ht="15" customHeight="1" x14ac:dyDescent="0.35">
      <c r="A29" s="957">
        <v>25</v>
      </c>
      <c r="B29" s="949" t="s">
        <v>2364</v>
      </c>
      <c r="C29" s="950" t="s">
        <v>2365</v>
      </c>
      <c r="D29" s="951" t="s">
        <v>2275</v>
      </c>
      <c r="E29" s="952" t="s">
        <v>2284</v>
      </c>
      <c r="F29" s="971" t="s">
        <v>2297</v>
      </c>
      <c r="G29" s="952" t="s">
        <v>2278</v>
      </c>
      <c r="H29" s="954" t="s">
        <v>2366</v>
      </c>
      <c r="I29" s="955" t="s">
        <v>2287</v>
      </c>
      <c r="J29" s="956" t="s">
        <v>20091</v>
      </c>
      <c r="K29" s="743" t="str">
        <f>HYPERLINK("https://www.google.com/maps/search/Castro+de+Avelaes+Braganca/@41.798,-6.795,14z","🥾 PP1 BGC — Castro de Avelãs")</f>
        <v>🥾 PP1 BGC — Castro de Avelãs</v>
      </c>
      <c r="L29" s="958" t="s">
        <v>2367</v>
      </c>
    </row>
    <row r="30" spans="1:12" ht="15" customHeight="1" x14ac:dyDescent="0.35">
      <c r="A30" s="967">
        <v>26</v>
      </c>
      <c r="B30" s="959" t="s">
        <v>2368</v>
      </c>
      <c r="C30" s="960" t="s">
        <v>1669</v>
      </c>
      <c r="D30" s="961" t="s">
        <v>2302</v>
      </c>
      <c r="E30" s="962" t="s">
        <v>2369</v>
      </c>
      <c r="F30" s="974" t="s">
        <v>2297</v>
      </c>
      <c r="G30" s="962" t="s">
        <v>2278</v>
      </c>
      <c r="H30" s="964" t="s">
        <v>2370</v>
      </c>
      <c r="I30" s="965" t="s">
        <v>2280</v>
      </c>
      <c r="J30" s="966" t="s">
        <v>20092</v>
      </c>
      <c r="K30" s="744" t="str">
        <f>HYPERLINK("https://www.google.com/maps/search/Aldeia+Viduedo+Montesinho/@41.885,-6.77,14z","🥾 PP2 BGC — Viduedo")</f>
        <v>🥾 PP2 BGC — Viduedo</v>
      </c>
      <c r="L30" s="968" t="s">
        <v>2333</v>
      </c>
    </row>
    <row r="31" spans="1:12" ht="15" customHeight="1" x14ac:dyDescent="0.35">
      <c r="A31" s="957">
        <v>27</v>
      </c>
      <c r="B31" s="949" t="s">
        <v>2371</v>
      </c>
      <c r="C31" s="950" t="s">
        <v>792</v>
      </c>
      <c r="D31" s="951" t="s">
        <v>2290</v>
      </c>
      <c r="E31" s="952" t="s">
        <v>2291</v>
      </c>
      <c r="F31" s="971" t="s">
        <v>2297</v>
      </c>
      <c r="G31" s="952" t="s">
        <v>2278</v>
      </c>
      <c r="H31" s="954" t="s">
        <v>2319</v>
      </c>
      <c r="I31" s="955" t="s">
        <v>2299</v>
      </c>
      <c r="J31" s="956" t="s">
        <v>20093</v>
      </c>
      <c r="K31" s="743" t="str">
        <f>HYPERLINK("https://www.google.com/maps/search/Rio+de+Onor+Aldeia+Bilingue+Braganca/@41.89,-6.605,14z","🥾 PP3 BGC — Rio de Onor — Aldeia Bilingue")</f>
        <v>🥾 PP3 BGC — Rio de Onor — Aldeia Bilingue</v>
      </c>
      <c r="L31" s="958" t="s">
        <v>2333</v>
      </c>
    </row>
    <row r="32" spans="1:12" ht="15" customHeight="1" x14ac:dyDescent="0.35">
      <c r="A32" s="967">
        <v>28</v>
      </c>
      <c r="B32" s="959" t="s">
        <v>2372</v>
      </c>
      <c r="C32" s="960" t="s">
        <v>1669</v>
      </c>
      <c r="D32" s="961" t="s">
        <v>2335</v>
      </c>
      <c r="E32" s="962" t="s">
        <v>2308</v>
      </c>
      <c r="F32" s="973" t="s">
        <v>2285</v>
      </c>
      <c r="G32" s="962" t="s">
        <v>2278</v>
      </c>
      <c r="H32" s="964" t="s">
        <v>2355</v>
      </c>
      <c r="I32" s="965" t="s">
        <v>2373</v>
      </c>
      <c r="J32" s="966" t="s">
        <v>20094</v>
      </c>
      <c r="K32" s="744" t="str">
        <f>HYPERLINK("https://www.google.com/maps/search/Guadramil+Aldeia+Montesinho+Braganca/@41.91,-6.65,14z","🥾 PP7 BGC — Na Rota dos Cervídeos — Guadramil")</f>
        <v>🥾 PP7 BGC — Na Rota dos Cervídeos — Guadramil</v>
      </c>
      <c r="L32" s="968" t="s">
        <v>2333</v>
      </c>
    </row>
    <row r="33" spans="1:12" ht="15" customHeight="1" x14ac:dyDescent="0.35">
      <c r="A33" s="957">
        <v>29</v>
      </c>
      <c r="B33" s="949" t="s">
        <v>2374</v>
      </c>
      <c r="C33" s="950" t="s">
        <v>1669</v>
      </c>
      <c r="D33" s="951" t="s">
        <v>2311</v>
      </c>
      <c r="E33" s="952" t="s">
        <v>2276</v>
      </c>
      <c r="F33" s="969" t="s">
        <v>2285</v>
      </c>
      <c r="G33" s="952" t="s">
        <v>2278</v>
      </c>
      <c r="H33" s="954" t="s">
        <v>2355</v>
      </c>
      <c r="I33" s="955" t="s">
        <v>2328</v>
      </c>
      <c r="J33" s="956" t="s">
        <v>20095</v>
      </c>
      <c r="K33" s="743" t="str">
        <f>HYPERLINK("https://www.google.com/maps/search/Montesinho+Aldeia+Serra+Braganca/@41.935,-6.8,14z","🥾 PP11 BGC — Montesinho — Aldeia da Serra")</f>
        <v>🥾 PP11 BGC — Montesinho — Aldeia da Serra</v>
      </c>
      <c r="L33" s="958" t="s">
        <v>2333</v>
      </c>
    </row>
    <row r="34" spans="1:12" ht="15" customHeight="1" x14ac:dyDescent="0.35">
      <c r="A34" s="967">
        <v>30</v>
      </c>
      <c r="B34" s="959" t="s">
        <v>2375</v>
      </c>
      <c r="C34" s="960" t="s">
        <v>2376</v>
      </c>
      <c r="D34" s="961" t="s">
        <v>2315</v>
      </c>
      <c r="E34" s="962" t="s">
        <v>2291</v>
      </c>
      <c r="F34" s="973" t="s">
        <v>2285</v>
      </c>
      <c r="G34" s="962" t="s">
        <v>2278</v>
      </c>
      <c r="H34" s="964" t="s">
        <v>2352</v>
      </c>
      <c r="I34" s="965" t="s">
        <v>2305</v>
      </c>
      <c r="J34" s="966" t="s">
        <v>20096</v>
      </c>
      <c r="K34" s="744" t="str">
        <f>HYPERLINK("https://www.google.com/maps/search/PR1+Trilho+Serra+Calcada+Vinhais/@41.83,-7.005,14z","🥾 PR1 VNH — Trilho da Serra da Calçada (Vinhais)")</f>
        <v>🥾 PR1 VNH — Trilho da Serra da Calçada (Vinhais)</v>
      </c>
      <c r="L34" s="968" t="s">
        <v>2333</v>
      </c>
    </row>
    <row r="35" spans="1:12" ht="15" customHeight="1" x14ac:dyDescent="0.35">
      <c r="A35" s="957">
        <v>31</v>
      </c>
      <c r="B35" s="949" t="s">
        <v>2377</v>
      </c>
      <c r="C35" s="950" t="s">
        <v>2376</v>
      </c>
      <c r="D35" s="951" t="s">
        <v>2378</v>
      </c>
      <c r="E35" s="952" t="s">
        <v>2308</v>
      </c>
      <c r="F35" s="969" t="s">
        <v>2285</v>
      </c>
      <c r="G35" s="952" t="s">
        <v>2278</v>
      </c>
      <c r="H35" s="954" t="s">
        <v>2355</v>
      </c>
      <c r="I35" s="955" t="s">
        <v>2287</v>
      </c>
      <c r="J35" s="956" t="s">
        <v>20097</v>
      </c>
      <c r="K35" s="743" t="str">
        <f>HYPERLINK("https://www.google.com/maps/search/Fisgas+de+Ermelo+Mondim+de+Basto/@41.585,-7.92,14z","🥾 PR1 MDB — Caminhos da Sra. da Graça — Fisgas de Ermelo")</f>
        <v>🥾 PR1 MDB — Caminhos da Sra. da Graça — Fisgas de Ermelo</v>
      </c>
      <c r="L35" s="958" t="s">
        <v>2379</v>
      </c>
    </row>
    <row r="36" spans="1:12" ht="15" customHeight="1" x14ac:dyDescent="0.35">
      <c r="A36" s="967">
        <v>32</v>
      </c>
      <c r="B36" s="959" t="s">
        <v>2380</v>
      </c>
      <c r="C36" s="960" t="s">
        <v>2376</v>
      </c>
      <c r="D36" s="961" t="s">
        <v>2302</v>
      </c>
      <c r="E36" s="962" t="s">
        <v>2369</v>
      </c>
      <c r="F36" s="974" t="s">
        <v>2297</v>
      </c>
      <c r="G36" s="962" t="s">
        <v>2278</v>
      </c>
      <c r="H36" s="964" t="s">
        <v>2336</v>
      </c>
      <c r="I36" s="965" t="s">
        <v>2381</v>
      </c>
      <c r="J36" s="966" t="s">
        <v>20098</v>
      </c>
      <c r="K36" s="744" t="str">
        <f>HYPERLINK("https://www.google.com/maps/search/Levada+Piscaredo+Mondim+de+Basto/@41.59,-7.91,14z","🥾 PR2 MDB — Levada de Piscaredo")</f>
        <v>🥾 PR2 MDB — Levada de Piscaredo</v>
      </c>
      <c r="L36" s="968" t="s">
        <v>2382</v>
      </c>
    </row>
    <row r="37" spans="1:12" ht="15" customHeight="1" x14ac:dyDescent="0.35">
      <c r="A37" s="957">
        <v>33</v>
      </c>
      <c r="B37" s="949" t="s">
        <v>2383</v>
      </c>
      <c r="C37" s="950" t="s">
        <v>792</v>
      </c>
      <c r="D37" s="951" t="s">
        <v>2283</v>
      </c>
      <c r="E37" s="952" t="s">
        <v>2330</v>
      </c>
      <c r="F37" s="971" t="s">
        <v>2297</v>
      </c>
      <c r="G37" s="952" t="s">
        <v>2270</v>
      </c>
      <c r="H37" s="954" t="s">
        <v>2358</v>
      </c>
      <c r="I37" s="955" t="s">
        <v>2299</v>
      </c>
      <c r="J37" s="956" t="s">
        <v>20099</v>
      </c>
      <c r="K37" s="743" t="str">
        <f>HYPERLINK("https://www.google.com/maps/search/Ponte+Medieval+Cabril+Mondim+de+Basto/@41.58,-7.93,14z","🥾 PP1 MDB — Ponte Medieval do Cabril")</f>
        <v>🥾 PP1 MDB — Ponte Medieval do Cabril</v>
      </c>
      <c r="L37" s="958" t="s">
        <v>2333</v>
      </c>
    </row>
    <row r="38" spans="1:12" ht="15" customHeight="1" x14ac:dyDescent="0.35">
      <c r="A38" s="967">
        <v>34</v>
      </c>
      <c r="B38" s="959" t="s">
        <v>2384</v>
      </c>
      <c r="C38" s="960" t="s">
        <v>2376</v>
      </c>
      <c r="D38" s="961" t="s">
        <v>2340</v>
      </c>
      <c r="E38" s="962" t="s">
        <v>2341</v>
      </c>
      <c r="F38" s="963" t="s">
        <v>2277</v>
      </c>
      <c r="G38" s="962" t="s">
        <v>2278</v>
      </c>
      <c r="H38" s="964" t="s">
        <v>2385</v>
      </c>
      <c r="I38" s="965" t="s">
        <v>2343</v>
      </c>
      <c r="J38" s="966" t="s">
        <v>20100</v>
      </c>
      <c r="K38" s="744" t="str">
        <f>HYPERLINK("https://www.google.com/maps/search/PR4+Trilho+do+Alvao+Parque+Natural/@41.535,-7.85,14z","🥾 PR4 VPA — Trilho do Alvão")</f>
        <v>🥾 PR4 VPA — Trilho do Alvão</v>
      </c>
      <c r="L38" s="968" t="s">
        <v>2386</v>
      </c>
    </row>
    <row r="39" spans="1:12" ht="15" customHeight="1" x14ac:dyDescent="0.35">
      <c r="A39" s="957">
        <v>35</v>
      </c>
      <c r="B39" s="949" t="s">
        <v>2387</v>
      </c>
      <c r="C39" s="950" t="s">
        <v>2388</v>
      </c>
      <c r="D39" s="951" t="s">
        <v>2340</v>
      </c>
      <c r="E39" s="952" t="s">
        <v>2389</v>
      </c>
      <c r="F39" s="969" t="s">
        <v>2285</v>
      </c>
      <c r="G39" s="952" t="s">
        <v>2270</v>
      </c>
      <c r="H39" s="954" t="s">
        <v>2370</v>
      </c>
      <c r="I39" s="955" t="s">
        <v>2280</v>
      </c>
      <c r="J39" s="956" t="s">
        <v>20101</v>
      </c>
      <c r="K39" s="743" t="str">
        <f>HYPERLINK("https://www.google.com/maps/search/Arribes+do+Douro+Miranda+do+Douro/@41.495,-6.27,14z","🥾 PR1 MDR — De Miranda do Douro ao S. João das Arribas")</f>
        <v>🥾 PR1 MDR — De Miranda do Douro ao S. João das Arribas</v>
      </c>
      <c r="L39" s="958" t="s">
        <v>2390</v>
      </c>
    </row>
    <row r="40" spans="1:12" ht="15" customHeight="1" x14ac:dyDescent="0.35">
      <c r="A40" s="967">
        <v>36</v>
      </c>
      <c r="B40" s="959" t="s">
        <v>2391</v>
      </c>
      <c r="C40" s="960" t="s">
        <v>2392</v>
      </c>
      <c r="D40" s="961" t="s">
        <v>2296</v>
      </c>
      <c r="E40" s="962" t="s">
        <v>2284</v>
      </c>
      <c r="F40" s="974" t="s">
        <v>2297</v>
      </c>
      <c r="G40" s="962" t="s">
        <v>2278</v>
      </c>
      <c r="H40" s="964" t="s">
        <v>2336</v>
      </c>
      <c r="I40" s="965" t="s">
        <v>2287</v>
      </c>
      <c r="J40" s="966" t="s">
        <v>20102</v>
      </c>
      <c r="K40" s="744" t="str">
        <f>HYPERLINK("https://www.google.com/maps/search/PR1+Trilho+Sao+Cristovao+Mogadouro/@41.348,-6.352,14z","🥾 PR1 MGD — Trilho de São Cristóvão")</f>
        <v>🥾 PR1 MGD — Trilho de São Cristóvão</v>
      </c>
      <c r="L40" s="968" t="s">
        <v>2393</v>
      </c>
    </row>
    <row r="41" spans="1:12" ht="15" customHeight="1" x14ac:dyDescent="0.35">
      <c r="A41" s="957">
        <v>37</v>
      </c>
      <c r="B41" s="949" t="s">
        <v>2394</v>
      </c>
      <c r="C41" s="950" t="s">
        <v>2392</v>
      </c>
      <c r="D41" s="951" t="s">
        <v>2290</v>
      </c>
      <c r="E41" s="952" t="s">
        <v>2291</v>
      </c>
      <c r="F41" s="969" t="s">
        <v>2285</v>
      </c>
      <c r="G41" s="952" t="s">
        <v>2278</v>
      </c>
      <c r="H41" s="954" t="s">
        <v>2395</v>
      </c>
      <c r="I41" s="955" t="s">
        <v>2396</v>
      </c>
      <c r="J41" s="956" t="s">
        <v>20103</v>
      </c>
      <c r="K41" s="743" t="str">
        <f>HYPERLINK("https://www.google.com/maps/search/Faia+da+Agua+Alta+Mogadouro+Douro/@41.32,-6.38,14z","🥾 PR4 MGD — Trilho da Faia da Água Alta")</f>
        <v>🥾 PR4 MGD — Trilho da Faia da Água Alta</v>
      </c>
      <c r="L41" s="958" t="s">
        <v>2393</v>
      </c>
    </row>
    <row r="42" spans="1:12" ht="15" customHeight="1" x14ac:dyDescent="0.35">
      <c r="A42" s="967">
        <v>38</v>
      </c>
      <c r="B42" s="959" t="s">
        <v>2397</v>
      </c>
      <c r="C42" s="960" t="s">
        <v>2398</v>
      </c>
      <c r="D42" s="961" t="s">
        <v>2311</v>
      </c>
      <c r="E42" s="962" t="s">
        <v>2276</v>
      </c>
      <c r="F42" s="973" t="s">
        <v>2285</v>
      </c>
      <c r="G42" s="962" t="s">
        <v>2278</v>
      </c>
      <c r="H42" s="964" t="s">
        <v>2370</v>
      </c>
      <c r="I42" s="965" t="s">
        <v>2280</v>
      </c>
      <c r="J42" s="966" t="s">
        <v>20104</v>
      </c>
      <c r="K42" s="744" t="str">
        <f>HYPERLINK("https://www.google.com/maps/search/Fraga+do+Sapato+Douro+Internacional/@41.305,-6.42,14z","🥾 PR7 MGD — Trilho da Fraga do Sapato")</f>
        <v>🥾 PR7 MGD — Trilho da Fraga do Sapato</v>
      </c>
      <c r="L42" s="968" t="s">
        <v>2393</v>
      </c>
    </row>
    <row r="43" spans="1:12" ht="15" customHeight="1" x14ac:dyDescent="0.35">
      <c r="A43" s="957">
        <v>39</v>
      </c>
      <c r="B43" s="949" t="s">
        <v>2399</v>
      </c>
      <c r="C43" s="950" t="s">
        <v>2398</v>
      </c>
      <c r="D43" s="951" t="s">
        <v>2315</v>
      </c>
      <c r="E43" s="952" t="s">
        <v>2291</v>
      </c>
      <c r="F43" s="969" t="s">
        <v>2285</v>
      </c>
      <c r="G43" s="952" t="s">
        <v>2278</v>
      </c>
      <c r="H43" s="954" t="s">
        <v>2355</v>
      </c>
      <c r="I43" s="955" t="s">
        <v>2400</v>
      </c>
      <c r="J43" s="956" t="s">
        <v>20105</v>
      </c>
      <c r="K43" s="743" t="str">
        <f>HYPERLINK("https://www.google.com/maps/search/Almendra+Vila+Nova+de+Foz+Coa+Douro/@41.075,-6.905,14z","🥾 PR1 AMT — Rota do Marancinho")</f>
        <v>🥾 PR1 AMT — Rota do Marancinho</v>
      </c>
      <c r="L43" s="958" t="s">
        <v>2393</v>
      </c>
    </row>
    <row r="44" spans="1:12" ht="15" customHeight="1" x14ac:dyDescent="0.35">
      <c r="A44" s="967">
        <v>40</v>
      </c>
      <c r="B44" s="959" t="s">
        <v>2401</v>
      </c>
      <c r="C44" s="960" t="s">
        <v>2398</v>
      </c>
      <c r="D44" s="961" t="s">
        <v>2335</v>
      </c>
      <c r="E44" s="962" t="s">
        <v>2308</v>
      </c>
      <c r="F44" s="973" t="s">
        <v>2285</v>
      </c>
      <c r="G44" s="962" t="s">
        <v>2278</v>
      </c>
      <c r="H44" s="964" t="s">
        <v>2293</v>
      </c>
      <c r="I44" s="965" t="s">
        <v>2305</v>
      </c>
      <c r="J44" s="966" t="s">
        <v>20106</v>
      </c>
      <c r="K44" s="744" t="str">
        <f>HYPERLINK("https://www.google.com/maps/search/Socalcos+Alto+Douro+Vinhateiro+UNESCO/@41.17,-7.45,14z","🥾 SMP PR2 — Trilho do Céu e da Terra")</f>
        <v>🥾 SMP PR2 — Trilho do Céu e da Terra</v>
      </c>
      <c r="L44" s="968" t="s">
        <v>2393</v>
      </c>
    </row>
    <row r="45" spans="1:12" ht="15" customHeight="1" x14ac:dyDescent="0.35">
      <c r="A45" s="957">
        <v>41</v>
      </c>
      <c r="B45" s="949" t="s">
        <v>2402</v>
      </c>
      <c r="C45" s="950" t="s">
        <v>2398</v>
      </c>
      <c r="D45" s="951" t="s">
        <v>2311</v>
      </c>
      <c r="E45" s="952" t="s">
        <v>2291</v>
      </c>
      <c r="F45" s="971" t="s">
        <v>2297</v>
      </c>
      <c r="G45" s="952" t="s">
        <v>2278</v>
      </c>
      <c r="H45" s="954" t="s">
        <v>2331</v>
      </c>
      <c r="I45" s="955" t="s">
        <v>2403</v>
      </c>
      <c r="J45" s="956" t="s">
        <v>20107</v>
      </c>
      <c r="K45" s="743" t="str">
        <f>HYPERLINK("https://www.google.com/maps/search/Percurso+Vinho+do+Porto+Douro+Vinhateiro/@41.16,-7.79,14z","🥾 LMG PR2 — Percurso do Vinho do Porto")</f>
        <v>🥾 LMG PR2 — Percurso do Vinho do Porto</v>
      </c>
      <c r="L45" s="958" t="s">
        <v>2393</v>
      </c>
    </row>
    <row r="46" spans="1:12" ht="15" customHeight="1" x14ac:dyDescent="0.35">
      <c r="A46" s="967">
        <v>42</v>
      </c>
      <c r="B46" s="959" t="s">
        <v>2404</v>
      </c>
      <c r="C46" s="960" t="s">
        <v>2398</v>
      </c>
      <c r="D46" s="961" t="s">
        <v>2290</v>
      </c>
      <c r="E46" s="962" t="s">
        <v>2291</v>
      </c>
      <c r="F46" s="973" t="s">
        <v>2285</v>
      </c>
      <c r="G46" s="962" t="s">
        <v>2278</v>
      </c>
      <c r="H46" s="964" t="s">
        <v>2336</v>
      </c>
      <c r="I46" s="965" t="s">
        <v>2405</v>
      </c>
      <c r="J46" s="966" t="s">
        <v>20108</v>
      </c>
      <c r="K46" s="744" t="str">
        <f>HYPERLINK("https://www.google.com/maps/search/Socalcos+Douro+Tabua%C3%A7o+Vinhedo/@41.11,-7.57,14z","🥾 TBC PR3 — Socalcos do Douro (Tabuaço)")</f>
        <v>🥾 TBC PR3 — Socalcos do Douro (Tabuaço)</v>
      </c>
      <c r="L46" s="968" t="s">
        <v>2390</v>
      </c>
    </row>
    <row r="47" spans="1:12" ht="15" customHeight="1" x14ac:dyDescent="0.35">
      <c r="A47" s="957">
        <v>43</v>
      </c>
      <c r="B47" s="949" t="s">
        <v>2406</v>
      </c>
      <c r="C47" s="950" t="s">
        <v>2407</v>
      </c>
      <c r="D47" s="951" t="s">
        <v>2340</v>
      </c>
      <c r="E47" s="952" t="s">
        <v>2341</v>
      </c>
      <c r="F47" s="969" t="s">
        <v>2285</v>
      </c>
      <c r="G47" s="952" t="s">
        <v>2278</v>
      </c>
      <c r="H47" s="954" t="s">
        <v>2370</v>
      </c>
      <c r="I47" s="955" t="s">
        <v>2305</v>
      </c>
      <c r="J47" s="956" t="s">
        <v>20109</v>
      </c>
      <c r="K47" s="743" t="str">
        <f>HYPERLINK("https://www.google.com/maps/search/Caminho+de+Jacinto+Baiao+Douro/@41.165,-8.02,14z","🥾 BAO PP — O Caminho de Jacinto (Baião)")</f>
        <v>🥾 BAO PP — O Caminho de Jacinto (Baião)</v>
      </c>
      <c r="L47" s="958" t="s">
        <v>2408</v>
      </c>
    </row>
    <row r="48" spans="1:12" ht="15" customHeight="1" x14ac:dyDescent="0.35">
      <c r="A48" s="967">
        <v>44</v>
      </c>
      <c r="B48" s="959" t="s">
        <v>2409</v>
      </c>
      <c r="C48" s="960" t="s">
        <v>792</v>
      </c>
      <c r="D48" s="961" t="s">
        <v>2410</v>
      </c>
      <c r="E48" s="962" t="s">
        <v>2369</v>
      </c>
      <c r="F48" s="974" t="s">
        <v>2297</v>
      </c>
      <c r="G48" s="962" t="s">
        <v>2278</v>
      </c>
      <c r="H48" s="964" t="s">
        <v>2411</v>
      </c>
      <c r="I48" s="965" t="s">
        <v>2412</v>
      </c>
      <c r="J48" s="966" t="s">
        <v>20110</v>
      </c>
      <c r="K48" s="744" t="str">
        <f>HYPERLINK("https://www.google.com/maps/search/PR1+Entre+Neiva+Atlantico+Esposende/@41.532,-8.787,14z","🥾 PR1 EPS — Entre o Neiva e o Atlântico")</f>
        <v>🥾 PR1 EPS — Entre o Neiva e o Atlântico</v>
      </c>
      <c r="L48" s="968" t="s">
        <v>2333</v>
      </c>
    </row>
    <row r="49" spans="1:12" ht="15" customHeight="1" x14ac:dyDescent="0.35">
      <c r="A49" s="957">
        <v>45</v>
      </c>
      <c r="B49" s="949" t="s">
        <v>2413</v>
      </c>
      <c r="C49" s="950" t="s">
        <v>792</v>
      </c>
      <c r="D49" s="951" t="s">
        <v>2410</v>
      </c>
      <c r="E49" s="952" t="s">
        <v>2291</v>
      </c>
      <c r="F49" s="972" t="s">
        <v>2303</v>
      </c>
      <c r="G49" s="952" t="s">
        <v>2270</v>
      </c>
      <c r="H49" s="954" t="s">
        <v>2414</v>
      </c>
      <c r="I49" s="955" t="s">
        <v>2415</v>
      </c>
      <c r="J49" s="956" t="s">
        <v>20111</v>
      </c>
      <c r="K49" s="743" t="str">
        <f>HYPERLINK("https://www.google.com/maps/search/Arriba+Fossil+Sao+da+Guia+Esposende/@41.51,-8.795,14z","🥾 PR5 EPS — Pela Arriba Fóssil — S. da Guia ao Monte Faro")</f>
        <v>🥾 PR5 EPS — Pela Arriba Fóssil — S. da Guia ao Monte Faro</v>
      </c>
      <c r="L49" s="958" t="s">
        <v>2333</v>
      </c>
    </row>
    <row r="50" spans="1:12" ht="15" customHeight="1" x14ac:dyDescent="0.35">
      <c r="A50" s="967">
        <v>46</v>
      </c>
      <c r="B50" s="959" t="s">
        <v>2416</v>
      </c>
      <c r="C50" s="960" t="s">
        <v>2407</v>
      </c>
      <c r="D50" s="961" t="s">
        <v>2311</v>
      </c>
      <c r="E50" s="962" t="s">
        <v>2308</v>
      </c>
      <c r="F50" s="963" t="s">
        <v>2277</v>
      </c>
      <c r="G50" s="962" t="s">
        <v>2278</v>
      </c>
      <c r="H50" s="964" t="s">
        <v>2417</v>
      </c>
      <c r="I50" s="965" t="s">
        <v>2305</v>
      </c>
      <c r="J50" s="966" t="s">
        <v>20112</v>
      </c>
      <c r="K50" s="744" t="str">
        <f>HYPERLINK("https://www.google.com/maps/search/PR1+Trilho+Corno+de+Bico+Paredes+de+Coura/@41.91,-8.55,14z","🥾 PR1 PCR — Trilho Corno de Bico (Paredes de Coura)")</f>
        <v>🥾 PR1 PCR — Trilho Corno de Bico (Paredes de Coura)</v>
      </c>
      <c r="L50" s="968" t="s">
        <v>2408</v>
      </c>
    </row>
    <row r="51" spans="1:12" ht="15" customHeight="1" x14ac:dyDescent="0.35">
      <c r="A51" s="957">
        <v>47</v>
      </c>
      <c r="B51" s="949" t="s">
        <v>2418</v>
      </c>
      <c r="C51" s="950" t="s">
        <v>792</v>
      </c>
      <c r="D51" s="951" t="s">
        <v>2290</v>
      </c>
      <c r="E51" s="952" t="s">
        <v>2291</v>
      </c>
      <c r="F51" s="969" t="s">
        <v>2285</v>
      </c>
      <c r="G51" s="952" t="s">
        <v>2278</v>
      </c>
      <c r="H51" s="954" t="s">
        <v>2319</v>
      </c>
      <c r="I51" s="955" t="s">
        <v>2299</v>
      </c>
      <c r="J51" s="956" t="s">
        <v>20113</v>
      </c>
      <c r="K51" s="743" t="str">
        <f>HYPERLINK("https://www.google.com/maps/search/PR4+Trilho+Varanda+Coura+Paredes+de+Coura/@41.905,-8.54,14z","🥾 PR4 PCR — Trilho da Varanda do Coura")</f>
        <v>🥾 PR4 PCR — Trilho da Varanda do Coura</v>
      </c>
      <c r="L51" s="958" t="s">
        <v>2333</v>
      </c>
    </row>
    <row r="52" spans="1:12" ht="15" customHeight="1" x14ac:dyDescent="0.35">
      <c r="A52" s="967">
        <v>48</v>
      </c>
      <c r="B52" s="959" t="s">
        <v>2419</v>
      </c>
      <c r="C52" s="960" t="s">
        <v>2407</v>
      </c>
      <c r="D52" s="961" t="s">
        <v>2350</v>
      </c>
      <c r="E52" s="962" t="s">
        <v>2420</v>
      </c>
      <c r="F52" s="963" t="s">
        <v>2277</v>
      </c>
      <c r="G52" s="962" t="s">
        <v>2278</v>
      </c>
      <c r="H52" s="964" t="s">
        <v>2421</v>
      </c>
      <c r="I52" s="965" t="s">
        <v>2328</v>
      </c>
      <c r="J52" s="966" t="s">
        <v>20114</v>
      </c>
      <c r="K52" s="744" t="str">
        <f>HYPERLINK("https://www.google.com/maps/search/PR3+Trilho+Serra+D%27Arga+Lobo+Atlantico/@41.783,-8.675,14z","🥾 PR3 PTL — Trilho da Serra D'Arga — Lobo Atlântico")</f>
        <v>🥾 PR3 PTL — Trilho da Serra D'Arga — Lobo Atlântico</v>
      </c>
      <c r="L52" s="968" t="s">
        <v>2408</v>
      </c>
    </row>
    <row r="53" spans="1:12" ht="15" customHeight="1" x14ac:dyDescent="0.35">
      <c r="A53" s="957">
        <v>49</v>
      </c>
      <c r="B53" s="949" t="s">
        <v>2422</v>
      </c>
      <c r="C53" s="950" t="s">
        <v>2407</v>
      </c>
      <c r="D53" s="951" t="s">
        <v>2290</v>
      </c>
      <c r="E53" s="952" t="s">
        <v>2291</v>
      </c>
      <c r="F53" s="969" t="s">
        <v>2285</v>
      </c>
      <c r="G53" s="952" t="s">
        <v>2278</v>
      </c>
      <c r="H53" s="954" t="s">
        <v>2423</v>
      </c>
      <c r="I53" s="955" t="s">
        <v>2332</v>
      </c>
      <c r="J53" s="956" t="s">
        <v>20115</v>
      </c>
      <c r="K53" s="743" t="str">
        <f>HYPERLINK("https://www.google.com/maps/search/Monte+Faro+Valenca+Minho/@42.028,-8.635,14z","🥾 VLN PR2 — Trilho de Monte Faro (Valença)")</f>
        <v>🥾 VLN PR2 — Trilho de Monte Faro (Valença)</v>
      </c>
      <c r="L53" s="958" t="s">
        <v>2424</v>
      </c>
    </row>
    <row r="54" spans="1:12" ht="15" customHeight="1" x14ac:dyDescent="0.35">
      <c r="A54" s="967">
        <v>50</v>
      </c>
      <c r="B54" s="959" t="s">
        <v>2425</v>
      </c>
      <c r="C54" s="960" t="s">
        <v>792</v>
      </c>
      <c r="D54" s="961" t="s">
        <v>2296</v>
      </c>
      <c r="E54" s="962" t="s">
        <v>2284</v>
      </c>
      <c r="F54" s="974" t="s">
        <v>2297</v>
      </c>
      <c r="G54" s="962" t="s">
        <v>2278</v>
      </c>
      <c r="H54" s="964" t="s">
        <v>2312</v>
      </c>
      <c r="I54" s="965" t="s">
        <v>2426</v>
      </c>
      <c r="J54" s="966" t="s">
        <v>20116</v>
      </c>
      <c r="K54" s="744" t="str">
        <f>HYPERLINK("https://www.google.com/maps/search/Aldeia+Podence+Caretos+Macedo+de+Cavaleiros/@41.572,-6.98,14z","🥾 PR1 MCD — Trilho dos Caretos (Macedo de Cavaleiros)")</f>
        <v>🥾 PR1 MCD — Trilho dos Caretos (Macedo de Cavaleiros)</v>
      </c>
      <c r="L54" s="968" t="s">
        <v>2333</v>
      </c>
    </row>
    <row r="55" spans="1:12" ht="15" customHeight="1" x14ac:dyDescent="0.35">
      <c r="A55" s="957">
        <v>51</v>
      </c>
      <c r="B55" s="949" t="s">
        <v>2427</v>
      </c>
      <c r="C55" s="950" t="s">
        <v>2365</v>
      </c>
      <c r="D55" s="951" t="s">
        <v>2302</v>
      </c>
      <c r="E55" s="952" t="s">
        <v>2369</v>
      </c>
      <c r="F55" s="969" t="s">
        <v>2285</v>
      </c>
      <c r="G55" s="952" t="s">
        <v>2278</v>
      </c>
      <c r="H55" s="954" t="s">
        <v>2428</v>
      </c>
      <c r="I55" s="955" t="s">
        <v>2280</v>
      </c>
      <c r="J55" s="956" t="s">
        <v>20117</v>
      </c>
      <c r="K55" s="743" t="str">
        <f>HYPERLINK("https://www.google.com/maps/search/Fraga+dos+Corvos+Mirandela/@41.55,-6.95,14z","🥾 PR12 MCD — Rota Fraga dos Corvos")</f>
        <v>🥾 PR12 MCD — Rota Fraga dos Corvos</v>
      </c>
      <c r="L55" s="958" t="s">
        <v>2429</v>
      </c>
    </row>
    <row r="56" spans="1:12" ht="15" customHeight="1" x14ac:dyDescent="0.35">
      <c r="A56" s="967">
        <v>52</v>
      </c>
      <c r="B56" s="959" t="s">
        <v>2430</v>
      </c>
      <c r="C56" s="960" t="s">
        <v>2407</v>
      </c>
      <c r="D56" s="961" t="s">
        <v>2315</v>
      </c>
      <c r="E56" s="962" t="s">
        <v>2291</v>
      </c>
      <c r="F56" s="974" t="s">
        <v>2297</v>
      </c>
      <c r="G56" s="962" t="s">
        <v>2270</v>
      </c>
      <c r="H56" s="964" t="s">
        <v>2431</v>
      </c>
      <c r="I56" s="965" t="s">
        <v>2332</v>
      </c>
      <c r="J56" s="966" t="s">
        <v>20118</v>
      </c>
      <c r="K56" s="744" t="str">
        <f>HYPERLINK("https://www.google.com/maps/search/Trilho+do+Tua+Mirandela+Linha+Ferroviaria/@41.485,-7.175,14z","🥾 PR1 MDL — Trilho do Tua (Mirandela)")</f>
        <v>🥾 PR1 MDL — Trilho do Tua (Mirandela)</v>
      </c>
      <c r="L56" s="968" t="s">
        <v>2408</v>
      </c>
    </row>
    <row r="57" spans="1:12" ht="15" customHeight="1" x14ac:dyDescent="0.35">
      <c r="A57" s="957">
        <v>53</v>
      </c>
      <c r="B57" s="949" t="s">
        <v>2432</v>
      </c>
      <c r="C57" s="950" t="s">
        <v>2388</v>
      </c>
      <c r="D57" s="951" t="s">
        <v>2290</v>
      </c>
      <c r="E57" s="952" t="s">
        <v>2291</v>
      </c>
      <c r="F57" s="969" t="s">
        <v>2285</v>
      </c>
      <c r="G57" s="952" t="s">
        <v>2278</v>
      </c>
      <c r="H57" s="954" t="s">
        <v>2298</v>
      </c>
      <c r="I57" s="955" t="s">
        <v>2287</v>
      </c>
      <c r="J57" s="956" t="s">
        <v>20119</v>
      </c>
      <c r="K57" s="743" t="str">
        <f>HYPERLINK("https://www.google.com/maps/search/Vilares+da+Vilarica+Alfandega+da+Fe/@41.35,-6.95,14z","🥾 PR1 AFE — Trilho de Vilares da Vilariça (Alfândega da Fé)")</f>
        <v>🥾 PR1 AFE — Trilho de Vilares da Vilariça (Alfândega da Fé)</v>
      </c>
      <c r="L57" s="958" t="s">
        <v>2433</v>
      </c>
    </row>
    <row r="58" spans="1:12" ht="15" customHeight="1" x14ac:dyDescent="0.35">
      <c r="A58" s="967">
        <v>54</v>
      </c>
      <c r="B58" s="959" t="s">
        <v>2434</v>
      </c>
      <c r="C58" s="960" t="s">
        <v>2392</v>
      </c>
      <c r="D58" s="961" t="s">
        <v>2335</v>
      </c>
      <c r="E58" s="962" t="s">
        <v>2308</v>
      </c>
      <c r="F58" s="973" t="s">
        <v>2285</v>
      </c>
      <c r="G58" s="962" t="s">
        <v>2278</v>
      </c>
      <c r="H58" s="964" t="s">
        <v>2336</v>
      </c>
      <c r="I58" s="965" t="s">
        <v>2435</v>
      </c>
      <c r="J58" s="966" t="s">
        <v>20120</v>
      </c>
      <c r="K58" s="744" t="str">
        <f>HYPERLINK("https://www.google.com/maps/search/Foz+do+Tua+Carrazeda+de+Ansiaes+Douro/@41.23,-7.27,14z","🥾 PR3 CRZ — Trilho da Foz do Tua (Carrazeda de Ansiães)")</f>
        <v>🥾 PR3 CRZ — Trilho da Foz do Tua (Carrazeda de Ansiães)</v>
      </c>
      <c r="L58" s="968" t="s">
        <v>2393</v>
      </c>
    </row>
    <row r="59" spans="1:12" ht="15" customHeight="1" x14ac:dyDescent="0.35">
      <c r="A59" s="957">
        <v>55</v>
      </c>
      <c r="B59" s="949" t="s">
        <v>2436</v>
      </c>
      <c r="C59" s="950" t="s">
        <v>2437</v>
      </c>
      <c r="D59" s="951" t="s">
        <v>2318</v>
      </c>
      <c r="E59" s="952" t="s">
        <v>2389</v>
      </c>
      <c r="F59" s="969" t="s">
        <v>2285</v>
      </c>
      <c r="G59" s="952" t="s">
        <v>2278</v>
      </c>
      <c r="H59" s="954" t="s">
        <v>2438</v>
      </c>
      <c r="I59" s="955" t="s">
        <v>2343</v>
      </c>
      <c r="J59" s="956" t="s">
        <v>20121</v>
      </c>
      <c r="K59" s="743" t="str">
        <f>HYPERLINK("https://www.google.com/maps/search/Alturas+do+Barroso+Boticas+Planalto/@41.702,-7.645,14z","🥾 BTC PP1 — Alturas do Barroso (Boticas)")</f>
        <v>🥾 BTC PP1 — Alturas do Barroso (Boticas)</v>
      </c>
      <c r="L59" s="958" t="s">
        <v>2333</v>
      </c>
    </row>
    <row r="60" spans="1:12" ht="15" customHeight="1" x14ac:dyDescent="0.35">
      <c r="A60" s="967">
        <v>56</v>
      </c>
      <c r="B60" s="959" t="s">
        <v>2439</v>
      </c>
      <c r="C60" s="960" t="s">
        <v>792</v>
      </c>
      <c r="D60" s="961" t="s">
        <v>2290</v>
      </c>
      <c r="E60" s="962" t="s">
        <v>2291</v>
      </c>
      <c r="F60" s="973" t="s">
        <v>2285</v>
      </c>
      <c r="G60" s="962" t="s">
        <v>2278</v>
      </c>
      <c r="H60" s="964" t="s">
        <v>2336</v>
      </c>
      <c r="I60" s="965" t="s">
        <v>2332</v>
      </c>
      <c r="J60" s="966" t="s">
        <v>20122</v>
      </c>
      <c r="K60" s="744" t="str">
        <f>HYPERLINK("https://www.google.com/maps/search/Tresminas+Mina+Ouro+Romana+Vila+Pouca+de+Aguiar/@41.512,-7.668,14z","🥾 VPA PR6 — Trilho de Tresminas (Vila Pouca de Aguiar)")</f>
        <v>🥾 VPA PR6 — Trilho de Tresminas (Vila Pouca de Aguiar)</v>
      </c>
      <c r="L60" s="968" t="s">
        <v>2333</v>
      </c>
    </row>
    <row r="61" spans="1:12" ht="15" customHeight="1" x14ac:dyDescent="0.35">
      <c r="A61" s="957">
        <v>57</v>
      </c>
      <c r="B61" s="949" t="s">
        <v>2440</v>
      </c>
      <c r="C61" s="950" t="s">
        <v>2407</v>
      </c>
      <c r="D61" s="951" t="s">
        <v>2311</v>
      </c>
      <c r="E61" s="952" t="s">
        <v>2276</v>
      </c>
      <c r="F61" s="971" t="s">
        <v>2297</v>
      </c>
      <c r="G61" s="952" t="s">
        <v>2278</v>
      </c>
      <c r="H61" s="954" t="s">
        <v>2298</v>
      </c>
      <c r="I61" s="955" t="s">
        <v>2299</v>
      </c>
      <c r="J61" s="956" t="s">
        <v>20123</v>
      </c>
      <c r="K61" s="743" t="str">
        <f>HYPERLINK("https://www.google.com/maps/search/Mosteiro+Pombeiro+Ribeira+da+Pena/@41.535,-7.8,14z","🥾 RPN PR1 — Caminho do Abade (Ribeira da Pena)")</f>
        <v>🥾 RPN PR1 — Caminho do Abade (Ribeira da Pena)</v>
      </c>
      <c r="L61" s="958" t="s">
        <v>2408</v>
      </c>
    </row>
    <row r="62" spans="1:12" ht="15" customHeight="1" x14ac:dyDescent="0.35">
      <c r="A62" s="967">
        <v>62</v>
      </c>
      <c r="B62" s="959" t="s">
        <v>20794</v>
      </c>
      <c r="C62" s="960" t="s">
        <v>20795</v>
      </c>
      <c r="D62" s="961" t="s">
        <v>20749</v>
      </c>
      <c r="E62" s="962" t="s">
        <v>2473</v>
      </c>
      <c r="F62" s="973" t="s">
        <v>2297</v>
      </c>
      <c r="G62" s="962" t="s">
        <v>2278</v>
      </c>
      <c r="H62" s="964" t="s">
        <v>2578</v>
      </c>
      <c r="I62" s="965" t="s">
        <v>2595</v>
      </c>
      <c r="J62" s="966" t="s">
        <v>20796</v>
      </c>
      <c r="K62" s="1163" t="str">
        <f>HYPERLINK("https://www.google.com/maps/search/Parque+da+Ponte+Braga+Rio+Este/@41.541280,-8.419366,15z","🥾 Na Senda dos Galos — Braga")</f>
        <v>🥾 Na Senda dos Galos — Braga</v>
      </c>
      <c r="L62" s="968" t="s">
        <v>2333</v>
      </c>
    </row>
    <row r="63" spans="1:12" ht="15" customHeight="1" x14ac:dyDescent="0.35">
      <c r="A63" s="957">
        <v>63</v>
      </c>
      <c r="B63" s="949" t="s">
        <v>20797</v>
      </c>
      <c r="C63" s="950" t="s">
        <v>20798</v>
      </c>
      <c r="D63" s="951" t="s">
        <v>20743</v>
      </c>
      <c r="E63" s="952" t="s">
        <v>20799</v>
      </c>
      <c r="F63" s="953" t="s">
        <v>2297</v>
      </c>
      <c r="G63" s="952" t="s">
        <v>2278</v>
      </c>
      <c r="H63" s="954" t="s">
        <v>2793</v>
      </c>
      <c r="I63" s="955" t="s">
        <v>2595</v>
      </c>
      <c r="J63" s="956" t="s">
        <v>20800</v>
      </c>
      <c r="K63" s="1164" t="str">
        <f>HYPERLINK("https://www.google.com/maps/search/Igreja+Velha+de+Gualtar+Braga+Encosta+Sol/@41.568911,-8.389347,15z","🥾 Trilho da Encosta do Sol — Braga")</f>
        <v>🥾 Trilho da Encosta do Sol — Braga</v>
      </c>
      <c r="L63" s="958" t="s">
        <v>2408</v>
      </c>
    </row>
    <row r="64" spans="1:12" ht="15" customHeight="1" x14ac:dyDescent="0.35">
      <c r="A64" s="967">
        <v>64</v>
      </c>
      <c r="B64" s="959" t="s">
        <v>20801</v>
      </c>
      <c r="C64" s="960" t="s">
        <v>20802</v>
      </c>
      <c r="D64" s="961" t="s">
        <v>20732</v>
      </c>
      <c r="E64" s="962" t="s">
        <v>2330</v>
      </c>
      <c r="F64" s="973" t="s">
        <v>2297</v>
      </c>
      <c r="G64" s="962" t="s">
        <v>2278</v>
      </c>
      <c r="H64" s="964" t="s">
        <v>2498</v>
      </c>
      <c r="I64" s="965" t="s">
        <v>2595</v>
      </c>
      <c r="J64" s="966" t="s">
        <v>20803</v>
      </c>
      <c r="K64" s="1163" t="str">
        <f>HYPERLINK("https://www.google.com/maps/search/Igreja+de+Lamacaes+Braga+Monte+Velhas/@41.545083,-8.396133,15z","🥾 Trilho do Monte das Velhas — Braga")</f>
        <v>🥾 Trilho do Monte das Velhas — Braga</v>
      </c>
      <c r="L64" s="968" t="s">
        <v>2333</v>
      </c>
    </row>
    <row r="65" spans="1:12" ht="15" customHeight="1" x14ac:dyDescent="0.35">
      <c r="A65" s="957">
        <v>65</v>
      </c>
      <c r="B65" s="949" t="s">
        <v>20804</v>
      </c>
      <c r="C65" s="950" t="s">
        <v>20805</v>
      </c>
      <c r="D65" s="951" t="s">
        <v>20735</v>
      </c>
      <c r="E65" s="952" t="s">
        <v>2330</v>
      </c>
      <c r="F65" s="969" t="s">
        <v>2297</v>
      </c>
      <c r="G65" s="952" t="s">
        <v>2278</v>
      </c>
      <c r="H65" s="954" t="s">
        <v>2659</v>
      </c>
      <c r="I65" s="955" t="s">
        <v>2595</v>
      </c>
      <c r="J65" s="956" t="s">
        <v>20806</v>
      </c>
      <c r="K65" s="1164" t="str">
        <f>HYPERLINK("https://www.google.com/maps/search/Igreja+Velha+de+Lomar+Braga+Rio+Este+Bosques/@41.527631,-8.429656,15z","🥾 Trilho dos Bosques do Rio Este — Braga")</f>
        <v>🥾 Trilho dos Bosques do Rio Este — Braga</v>
      </c>
      <c r="L65" s="958" t="s">
        <v>2324</v>
      </c>
    </row>
    <row r="66" spans="1:12" ht="15" customHeight="1" x14ac:dyDescent="0.35">
      <c r="A66" s="957">
        <v>66</v>
      </c>
      <c r="B66" s="949" t="s">
        <v>20807</v>
      </c>
      <c r="C66" s="950" t="s">
        <v>20808</v>
      </c>
      <c r="D66" s="951" t="s">
        <v>20753</v>
      </c>
      <c r="E66" s="952" t="s">
        <v>2284</v>
      </c>
      <c r="F66" s="969" t="s">
        <v>2285</v>
      </c>
      <c r="G66" s="952" t="s">
        <v>2278</v>
      </c>
      <c r="H66" s="954" t="s">
        <v>2502</v>
      </c>
      <c r="I66" s="955" t="s">
        <v>2652</v>
      </c>
      <c r="J66" s="956" t="s">
        <v>20809</v>
      </c>
      <c r="K66" s="1164" t="str">
        <f>HYPERLINK("https://www.google.com/maps/search/Complexo+Rodovia+Braga+Dois+Montes+Picoto/@41.554073,-8.400673,15z","🥾 Trilho dos Dois Montes — Braga")</f>
        <v>🥾 Trilho dos Dois Montes — Braga</v>
      </c>
      <c r="L66" s="958"/>
    </row>
    <row r="67" spans="1:12" ht="15" customHeight="1" x14ac:dyDescent="0.35">
      <c r="A67" s="957">
        <v>67</v>
      </c>
      <c r="B67" s="949" t="s">
        <v>20810</v>
      </c>
      <c r="C67" s="950" t="s">
        <v>20811</v>
      </c>
      <c r="D67" s="951" t="s">
        <v>20812</v>
      </c>
      <c r="E67" s="952" t="s">
        <v>20682</v>
      </c>
      <c r="F67" s="969" t="s">
        <v>2285</v>
      </c>
      <c r="G67" s="952" t="s">
        <v>2278</v>
      </c>
      <c r="H67" s="954" t="s">
        <v>20813</v>
      </c>
      <c r="I67" s="955" t="s">
        <v>2328</v>
      </c>
      <c r="J67" s="956" t="s">
        <v>20814</v>
      </c>
      <c r="K67" s="1164" t="str">
        <f>HYPERLINK("https://www.google.com/maps/search/Serra+dos+Picos+Espinho+Braga+Megalitos/@41.541382,-8.346979,14z","🥾 Grande Rota da Serra dos Picos — Braga")</f>
        <v>🥾 Grande Rota da Serra dos Picos — Braga</v>
      </c>
      <c r="L67" s="958"/>
    </row>
    <row r="68" spans="1:12" ht="15" customHeight="1" x14ac:dyDescent="0.35">
      <c r="A68" s="957">
        <v>68</v>
      </c>
      <c r="B68" s="949" t="s">
        <v>20815</v>
      </c>
      <c r="C68" s="950" t="s">
        <v>20816</v>
      </c>
      <c r="D68" s="951" t="s">
        <v>20770</v>
      </c>
      <c r="E68" s="952" t="s">
        <v>2369</v>
      </c>
      <c r="F68" s="969" t="s">
        <v>2285</v>
      </c>
      <c r="G68" s="952" t="s">
        <v>2270</v>
      </c>
      <c r="H68" s="954" t="s">
        <v>2431</v>
      </c>
      <c r="I68" s="955" t="s">
        <v>2595</v>
      </c>
      <c r="J68" s="956" t="s">
        <v>20817</v>
      </c>
      <c r="K68" s="1164" t="str">
        <f>HYPERLINK("https://www.google.com/maps/search/Santuario+Bom+Jesus+do+Monte+Braga+UNESCO/@41.554686,-8.377258,15z","🥾 Caminho dos Santuários — Braga")</f>
        <v>🥾 Caminho dos Santuários — Braga</v>
      </c>
      <c r="L68" s="958"/>
    </row>
    <row r="69" spans="1:12" ht="15" customHeight="1" x14ac:dyDescent="0.35">
      <c r="A69" s="957">
        <v>69</v>
      </c>
      <c r="B69" s="949" t="s">
        <v>20818</v>
      </c>
      <c r="C69" s="950" t="s">
        <v>20819</v>
      </c>
      <c r="D69" s="951" t="s">
        <v>20732</v>
      </c>
      <c r="E69" s="952" t="s">
        <v>2330</v>
      </c>
      <c r="F69" s="969" t="s">
        <v>2285</v>
      </c>
      <c r="G69" s="952" t="s">
        <v>2278</v>
      </c>
      <c r="H69" s="954" t="s">
        <v>2557</v>
      </c>
      <c r="I69" s="955" t="s">
        <v>2652</v>
      </c>
      <c r="J69" s="956" t="s">
        <v>20820</v>
      </c>
      <c r="K69" s="1164" t="str">
        <f>HYPERLINK("https://www.google.com/maps/search/Castelo+Penafiel+Bastuço+Braga+Medieval/@41.528619,-8.498075,15z","🥾 Na Senda do Castelo de Penafiel de Bastúço — Braga")</f>
        <v>🥾 Na Senda do Castelo de Penafiel de Bastúço — Braga</v>
      </c>
      <c r="L69" s="958"/>
    </row>
    <row r="70" spans="1:12" ht="15" customHeight="1" x14ac:dyDescent="0.35">
      <c r="A70" s="957">
        <v>70</v>
      </c>
      <c r="B70" s="949" t="s">
        <v>20821</v>
      </c>
      <c r="C70" s="950" t="s">
        <v>20822</v>
      </c>
      <c r="D70" s="951" t="s">
        <v>20749</v>
      </c>
      <c r="E70" s="952" t="s">
        <v>2473</v>
      </c>
      <c r="F70" s="969" t="s">
        <v>2297</v>
      </c>
      <c r="G70" s="952" t="s">
        <v>2278</v>
      </c>
      <c r="H70" s="954" t="s">
        <v>2498</v>
      </c>
      <c r="I70" s="955" t="s">
        <v>2595</v>
      </c>
      <c r="J70" s="956" t="s">
        <v>20823</v>
      </c>
      <c r="K70" s="1164" t="str">
        <f>HYPERLINK("https://www.google.com/maps/search/Sao+Pedro+da+Oliveira+Braga+Igreja+Romanica/@41.479512,-8.458917,15z","🥾 Por São Pedro da Oliveira — Braga")</f>
        <v>🥾 Por São Pedro da Oliveira — Braga</v>
      </c>
      <c r="L70" s="958"/>
    </row>
    <row r="71" spans="1:12" ht="15" customHeight="1" x14ac:dyDescent="0.35">
      <c r="A71" s="957">
        <v>71</v>
      </c>
      <c r="B71" s="949" t="s">
        <v>20824</v>
      </c>
      <c r="C71" s="950" t="s">
        <v>20825</v>
      </c>
      <c r="D71" s="951" t="s">
        <v>20749</v>
      </c>
      <c r="E71" s="952" t="s">
        <v>2473</v>
      </c>
      <c r="F71" s="969" t="s">
        <v>2297</v>
      </c>
      <c r="G71" s="952" t="s">
        <v>2278</v>
      </c>
      <c r="H71" s="954" t="s">
        <v>2578</v>
      </c>
      <c r="I71" s="955" t="s">
        <v>2595</v>
      </c>
      <c r="J71" s="956" t="s">
        <v>20826</v>
      </c>
      <c r="K71" s="1164" t="str">
        <f>HYPERLINK("https://www.google.com/maps/search/Igreja+Paroquial+de+Morreira+Braga+Minho/@41.494291,-8.408425,15z","🥾 Trilho da Morreira — Braga")</f>
        <v>🥾 Trilho da Morreira — Braga</v>
      </c>
      <c r="L71" s="958"/>
    </row>
    <row r="72" spans="1:12" ht="15" customHeight="1" x14ac:dyDescent="0.35">
      <c r="A72" s="957">
        <v>72</v>
      </c>
      <c r="B72" s="949" t="s">
        <v>20827</v>
      </c>
      <c r="C72" s="950" t="s">
        <v>20828</v>
      </c>
      <c r="D72" s="951" t="s">
        <v>20753</v>
      </c>
      <c r="E72" s="952" t="s">
        <v>2284</v>
      </c>
      <c r="F72" s="969" t="s">
        <v>2297</v>
      </c>
      <c r="G72" s="952" t="s">
        <v>2278</v>
      </c>
      <c r="H72" s="954" t="s">
        <v>2502</v>
      </c>
      <c r="I72" s="955" t="s">
        <v>2595</v>
      </c>
      <c r="J72" s="956" t="s">
        <v>20829</v>
      </c>
      <c r="K72" s="1164" t="str">
        <f>HYPERLINK("https://www.google.com/maps/search/Santa+Marta+das+Corticas+Esporoes+Braga+Santuario/@41.514518,-8.394978,15z","🥾 Trilho da Santa Marta das Cortiças — Braga")</f>
        <v>🥾 Trilho da Santa Marta das Cortiças — Braga</v>
      </c>
      <c r="L72" s="958"/>
    </row>
    <row r="73" spans="1:12" ht="15" customHeight="1" x14ac:dyDescent="0.35">
      <c r="A73" s="957">
        <v>73</v>
      </c>
      <c r="B73" s="949" t="s">
        <v>20830</v>
      </c>
      <c r="C73" s="950" t="s">
        <v>20831</v>
      </c>
      <c r="D73" s="951" t="s">
        <v>20732</v>
      </c>
      <c r="E73" s="952" t="s">
        <v>2330</v>
      </c>
      <c r="F73" s="969" t="s">
        <v>2285</v>
      </c>
      <c r="G73" s="952" t="s">
        <v>2278</v>
      </c>
      <c r="H73" s="954" t="s">
        <v>2634</v>
      </c>
      <c r="I73" s="955" t="s">
        <v>2652</v>
      </c>
      <c r="J73" s="956" t="s">
        <v>20832</v>
      </c>
      <c r="K73" s="1164" t="str">
        <f>HYPERLINK("https://www.google.com/maps/search/Castro+das+Caldas+Vilaca+Braga+Idade+Ferro/@41.517529,-8.479856,15z","🥾 Trilho do Castro das Caldas — Braga")</f>
        <v>🥾 Trilho do Castro das Caldas — Braga</v>
      </c>
      <c r="L73" s="958"/>
    </row>
    <row r="74" spans="1:12" ht="15" customHeight="1" x14ac:dyDescent="0.35">
      <c r="A74" s="957">
        <v>74</v>
      </c>
      <c r="B74" s="949" t="s">
        <v>20833</v>
      </c>
      <c r="C74" s="950" t="s">
        <v>20834</v>
      </c>
      <c r="D74" s="951" t="s">
        <v>20735</v>
      </c>
      <c r="E74" s="952" t="s">
        <v>2330</v>
      </c>
      <c r="F74" s="969" t="s">
        <v>2285</v>
      </c>
      <c r="G74" s="952" t="s">
        <v>2278</v>
      </c>
      <c r="H74" s="954" t="s">
        <v>2557</v>
      </c>
      <c r="I74" s="955" t="s">
        <v>2652</v>
      </c>
      <c r="J74" s="956" t="s">
        <v>20835</v>
      </c>
      <c r="K74" s="1164" t="str">
        <f>HYPERLINK("https://www.google.com/maps/search/Miradouros+Guisande+Braga+Serra+Picoto/@41.481129,-8.440043,15z","🥾 Trilho dos Miradouros — Braga")</f>
        <v>🥾 Trilho dos Miradouros — Braga</v>
      </c>
      <c r="L74" s="958"/>
    </row>
    <row r="75" spans="1:12" ht="15" customHeight="1" x14ac:dyDescent="0.35">
      <c r="A75" s="957">
        <v>75</v>
      </c>
      <c r="B75" s="949" t="s">
        <v>20836</v>
      </c>
      <c r="C75" s="950" t="s">
        <v>20837</v>
      </c>
      <c r="D75" s="951" t="s">
        <v>20783</v>
      </c>
      <c r="E75" s="952" t="s">
        <v>2284</v>
      </c>
      <c r="F75" s="969" t="s">
        <v>2297</v>
      </c>
      <c r="G75" s="952" t="s">
        <v>2278</v>
      </c>
      <c r="H75" s="954" t="s">
        <v>2622</v>
      </c>
      <c r="I75" s="955" t="s">
        <v>2595</v>
      </c>
      <c r="J75" s="956" t="s">
        <v>20838</v>
      </c>
      <c r="K75" s="1164" t="str">
        <f>HYPERLINK("https://www.google.com/maps/search/Parque+da+Levegada+Arentim+Braga+Rio+Este/@41.498255,-8.508834,15z","🥾 A Volta do Rio Este — Braga")</f>
        <v>🥾 A Volta do Rio Este — Braga</v>
      </c>
      <c r="L75" s="958"/>
    </row>
    <row r="76" spans="1:12" ht="15" customHeight="1" x14ac:dyDescent="0.35">
      <c r="A76" s="957">
        <v>76</v>
      </c>
      <c r="B76" s="949" t="s">
        <v>20839</v>
      </c>
      <c r="C76" s="950" t="s">
        <v>20840</v>
      </c>
      <c r="D76" s="951" t="s">
        <v>20732</v>
      </c>
      <c r="E76" s="952" t="s">
        <v>2330</v>
      </c>
      <c r="F76" s="969" t="s">
        <v>2297</v>
      </c>
      <c r="G76" s="952" t="s">
        <v>2278</v>
      </c>
      <c r="H76" s="954" t="s">
        <v>2578</v>
      </c>
      <c r="I76" s="955" t="s">
        <v>2595</v>
      </c>
      <c r="J76" s="956" t="s">
        <v>20841</v>
      </c>
      <c r="K76" s="1164" t="str">
        <f>HYPERLINK("https://www.google.com/maps/search/Mosteiro+Sao+Martinho+de+Tibaes+Braga+Beneditino/@41.558225,-8.478213,15z","🥾 Descobrindo o Couto de Tibães — Braga")</f>
        <v>🥾 Descobrindo o Couto de Tibães — Braga</v>
      </c>
      <c r="L76" s="958"/>
    </row>
    <row r="77" spans="1:12" ht="15" customHeight="1" x14ac:dyDescent="0.35">
      <c r="A77" s="957">
        <v>77</v>
      </c>
      <c r="B77" s="949" t="s">
        <v>20842</v>
      </c>
      <c r="C77" s="950" t="s">
        <v>20843</v>
      </c>
      <c r="D77" s="951" t="s">
        <v>20753</v>
      </c>
      <c r="E77" s="952" t="s">
        <v>2284</v>
      </c>
      <c r="F77" s="969" t="s">
        <v>2297</v>
      </c>
      <c r="G77" s="952" t="s">
        <v>2278</v>
      </c>
      <c r="H77" s="954" t="s">
        <v>2659</v>
      </c>
      <c r="I77" s="955" t="s">
        <v>2595</v>
      </c>
      <c r="J77" s="956" t="s">
        <v>20844</v>
      </c>
      <c r="K77" s="1164" t="str">
        <f>HYPERLINK("https://www.google.com/maps/search/Moinhos+da+Presa+Rio+Cavado+Braga+Minho/@41.598428,-8.407237,15z","🥾 Pelo Vale do Cávado — Braga")</f>
        <v>🥾 Pelo Vale do Cávado — Braga</v>
      </c>
      <c r="L77" s="958"/>
    </row>
    <row r="78" spans="1:12" ht="15" customHeight="1" x14ac:dyDescent="0.35">
      <c r="A78" s="957">
        <v>78</v>
      </c>
      <c r="B78" s="949" t="s">
        <v>20845</v>
      </c>
      <c r="C78" s="950" t="s">
        <v>20846</v>
      </c>
      <c r="D78" s="951" t="s">
        <v>20732</v>
      </c>
      <c r="E78" s="952" t="s">
        <v>2473</v>
      </c>
      <c r="F78" s="969" t="s">
        <v>2297</v>
      </c>
      <c r="G78" s="952" t="s">
        <v>2278</v>
      </c>
      <c r="H78" s="954" t="s">
        <v>20757</v>
      </c>
      <c r="I78" s="955" t="s">
        <v>2595</v>
      </c>
      <c r="J78" s="956" t="s">
        <v>20847</v>
      </c>
      <c r="K78" s="1164" t="str">
        <f>HYPERLINK("https://www.google.com/maps/search/Praia+Fluvial+Merelim+Sao+Paio+Cavado+Braga/@41.593708,-8.465086,15z","🥾 Trilho da Margem do Cávado — Braga")</f>
        <v>🥾 Trilho da Margem do Cávado — Braga</v>
      </c>
      <c r="L78" s="958"/>
    </row>
    <row r="79" spans="1:12" ht="15" customHeight="1" x14ac:dyDescent="0.35">
      <c r="A79" s="957">
        <v>79</v>
      </c>
      <c r="B79" s="949" t="s">
        <v>20848</v>
      </c>
      <c r="C79" s="950" t="s">
        <v>20849</v>
      </c>
      <c r="D79" s="951" t="s">
        <v>20749</v>
      </c>
      <c r="E79" s="952" t="s">
        <v>2473</v>
      </c>
      <c r="F79" s="969" t="s">
        <v>2297</v>
      </c>
      <c r="G79" s="952" t="s">
        <v>2278</v>
      </c>
      <c r="H79" s="954" t="s">
        <v>2659</v>
      </c>
      <c r="I79" s="955" t="s">
        <v>2595</v>
      </c>
      <c r="J79" s="956" t="s">
        <v>20850</v>
      </c>
      <c r="K79" s="1164" t="str">
        <f>HYPERLINK("https://www.google.com/maps/search/Moinhos+de+Priscos+Rio+Este+Braga+Minho/@41.512683,-8.469592,15z","🥾 Trilho dos Moinhos de Priscos — Braga")</f>
        <v>🥾 Trilho dos Moinhos de Priscos — Braga</v>
      </c>
      <c r="L79" s="958"/>
    </row>
    <row r="80" spans="1:12" ht="15" customHeight="1" x14ac:dyDescent="0.35">
      <c r="A80" s="957">
        <v>80</v>
      </c>
      <c r="B80" s="949" t="s">
        <v>20851</v>
      </c>
      <c r="C80" s="950" t="s">
        <v>20852</v>
      </c>
      <c r="D80" s="951" t="s">
        <v>20735</v>
      </c>
      <c r="E80" s="952" t="s">
        <v>2330</v>
      </c>
      <c r="F80" s="969" t="s">
        <v>2297</v>
      </c>
      <c r="G80" s="952" t="s">
        <v>2278</v>
      </c>
      <c r="H80" s="954" t="s">
        <v>2578</v>
      </c>
      <c r="I80" s="955" t="s">
        <v>2595</v>
      </c>
      <c r="J80" s="956" t="s">
        <v>20853</v>
      </c>
      <c r="K80" s="1164" t="str">
        <f>HYPERLINK("https://www.google.com/maps/search/Igreja+de+Crespos+Braga+Solares+Vinha+Verde/@41.604737,-8.362025,15z","🥾 Trilho dos Solares — Braga")</f>
        <v>🥾 Trilho dos Solares — Braga</v>
      </c>
      <c r="L80" s="958"/>
    </row>
    <row r="81" spans="1:12" ht="15" customHeight="1" x14ac:dyDescent="0.35">
      <c r="A81" s="957">
        <v>81</v>
      </c>
      <c r="B81" s="949" t="s">
        <v>20854</v>
      </c>
      <c r="C81" s="950" t="s">
        <v>20855</v>
      </c>
      <c r="D81" s="951" t="s">
        <v>20749</v>
      </c>
      <c r="E81" s="952" t="s">
        <v>2473</v>
      </c>
      <c r="F81" s="969" t="s">
        <v>2297</v>
      </c>
      <c r="G81" s="952" t="s">
        <v>2278</v>
      </c>
      <c r="H81" s="954" t="s">
        <v>2659</v>
      </c>
      <c r="I81" s="955" t="s">
        <v>2595</v>
      </c>
      <c r="J81" s="956" t="s">
        <v>20856</v>
      </c>
      <c r="K81" s="1164" t="str">
        <f>HYPERLINK("https://www.google.com/maps/search/Mamoa+de+Lamas+Dolmen+Megalito+Braga+Neolitico/@41.503329,-8.431686,15z","🥾 Trilho da Mamoa — Braga")</f>
        <v>🥾 Trilho da Mamoa — Braga</v>
      </c>
      <c r="L81" s="958"/>
    </row>
    <row r="82" spans="1:12" ht="15" customHeight="1" x14ac:dyDescent="0.35">
      <c r="A82" s="957">
        <v>82</v>
      </c>
      <c r="B82" s="949" t="s">
        <v>20857</v>
      </c>
      <c r="C82" s="950" t="s">
        <v>20858</v>
      </c>
      <c r="D82" s="951" t="s">
        <v>20770</v>
      </c>
      <c r="E82" s="952" t="s">
        <v>2369</v>
      </c>
      <c r="F82" s="969" t="s">
        <v>2285</v>
      </c>
      <c r="G82" s="952" t="s">
        <v>2270</v>
      </c>
      <c r="H82" s="954" t="s">
        <v>2498</v>
      </c>
      <c r="I82" s="955" t="s">
        <v>2595</v>
      </c>
      <c r="J82" s="956" t="s">
        <v>20859</v>
      </c>
      <c r="K82" s="1164" t="str">
        <f>HYPERLINK("https://www.google.com/maps/search/Castro+Maximo+Braga+Cavado+Caminho+Santiago/@41.561333,-8.427069,15z","🥾 Entre Braga e o Cávado — Braga")</f>
        <v>🥾 Entre Braga e o Cávado — Braga</v>
      </c>
      <c r="L82" s="958"/>
    </row>
    <row r="83" spans="1:12" ht="15" customHeight="1" x14ac:dyDescent="0.35">
      <c r="A83" s="957">
        <v>83</v>
      </c>
      <c r="B83" s="949" t="s">
        <v>20860</v>
      </c>
      <c r="C83" s="950" t="s">
        <v>20861</v>
      </c>
      <c r="D83" s="951" t="s">
        <v>20735</v>
      </c>
      <c r="E83" s="952" t="s">
        <v>2330</v>
      </c>
      <c r="F83" s="969" t="s">
        <v>2297</v>
      </c>
      <c r="G83" s="952" t="s">
        <v>2278</v>
      </c>
      <c r="H83" s="954" t="s">
        <v>2578</v>
      </c>
      <c r="I83" s="955" t="s">
        <v>2595</v>
      </c>
      <c r="J83" s="956" t="s">
        <v>20862</v>
      </c>
      <c r="K83" s="1164" t="str">
        <f>HYPERLINK("https://www.google.com/maps/search/Parque+das+Cambas+Nascente+Rio+Este+Braga/@41.569751,-8.366627,15z","🥾 Trilho da Nascente do Rio Este — Braga")</f>
        <v>🥾 Trilho da Nascente do Rio Este — Braga</v>
      </c>
      <c r="L83" s="958"/>
    </row>
    <row r="84" spans="1:12" ht="15" customHeight="1" x14ac:dyDescent="0.35">
      <c r="A84" s="957">
        <v>84</v>
      </c>
      <c r="B84" s="949" t="s">
        <v>20863</v>
      </c>
      <c r="C84" s="950" t="s">
        <v>20864</v>
      </c>
      <c r="D84" s="951" t="s">
        <v>20732</v>
      </c>
      <c r="E84" s="952" t="s">
        <v>2473</v>
      </c>
      <c r="F84" s="969" t="s">
        <v>2297</v>
      </c>
      <c r="G84" s="952" t="s">
        <v>2278</v>
      </c>
      <c r="H84" s="954" t="s">
        <v>2659</v>
      </c>
      <c r="I84" s="955" t="s">
        <v>2595</v>
      </c>
      <c r="J84" s="956" t="s">
        <v>20865</v>
      </c>
      <c r="K84" s="1164" t="str">
        <f>HYPERLINK("https://www.google.com/maps/search/Sete+Fontes+Braga+Aqueduto+Barroco+Classificado/@41.571530,-8.399359,15z","🥾 Trilho das Fontes — Braga")</f>
        <v>🥾 Trilho das Fontes — Braga</v>
      </c>
      <c r="L84" s="958"/>
    </row>
    <row r="85" spans="1:12" ht="15" customHeight="1" x14ac:dyDescent="0.35">
      <c r="A85" s="957">
        <v>85</v>
      </c>
      <c r="B85" s="949" t="s">
        <v>20866</v>
      </c>
      <c r="C85" s="950" t="s">
        <v>20867</v>
      </c>
      <c r="D85" s="951" t="s">
        <v>20735</v>
      </c>
      <c r="E85" s="952" t="s">
        <v>2330</v>
      </c>
      <c r="F85" s="969" t="s">
        <v>2297</v>
      </c>
      <c r="G85" s="952" t="s">
        <v>2278</v>
      </c>
      <c r="H85" s="954" t="s">
        <v>2793</v>
      </c>
      <c r="I85" s="955" t="s">
        <v>2595</v>
      </c>
      <c r="J85" s="956" t="s">
        <v>20868</v>
      </c>
      <c r="K85" s="1164" t="str">
        <f>HYPERLINK("https://www.google.com/maps/search/Monte+Sao+Gregorio+Rio+Torto+Braga+Minho/@41.542192,-8.445280,15z","🥾 Pelos Prados do Rio Torto — Braga")</f>
        <v>🥾 Pelos Prados do Rio Torto — Braga</v>
      </c>
      <c r="L85" s="958"/>
    </row>
    <row r="86" spans="1:12" ht="15" customHeight="1" x14ac:dyDescent="0.35">
      <c r="A86" s="957">
        <v>86</v>
      </c>
      <c r="B86" s="949" t="s">
        <v>20869</v>
      </c>
      <c r="C86" s="950" t="s">
        <v>20798</v>
      </c>
      <c r="D86" s="951" t="s">
        <v>20870</v>
      </c>
      <c r="E86" s="952" t="s">
        <v>20682</v>
      </c>
      <c r="F86" s="969" t="s">
        <v>2285</v>
      </c>
      <c r="G86" s="952" t="s">
        <v>2270</v>
      </c>
      <c r="H86" s="954" t="s">
        <v>2431</v>
      </c>
      <c r="I86" s="955" t="s">
        <v>2328</v>
      </c>
      <c r="J86" s="956" t="s">
        <v>20871</v>
      </c>
      <c r="K86" s="1164" t="str">
        <f>HYPERLINK("https://www.google.com/maps/search/Via+Romana+XVII+Bracara+Augusta+Gualtar+Braga/@41.557822,-8.397615,15z","🥾 GR117 — Via Romana XVII — Braga")</f>
        <v>🥾 GR117 — Via Romana XVII — Braga</v>
      </c>
      <c r="L86" s="958"/>
    </row>
    <row r="87" spans="1:12" ht="15" customHeight="1" x14ac:dyDescent="0.35">
      <c r="A87" s="957"/>
      <c r="B87" s="949"/>
      <c r="C87" s="950"/>
      <c r="D87" s="951"/>
      <c r="E87" s="952"/>
      <c r="F87" s="969"/>
      <c r="G87" s="952"/>
      <c r="H87" s="954"/>
      <c r="I87" s="955"/>
      <c r="J87" s="956"/>
      <c r="K87" s="743"/>
      <c r="L87" s="958"/>
    </row>
    <row r="88" spans="1:12" ht="15" customHeight="1" x14ac:dyDescent="0.35">
      <c r="A88" s="957"/>
      <c r="B88" s="949"/>
      <c r="C88" s="950"/>
      <c r="D88" s="951"/>
      <c r="E88" s="952"/>
      <c r="F88" s="969"/>
      <c r="G88" s="952"/>
      <c r="H88" s="954"/>
      <c r="I88" s="955"/>
      <c r="J88" s="956"/>
      <c r="K88" s="743"/>
      <c r="L88" s="958"/>
    </row>
    <row r="89" spans="1:12" ht="15" customHeight="1" x14ac:dyDescent="0.35">
      <c r="A89" s="957"/>
      <c r="B89" s="949"/>
      <c r="C89" s="950"/>
      <c r="D89" s="951"/>
      <c r="E89" s="952"/>
      <c r="F89" s="969"/>
      <c r="G89" s="952"/>
      <c r="H89" s="954"/>
      <c r="I89" s="955"/>
      <c r="J89" s="956"/>
      <c r="K89" s="743"/>
      <c r="L89" s="958"/>
    </row>
    <row r="90" spans="1:12" ht="15" customHeight="1" x14ac:dyDescent="0.35">
      <c r="A90" s="957"/>
      <c r="B90" s="949"/>
      <c r="C90" s="950"/>
      <c r="D90" s="951"/>
      <c r="E90" s="952"/>
      <c r="F90" s="969"/>
      <c r="G90" s="952"/>
      <c r="H90" s="954"/>
      <c r="I90" s="955"/>
      <c r="J90" s="956"/>
      <c r="K90" s="743"/>
      <c r="L90" s="958"/>
    </row>
    <row r="91" spans="1:12" ht="20" customHeight="1" x14ac:dyDescent="0.45">
      <c r="A91" s="1449" t="s">
        <v>20793</v>
      </c>
      <c r="B91" s="1450"/>
      <c r="C91" s="1451"/>
      <c r="D91" s="1451"/>
      <c r="E91" s="1451"/>
      <c r="F91" s="1451"/>
      <c r="G91" s="1451"/>
      <c r="H91" s="1451"/>
      <c r="I91" s="1451"/>
      <c r="J91" s="1452"/>
      <c r="K91" s="1453"/>
      <c r="L91" s="1454"/>
    </row>
    <row r="92" spans="1:12" ht="15" customHeight="1" x14ac:dyDescent="0.35">
      <c r="A92" s="983">
        <v>1</v>
      </c>
      <c r="B92" s="975" t="s">
        <v>2443</v>
      </c>
      <c r="C92" s="976" t="s">
        <v>1332</v>
      </c>
      <c r="D92" s="977" t="s">
        <v>2444</v>
      </c>
      <c r="E92" s="978" t="s">
        <v>2268</v>
      </c>
      <c r="F92" s="979" t="s">
        <v>2269</v>
      </c>
      <c r="G92" s="978" t="s">
        <v>2278</v>
      </c>
      <c r="H92" s="980" t="s">
        <v>2445</v>
      </c>
      <c r="I92" s="981" t="s">
        <v>2446</v>
      </c>
      <c r="J92" s="982" t="s">
        <v>20124</v>
      </c>
      <c r="K92" s="745" t="str">
        <f>HYPERLINK("https://www.google.com/maps/search/GR22+Grande+Rota+Serra+da+Estrela/@40.318,-7.587,14z","🥾 GR22 Estrela — Grande Rota da Serra da Estrela")</f>
        <v>🥾 GR22 Estrela — Grande Rota da Serra da Estrela</v>
      </c>
      <c r="L92" s="984" t="s">
        <v>2447</v>
      </c>
    </row>
    <row r="93" spans="1:12" ht="15" customHeight="1" x14ac:dyDescent="0.35">
      <c r="A93" s="993">
        <v>2</v>
      </c>
      <c r="B93" s="985" t="s">
        <v>2448</v>
      </c>
      <c r="C93" s="986" t="s">
        <v>1332</v>
      </c>
      <c r="D93" s="987" t="s">
        <v>2340</v>
      </c>
      <c r="E93" s="988" t="s">
        <v>2308</v>
      </c>
      <c r="F93" s="989" t="s">
        <v>2285</v>
      </c>
      <c r="G93" s="988" t="s">
        <v>2270</v>
      </c>
      <c r="H93" s="990" t="s">
        <v>2449</v>
      </c>
      <c r="I93" s="991" t="s">
        <v>2356</v>
      </c>
      <c r="J93" s="992" t="s">
        <v>20125</v>
      </c>
      <c r="K93" s="746" t="str">
        <f>HYPERLINK("https://www.google.com/maps/search/Vale+Glaciar+do+Zezere+Manteigas/@40.405,-7.538,14z","🥾 PR1 MTG — Rota do Glaciar — Vale do Zêzere")</f>
        <v>🥾 PR1 MTG — Rota do Glaciar — Vale do Zêzere</v>
      </c>
      <c r="L93" s="994" t="s">
        <v>2450</v>
      </c>
    </row>
    <row r="94" spans="1:12" ht="15" customHeight="1" x14ac:dyDescent="0.35">
      <c r="A94" s="983">
        <v>3</v>
      </c>
      <c r="B94" s="975" t="s">
        <v>2451</v>
      </c>
      <c r="C94" s="976" t="s">
        <v>2452</v>
      </c>
      <c r="D94" s="977" t="s">
        <v>2296</v>
      </c>
      <c r="E94" s="978" t="s">
        <v>2284</v>
      </c>
      <c r="F94" s="995" t="s">
        <v>2297</v>
      </c>
      <c r="G94" s="978" t="s">
        <v>2278</v>
      </c>
      <c r="H94" s="980" t="s">
        <v>2442</v>
      </c>
      <c r="I94" s="981" t="s">
        <v>2299</v>
      </c>
      <c r="J94" s="982" t="s">
        <v>20126</v>
      </c>
      <c r="K94" s="745" t="str">
        <f>HYPERLINK("https://www.google.com/maps/search/Poco+do+Inferno+Manteigas+Serra+da+Estrela/@40.41,-7.54,14z","🥾 PR2 MTG — Rota do Poço do Inferno")</f>
        <v>🥾 PR2 MTG — Rota do Poço do Inferno</v>
      </c>
      <c r="L94" s="984" t="s">
        <v>1690</v>
      </c>
    </row>
    <row r="95" spans="1:12" ht="15" customHeight="1" x14ac:dyDescent="0.35">
      <c r="A95" s="993">
        <v>4</v>
      </c>
      <c r="B95" s="985" t="s">
        <v>2453</v>
      </c>
      <c r="C95" s="986" t="s">
        <v>2452</v>
      </c>
      <c r="D95" s="987" t="s">
        <v>2335</v>
      </c>
      <c r="E95" s="988" t="s">
        <v>2341</v>
      </c>
      <c r="F95" s="996" t="s">
        <v>2269</v>
      </c>
      <c r="G95" s="988" t="s">
        <v>2278</v>
      </c>
      <c r="H95" s="990" t="s">
        <v>2445</v>
      </c>
      <c r="I95" s="991" t="s">
        <v>2454</v>
      </c>
      <c r="J95" s="992" t="s">
        <v>20127</v>
      </c>
      <c r="K95" s="746" t="str">
        <f>HYPERLINK("https://www.google.com/maps/search/Torre+Serra+da+Estrela+Ponto+Mais+Alto+Portugal/@40.318,-7.587,14z","🥾 PR3 MTG — Maciço Central — Torre e Cântaro Magro")</f>
        <v>🥾 PR3 MTG — Maciço Central — Torre e Cântaro Magro</v>
      </c>
      <c r="L95" s="994" t="s">
        <v>2447</v>
      </c>
    </row>
    <row r="96" spans="1:12" ht="15" customHeight="1" x14ac:dyDescent="0.35">
      <c r="A96" s="983">
        <v>5</v>
      </c>
      <c r="B96" s="975" t="s">
        <v>2455</v>
      </c>
      <c r="C96" s="976" t="s">
        <v>1332</v>
      </c>
      <c r="D96" s="977" t="s">
        <v>2290</v>
      </c>
      <c r="E96" s="978" t="s">
        <v>2291</v>
      </c>
      <c r="F96" s="997" t="s">
        <v>2285</v>
      </c>
      <c r="G96" s="978" t="s">
        <v>2278</v>
      </c>
      <c r="H96" s="980" t="s">
        <v>2363</v>
      </c>
      <c r="I96" s="981" t="s">
        <v>2280</v>
      </c>
      <c r="J96" s="982" t="s">
        <v>20128</v>
      </c>
      <c r="K96" s="745" t="str">
        <f>HYPERLINK("https://www.google.com/maps/search/Covao+dos+Conchos+Serra+da+Estrela/@40.325,-7.562,14z","🥾 PR4 SEI — Covão dos Conchos — Rota do Labirinto")</f>
        <v>🥾 PR4 SEI — Covão dos Conchos — Rota do Labirinto</v>
      </c>
      <c r="L96" s="984" t="s">
        <v>2447</v>
      </c>
    </row>
    <row r="97" spans="1:12" ht="15" customHeight="1" x14ac:dyDescent="0.35">
      <c r="A97" s="993">
        <v>6</v>
      </c>
      <c r="B97" s="985" t="s">
        <v>2456</v>
      </c>
      <c r="C97" s="986" t="s">
        <v>2452</v>
      </c>
      <c r="D97" s="987" t="s">
        <v>2311</v>
      </c>
      <c r="E97" s="988" t="s">
        <v>2389</v>
      </c>
      <c r="F97" s="996" t="s">
        <v>2277</v>
      </c>
      <c r="G97" s="988" t="s">
        <v>2270</v>
      </c>
      <c r="H97" s="990" t="s">
        <v>2457</v>
      </c>
      <c r="I97" s="991" t="s">
        <v>2458</v>
      </c>
      <c r="J97" s="992" t="s">
        <v>20129</v>
      </c>
      <c r="K97" s="746" t="str">
        <f>HYPERLINK("https://www.google.com/maps/search/Garganta+de+Loriga+Serra+da+Estrela/@40.334,-7.725,14z","🥾 PR5 CVL — Rota da Garganta de Loriga")</f>
        <v>🥾 PR5 CVL — Rota da Garganta de Loriga</v>
      </c>
      <c r="L97" s="994" t="s">
        <v>2459</v>
      </c>
    </row>
    <row r="98" spans="1:12" ht="15" customHeight="1" x14ac:dyDescent="0.35">
      <c r="A98" s="983">
        <v>7</v>
      </c>
      <c r="B98" s="975" t="s">
        <v>2460</v>
      </c>
      <c r="C98" s="976" t="s">
        <v>2452</v>
      </c>
      <c r="D98" s="977" t="s">
        <v>2315</v>
      </c>
      <c r="E98" s="978" t="s">
        <v>2291</v>
      </c>
      <c r="F98" s="997" t="s">
        <v>2285</v>
      </c>
      <c r="G98" s="978" t="s">
        <v>2278</v>
      </c>
      <c r="H98" s="980" t="s">
        <v>2293</v>
      </c>
      <c r="I98" s="981" t="s">
        <v>2361</v>
      </c>
      <c r="J98" s="982" t="s">
        <v>20130</v>
      </c>
      <c r="K98" s="745" t="str">
        <f>HYPERLINK("https://www.google.com/maps/search/Penedos+Mouros+Gouveia+Serra+da+Estrela/@40.495,-7.59,14z","🥾 PR6 GVA — Rota dos Penedos Mouros (Gouveia)")</f>
        <v>🥾 PR6 GVA — Rota dos Penedos Mouros (Gouveia)</v>
      </c>
      <c r="L98" s="984" t="s">
        <v>2447</v>
      </c>
    </row>
    <row r="99" spans="1:12" ht="15" customHeight="1" x14ac:dyDescent="0.35">
      <c r="A99" s="993">
        <v>8</v>
      </c>
      <c r="B99" s="985" t="s">
        <v>2461</v>
      </c>
      <c r="C99" s="986" t="s">
        <v>2388</v>
      </c>
      <c r="D99" s="987" t="s">
        <v>2302</v>
      </c>
      <c r="E99" s="988" t="s">
        <v>2369</v>
      </c>
      <c r="F99" s="998" t="s">
        <v>2297</v>
      </c>
      <c r="G99" s="988" t="s">
        <v>2278</v>
      </c>
      <c r="H99" s="990" t="s">
        <v>2370</v>
      </c>
      <c r="I99" s="991" t="s">
        <v>2287</v>
      </c>
      <c r="J99" s="992" t="s">
        <v>20131</v>
      </c>
      <c r="K99" s="746" t="str">
        <f>HYPERLINK("https://www.google.com/maps/search/Celorico+da+Beira+Serra+da+Estrela/@40.628,-7.395,14z","🥾 PR7 CLB — Ladeiras de Celorico da Beira")</f>
        <v>🥾 PR7 CLB — Ladeiras de Celorico da Beira</v>
      </c>
      <c r="L99" s="994" t="s">
        <v>2433</v>
      </c>
    </row>
    <row r="100" spans="1:12" ht="15" customHeight="1" x14ac:dyDescent="0.35">
      <c r="A100" s="983">
        <v>9</v>
      </c>
      <c r="B100" s="975" t="s">
        <v>2462</v>
      </c>
      <c r="C100" s="976" t="s">
        <v>2452</v>
      </c>
      <c r="D100" s="977" t="s">
        <v>2378</v>
      </c>
      <c r="E100" s="978" t="s">
        <v>2308</v>
      </c>
      <c r="F100" s="997" t="s">
        <v>2285</v>
      </c>
      <c r="G100" s="978" t="s">
        <v>2278</v>
      </c>
      <c r="H100" s="980" t="s">
        <v>2463</v>
      </c>
      <c r="I100" s="981" t="s">
        <v>2343</v>
      </c>
      <c r="J100" s="982" t="s">
        <v>20132</v>
      </c>
      <c r="K100" s="745" t="str">
        <f>HYPERLINK("https://www.google.com/maps/search/Barreiras+Cabeco+Serra+da+Estrela+Altitude/@40.32,-7.58,14z","🥾 PR8 MTG — Trilho das Barreiras e Cabeços da Estrela")</f>
        <v>🥾 PR8 MTG — Trilho das Barreiras e Cabeços da Estrela</v>
      </c>
      <c r="L100" s="984" t="s">
        <v>2447</v>
      </c>
    </row>
    <row r="101" spans="1:12" ht="15" customHeight="1" x14ac:dyDescent="0.35">
      <c r="A101" s="993">
        <v>10</v>
      </c>
      <c r="B101" s="985" t="s">
        <v>2464</v>
      </c>
      <c r="C101" s="986" t="s">
        <v>836</v>
      </c>
      <c r="D101" s="987" t="s">
        <v>2318</v>
      </c>
      <c r="E101" s="988" t="s">
        <v>2389</v>
      </c>
      <c r="F101" s="989" t="s">
        <v>2285</v>
      </c>
      <c r="G101" s="988" t="s">
        <v>2278</v>
      </c>
      <c r="H101" s="990" t="s">
        <v>2442</v>
      </c>
      <c r="I101" s="991" t="s">
        <v>2332</v>
      </c>
      <c r="J101" s="992" t="s">
        <v>20133</v>
      </c>
      <c r="K101" s="746" t="str">
        <f>HYPERLINK("https://www.google.com/maps/search/Belmonte+Aldeia+Historica+Pedro+Alvares+Cabral/@40.358,-7.353,14z","🥾 PR9 BLM — Rota das Aldeias Históricas — Belmonte")</f>
        <v>🥾 PR9 BLM — Rota das Aldeias Históricas — Belmonte</v>
      </c>
      <c r="L101" s="994" t="s">
        <v>2465</v>
      </c>
    </row>
    <row r="102" spans="1:12" ht="15" customHeight="1" x14ac:dyDescent="0.35">
      <c r="A102" s="983">
        <v>11</v>
      </c>
      <c r="B102" s="975" t="s">
        <v>2466</v>
      </c>
      <c r="C102" s="976" t="s">
        <v>2452</v>
      </c>
      <c r="D102" s="977" t="s">
        <v>2302</v>
      </c>
      <c r="E102" s="978" t="s">
        <v>2369</v>
      </c>
      <c r="F102" s="995" t="s">
        <v>2297</v>
      </c>
      <c r="G102" s="978" t="s">
        <v>2278</v>
      </c>
      <c r="H102" s="980" t="s">
        <v>2336</v>
      </c>
      <c r="I102" s="981" t="s">
        <v>2299</v>
      </c>
      <c r="J102" s="982" t="s">
        <v>20134</v>
      </c>
      <c r="K102" s="745" t="str">
        <f>HYPERLINK("https://www.google.com/maps/search/Levadas+de+Seia+Serra+da+Estrela/@40.418,-7.7,14z","🥾 PR10 SEI — Rota das Levadas — Seia")</f>
        <v>🥾 PR10 SEI — Rota das Levadas — Seia</v>
      </c>
      <c r="L102" s="984" t="s">
        <v>2467</v>
      </c>
    </row>
    <row r="103" spans="1:12" ht="15" customHeight="1" x14ac:dyDescent="0.35">
      <c r="A103" s="993">
        <v>12</v>
      </c>
      <c r="B103" s="985" t="s">
        <v>2468</v>
      </c>
      <c r="C103" s="986" t="s">
        <v>2407</v>
      </c>
      <c r="D103" s="987" t="s">
        <v>2315</v>
      </c>
      <c r="E103" s="988" t="s">
        <v>2291</v>
      </c>
      <c r="F103" s="989" t="s">
        <v>2285</v>
      </c>
      <c r="G103" s="988" t="s">
        <v>2278</v>
      </c>
      <c r="H103" s="990" t="s">
        <v>2463</v>
      </c>
      <c r="I103" s="991" t="s">
        <v>2343</v>
      </c>
      <c r="J103" s="992" t="s">
        <v>20135</v>
      </c>
      <c r="K103" s="746" t="str">
        <f>HYPERLINK("https://www.google.com/maps/search/Cantaro+Gordo+Serra+da+Estrela+Fragas/@40.335,-7.55,14z","🥾 PR11 CVL — Rota das Fragas do Cântaro Gordo")</f>
        <v>🥾 PR11 CVL — Rota das Fragas do Cântaro Gordo</v>
      </c>
      <c r="L103" s="994" t="s">
        <v>2408</v>
      </c>
    </row>
    <row r="104" spans="1:12" ht="15" customHeight="1" x14ac:dyDescent="0.35">
      <c r="A104" s="983">
        <v>13</v>
      </c>
      <c r="B104" s="975" t="s">
        <v>2469</v>
      </c>
      <c r="C104" s="976" t="s">
        <v>2407</v>
      </c>
      <c r="D104" s="977" t="s">
        <v>2296</v>
      </c>
      <c r="E104" s="978" t="s">
        <v>2284</v>
      </c>
      <c r="F104" s="995" t="s">
        <v>2297</v>
      </c>
      <c r="G104" s="978" t="s">
        <v>2278</v>
      </c>
      <c r="H104" s="980" t="s">
        <v>2370</v>
      </c>
      <c r="I104" s="981" t="s">
        <v>2332</v>
      </c>
      <c r="J104" s="982" t="s">
        <v>20136</v>
      </c>
      <c r="K104" s="745" t="str">
        <f>HYPERLINK("https://www.google.com/maps/search/Via+Sacra+de+Gouveia+Serra+da+Estrela/@40.495,-7.59,14z","🥾 PR12 GVA — Caminhos da Fé — Via Sacra de Gouveia")</f>
        <v>🥾 PR12 GVA — Caminhos da Fé — Via Sacra de Gouveia</v>
      </c>
      <c r="L104" s="984" t="s">
        <v>2408</v>
      </c>
    </row>
    <row r="105" spans="1:12" ht="15" customHeight="1" x14ac:dyDescent="0.35">
      <c r="A105" s="993">
        <v>14</v>
      </c>
      <c r="B105" s="985" t="s">
        <v>2470</v>
      </c>
      <c r="C105" s="986" t="s">
        <v>2388</v>
      </c>
      <c r="D105" s="987" t="s">
        <v>2410</v>
      </c>
      <c r="E105" s="988" t="s">
        <v>2291</v>
      </c>
      <c r="F105" s="999" t="s">
        <v>2303</v>
      </c>
      <c r="G105" s="988" t="s">
        <v>2278</v>
      </c>
      <c r="H105" s="990" t="s">
        <v>2442</v>
      </c>
      <c r="I105" s="991" t="s">
        <v>2305</v>
      </c>
      <c r="J105" s="992" t="s">
        <v>20137</v>
      </c>
      <c r="K105" s="746" t="str">
        <f>HYPERLINK("https://www.google.com/maps/search/Aldeia+da+Cerdeira+Aldeias+do+Xisto+Lousa/@40.112,-8.23,14z","🥾 LSA PR3 — Rota da Levada — Cerdeira e Candal")</f>
        <v>🥾 LSA PR3 — Rota da Levada — Cerdeira e Candal</v>
      </c>
      <c r="L105" s="994" t="s">
        <v>2382</v>
      </c>
    </row>
    <row r="106" spans="1:12" ht="15" customHeight="1" x14ac:dyDescent="0.35">
      <c r="A106" s="983">
        <v>15</v>
      </c>
      <c r="B106" s="975" t="s">
        <v>2471</v>
      </c>
      <c r="C106" s="976" t="s">
        <v>2388</v>
      </c>
      <c r="D106" s="977" t="s">
        <v>2472</v>
      </c>
      <c r="E106" s="978" t="s">
        <v>2473</v>
      </c>
      <c r="F106" s="995" t="s">
        <v>2297</v>
      </c>
      <c r="G106" s="978" t="s">
        <v>2278</v>
      </c>
      <c r="H106" s="980" t="s">
        <v>2336</v>
      </c>
      <c r="I106" s="981"/>
      <c r="J106" s="982" t="s">
        <v>20138</v>
      </c>
      <c r="K106" s="745" t="str">
        <f>HYPERLINK("https://www.google.com/maps/search/Moinhos+Castelo+de+Arouce+Lousã/@40.1,-8.225,14z","🥾 LSA PR1 — Rota dos Moinhos — Castelo de Arouce")</f>
        <v>🥾 LSA PR1 — Rota dos Moinhos — Castelo de Arouce</v>
      </c>
      <c r="L106" s="984" t="s">
        <v>2433</v>
      </c>
    </row>
    <row r="107" spans="1:12" ht="15" customHeight="1" x14ac:dyDescent="0.35">
      <c r="A107" s="993">
        <v>16</v>
      </c>
      <c r="B107" s="985" t="s">
        <v>2474</v>
      </c>
      <c r="C107" s="986" t="s">
        <v>2388</v>
      </c>
      <c r="D107" s="987" t="s">
        <v>2311</v>
      </c>
      <c r="E107" s="988" t="s">
        <v>2276</v>
      </c>
      <c r="F107" s="999" t="s">
        <v>2303</v>
      </c>
      <c r="G107" s="988" t="s">
        <v>2278</v>
      </c>
      <c r="H107" s="990" t="s">
        <v>2355</v>
      </c>
      <c r="I107" s="991" t="s">
        <v>2361</v>
      </c>
      <c r="J107" s="992" t="s">
        <v>20139</v>
      </c>
      <c r="K107" s="746" t="str">
        <f>HYPERLINK("https://www.google.com/maps/search/Aigra+Nova+Aigra+Velha+Aldeias+Xisto+Lousa/@40.108,-8.22,14z","🥾 LSA PR4 — Rota das Quatro Aldeias")</f>
        <v>🥾 LSA PR4 — Rota das Quatro Aldeias</v>
      </c>
      <c r="L107" s="994" t="s">
        <v>2433</v>
      </c>
    </row>
    <row r="108" spans="1:12" ht="15" customHeight="1" x14ac:dyDescent="0.35">
      <c r="A108" s="983">
        <v>17</v>
      </c>
      <c r="B108" s="975" t="s">
        <v>2475</v>
      </c>
      <c r="C108" s="976" t="s">
        <v>2388</v>
      </c>
      <c r="D108" s="977" t="s">
        <v>2476</v>
      </c>
      <c r="E108" s="978" t="s">
        <v>2477</v>
      </c>
      <c r="F108" s="979" t="s">
        <v>2277</v>
      </c>
      <c r="G108" s="978" t="s">
        <v>2278</v>
      </c>
      <c r="H108" s="980" t="s">
        <v>2478</v>
      </c>
      <c r="I108" s="981" t="s">
        <v>2328</v>
      </c>
      <c r="J108" s="982" t="s">
        <v>20140</v>
      </c>
      <c r="K108" s="745" t="str">
        <f>HYPERLINK("https://www.google.com/maps/search/Serra+do+Acor+Gois+Aldeias+do+Xisto/@40.138,-8.105,14z","🥾 GOI PR4 — Trilho da Serra do Açor")</f>
        <v>🥾 GOI PR4 — Trilho da Serra do Açor</v>
      </c>
      <c r="L108" s="984" t="s">
        <v>2479</v>
      </c>
    </row>
    <row r="109" spans="1:12" ht="15" customHeight="1" x14ac:dyDescent="0.35">
      <c r="A109" s="993">
        <v>18</v>
      </c>
      <c r="B109" s="985" t="s">
        <v>2480</v>
      </c>
      <c r="C109" s="986" t="s">
        <v>2388</v>
      </c>
      <c r="D109" s="987" t="s">
        <v>2378</v>
      </c>
      <c r="E109" s="988" t="s">
        <v>2276</v>
      </c>
      <c r="F109" s="989" t="s">
        <v>2285</v>
      </c>
      <c r="G109" s="988" t="s">
        <v>2278</v>
      </c>
      <c r="H109" s="990" t="s">
        <v>2336</v>
      </c>
      <c r="I109" s="991" t="s">
        <v>2299</v>
      </c>
      <c r="J109" s="992" t="s">
        <v>20141</v>
      </c>
      <c r="K109" s="746" t="str">
        <f>HYPERLINK("https://www.google.com/maps/search/Vale+do+Ceira+Gois+Aldeia+do+Xisto/@40.115,-8.12,14z","🥾 GOI PR3 — Trilho do Vale do Ceira")</f>
        <v>🥾 GOI PR3 — Trilho do Vale do Ceira</v>
      </c>
      <c r="L109" s="994" t="s">
        <v>2481</v>
      </c>
    </row>
    <row r="110" spans="1:12" ht="15" customHeight="1" x14ac:dyDescent="0.35">
      <c r="A110" s="983">
        <v>19</v>
      </c>
      <c r="B110" s="975" t="s">
        <v>2482</v>
      </c>
      <c r="C110" s="976" t="s">
        <v>2407</v>
      </c>
      <c r="D110" s="977" t="s">
        <v>2483</v>
      </c>
      <c r="E110" s="978" t="s">
        <v>2369</v>
      </c>
      <c r="F110" s="1000" t="s">
        <v>2303</v>
      </c>
      <c r="G110" s="978" t="s">
        <v>2278</v>
      </c>
      <c r="H110" s="980" t="s">
        <v>2442</v>
      </c>
      <c r="I110" s="981" t="s">
        <v>2332</v>
      </c>
      <c r="J110" s="982" t="s">
        <v>20142</v>
      </c>
      <c r="K110" s="745" t="str">
        <f>HYPERLINK("https://www.google.com/maps/search/Aldeia+de+Fajao+Aldeias+do+Xisto+Pampilhosa/@40.085,-8.08,14z","🥾 PPS PR1 — Caminho do Xisto de Fajão")</f>
        <v>🥾 PPS PR1 — Caminho do Xisto de Fajão</v>
      </c>
      <c r="L110" s="984" t="s">
        <v>2408</v>
      </c>
    </row>
    <row r="111" spans="1:12" ht="15" customHeight="1" x14ac:dyDescent="0.35">
      <c r="A111" s="993">
        <v>20</v>
      </c>
      <c r="B111" s="985" t="s">
        <v>2484</v>
      </c>
      <c r="C111" s="986" t="s">
        <v>2407</v>
      </c>
      <c r="D111" s="987" t="s">
        <v>2290</v>
      </c>
      <c r="E111" s="988" t="s">
        <v>2369</v>
      </c>
      <c r="F111" s="998" t="s">
        <v>2297</v>
      </c>
      <c r="G111" s="988" t="s">
        <v>2278</v>
      </c>
      <c r="H111" s="990" t="s">
        <v>2298</v>
      </c>
      <c r="I111" s="991" t="s">
        <v>2485</v>
      </c>
      <c r="J111" s="992" t="s">
        <v>20143</v>
      </c>
      <c r="K111" s="746" t="str">
        <f>HYPERLINK("https://www.google.com/maps/search/Aldeia+das+Dez+Oliveira+do+Hospital+Aldeias+Xisto/@40.275,-7.748,14z","🥾 OHP PR1 — Caminho do Xisto de Aldeia das Dez — Várzeas do Alvoco")</f>
        <v>🥾 OHP PR1 — Caminho do Xisto de Aldeia das Dez — Várzeas do Alvoco</v>
      </c>
      <c r="L111" s="994" t="s">
        <v>2408</v>
      </c>
    </row>
    <row r="112" spans="1:12" ht="15" customHeight="1" x14ac:dyDescent="0.35">
      <c r="A112" s="983">
        <v>21</v>
      </c>
      <c r="B112" s="975" t="s">
        <v>2486</v>
      </c>
      <c r="C112" s="976" t="s">
        <v>2441</v>
      </c>
      <c r="D112" s="977" t="s">
        <v>2335</v>
      </c>
      <c r="E112" s="978" t="s">
        <v>2308</v>
      </c>
      <c r="F112" s="997" t="s">
        <v>2285</v>
      </c>
      <c r="G112" s="978" t="s">
        <v>2278</v>
      </c>
      <c r="H112" s="980" t="s">
        <v>2431</v>
      </c>
      <c r="I112" s="981" t="s">
        <v>2487</v>
      </c>
      <c r="J112" s="982" t="s">
        <v>20144</v>
      </c>
      <c r="K112" s="745" t="str">
        <f>HYPERLINK("https://www.google.com/maps/search/Penacova+Rio+Mondego+Lampreia/@40.265,-8.278,14z","🥾 PCV PR1 — Penacova, o Mondego e a Lampreia")</f>
        <v>🥾 PCV PR1 — Penacova, o Mondego e a Lampreia</v>
      </c>
      <c r="L112" s="984" t="s">
        <v>2488</v>
      </c>
    </row>
    <row r="113" spans="1:12" ht="15" customHeight="1" x14ac:dyDescent="0.35">
      <c r="A113" s="993">
        <v>22</v>
      </c>
      <c r="B113" s="985" t="s">
        <v>2489</v>
      </c>
      <c r="C113" s="986" t="s">
        <v>2441</v>
      </c>
      <c r="D113" s="987" t="s">
        <v>2318</v>
      </c>
      <c r="E113" s="988" t="s">
        <v>2389</v>
      </c>
      <c r="F113" s="989" t="s">
        <v>2285</v>
      </c>
      <c r="G113" s="988" t="s">
        <v>2278</v>
      </c>
      <c r="H113" s="990" t="s">
        <v>2490</v>
      </c>
      <c r="I113" s="991" t="s">
        <v>2287</v>
      </c>
      <c r="J113" s="992" t="s">
        <v>20145</v>
      </c>
      <c r="K113" s="746" t="str">
        <f>HYPERLINK("https://www.google.com/maps/search/Serra+da+Lua+Torres+Novas+Centro/@39.5,-8.525,14z","🥾 PMS PR1 — Serra da Lua")</f>
        <v>🥾 PMS PR1 — Serra da Lua</v>
      </c>
      <c r="L113" s="994" t="s">
        <v>2465</v>
      </c>
    </row>
    <row r="114" spans="1:12" ht="15" customHeight="1" x14ac:dyDescent="0.35">
      <c r="A114" s="983">
        <v>23</v>
      </c>
      <c r="B114" s="975" t="s">
        <v>2491</v>
      </c>
      <c r="C114" s="976" t="s">
        <v>836</v>
      </c>
      <c r="D114" s="977" t="s">
        <v>2315</v>
      </c>
      <c r="E114" s="978" t="s">
        <v>2291</v>
      </c>
      <c r="F114" s="997" t="s">
        <v>2285</v>
      </c>
      <c r="G114" s="978" t="s">
        <v>2278</v>
      </c>
      <c r="H114" s="980" t="s">
        <v>2298</v>
      </c>
      <c r="I114" s="981" t="s">
        <v>2280</v>
      </c>
      <c r="J114" s="982" t="s">
        <v>20146</v>
      </c>
      <c r="K114" s="745" t="str">
        <f>HYPERLINK("https://www.google.com/maps/search/Lapa+dos+Pocilgoes+Espeleologia+Maciço+Calcario/@39.55,-8.63,14z","🥾 PMS PR3 — Lapa dos Pocilgões — Espeleologia e Grutas")</f>
        <v>🥾 PMS PR3 — Lapa dos Pocilgões — Espeleologia e Grutas</v>
      </c>
      <c r="L114" s="984" t="s">
        <v>2465</v>
      </c>
    </row>
    <row r="115" spans="1:12" ht="15" customHeight="1" x14ac:dyDescent="0.35">
      <c r="A115" s="993">
        <v>24</v>
      </c>
      <c r="B115" s="985" t="s">
        <v>2492</v>
      </c>
      <c r="C115" s="986" t="s">
        <v>2441</v>
      </c>
      <c r="D115" s="987" t="s">
        <v>2378</v>
      </c>
      <c r="E115" s="988" t="s">
        <v>2276</v>
      </c>
      <c r="F115" s="998" t="s">
        <v>2297</v>
      </c>
      <c r="G115" s="988" t="s">
        <v>2278</v>
      </c>
      <c r="H115" s="990" t="s">
        <v>2358</v>
      </c>
      <c r="I115" s="991" t="s">
        <v>2332</v>
      </c>
      <c r="J115" s="992" t="s">
        <v>20147</v>
      </c>
      <c r="K115" s="746" t="str">
        <f>HYPERLINK("https://www.google.com/maps/search/Estrada+Romana+Lapias+Porto+de+Mos+Pegadas+Dinossauros/@39.6,-8.82,14z","🥾 PMS PR9 — Estrada Romana e Lapiás de Porto de Mós")</f>
        <v>🥾 PMS PR9 — Estrada Romana e Lapiás de Porto de Mós</v>
      </c>
      <c r="L115" s="994" t="s">
        <v>2465</v>
      </c>
    </row>
    <row r="116" spans="1:12" ht="15" customHeight="1" x14ac:dyDescent="0.35">
      <c r="A116" s="983">
        <v>25</v>
      </c>
      <c r="B116" s="975" t="s">
        <v>2493</v>
      </c>
      <c r="C116" s="976" t="s">
        <v>2494</v>
      </c>
      <c r="D116" s="977" t="s">
        <v>2290</v>
      </c>
      <c r="E116" s="978" t="s">
        <v>2369</v>
      </c>
      <c r="F116" s="995" t="s">
        <v>2297</v>
      </c>
      <c r="G116" s="978" t="s">
        <v>2278</v>
      </c>
      <c r="H116" s="980" t="s">
        <v>2431</v>
      </c>
      <c r="I116" s="981" t="s">
        <v>2495</v>
      </c>
      <c r="J116" s="982" t="s">
        <v>20148</v>
      </c>
      <c r="K116" s="745" t="str">
        <f>HYPERLINK("https://www.google.com/maps/search/Fornea+Maior+Dolina+Portugal+Maciço+Calcario/@39.58,-8.65,14z","🥾 PMS PR6 — Fórnea — Maior Dolina de Portugal")</f>
        <v>🥾 PMS PR6 — Fórnea — Maior Dolina de Portugal</v>
      </c>
      <c r="L116" s="984" t="s">
        <v>2465</v>
      </c>
    </row>
    <row r="117" spans="1:12" ht="15" customHeight="1" x14ac:dyDescent="0.35">
      <c r="A117" s="993">
        <v>26</v>
      </c>
      <c r="B117" s="985" t="s">
        <v>2496</v>
      </c>
      <c r="C117" s="986" t="s">
        <v>2497</v>
      </c>
      <c r="D117" s="987" t="s">
        <v>2302</v>
      </c>
      <c r="E117" s="988" t="s">
        <v>2369</v>
      </c>
      <c r="F117" s="998" t="s">
        <v>2297</v>
      </c>
      <c r="G117" s="988" t="s">
        <v>2278</v>
      </c>
      <c r="H117" s="990" t="s">
        <v>2498</v>
      </c>
      <c r="I117" s="991" t="s">
        <v>2499</v>
      </c>
      <c r="J117" s="992" t="s">
        <v>20149</v>
      </c>
      <c r="K117" s="746" t="str">
        <f>HYPERLINK("https://www.google.com/maps/search/Grutas+do+Almonda+Torres+Novas+Paleolitico/@39.48,-8.5,14z","🥾 TNV PR1 — Grutas do Almonda — Torres Novas")</f>
        <v>🥾 TNV PR1 — Grutas do Almonda — Torres Novas</v>
      </c>
      <c r="L117" s="994" t="s">
        <v>2465</v>
      </c>
    </row>
    <row r="118" spans="1:12" ht="15" customHeight="1" x14ac:dyDescent="0.35">
      <c r="A118" s="983">
        <v>27</v>
      </c>
      <c r="B118" s="975" t="s">
        <v>2500</v>
      </c>
      <c r="C118" s="976" t="s">
        <v>2501</v>
      </c>
      <c r="D118" s="977" t="s">
        <v>2311</v>
      </c>
      <c r="E118" s="978" t="s">
        <v>2291</v>
      </c>
      <c r="F118" s="995" t="s">
        <v>2297</v>
      </c>
      <c r="G118" s="978" t="s">
        <v>2278</v>
      </c>
      <c r="H118" s="980" t="s">
        <v>2502</v>
      </c>
      <c r="I118" s="981" t="s">
        <v>2305</v>
      </c>
      <c r="J118" s="982" t="s">
        <v>20150</v>
      </c>
      <c r="K118" s="745" t="str">
        <f>HYPERLINK("https://www.google.com/maps/search/Lagoa+de+Sao+Jose+Pombal+Centro/@39.91,-8.63,14z","🥾 PBL PR1 — Trilho da Lagoa de São José (Pombal)")</f>
        <v>🥾 PBL PR1 — Trilho da Lagoa de São José (Pombal)</v>
      </c>
      <c r="L118" s="984" t="s">
        <v>2465</v>
      </c>
    </row>
    <row r="119" spans="1:12" ht="15" customHeight="1" x14ac:dyDescent="0.35">
      <c r="A119" s="993">
        <v>28</v>
      </c>
      <c r="B119" s="985" t="s">
        <v>2503</v>
      </c>
      <c r="C119" s="986" t="s">
        <v>2501</v>
      </c>
      <c r="D119" s="987" t="s">
        <v>2340</v>
      </c>
      <c r="E119" s="988" t="s">
        <v>2389</v>
      </c>
      <c r="F119" s="989" t="s">
        <v>2285</v>
      </c>
      <c r="G119" s="988" t="s">
        <v>2278</v>
      </c>
      <c r="H119" s="990" t="s">
        <v>2319</v>
      </c>
      <c r="I119" s="991" t="s">
        <v>2287</v>
      </c>
      <c r="J119" s="992" t="s">
        <v>20151</v>
      </c>
      <c r="K119" s="746" t="str">
        <f>HYPERLINK("https://www.google.com/maps/search/Cascata+do+Orvalho+Passadicos+Aldeias+Xisto/@40,-8.05,14z","🥾 OLR PR3 — GeoRota do Orvalho — Passadiços")</f>
        <v>🥾 OLR PR3 — GeoRota do Orvalho — Passadiços</v>
      </c>
      <c r="L119" s="994" t="s">
        <v>2465</v>
      </c>
    </row>
    <row r="120" spans="1:12" ht="15" customHeight="1" x14ac:dyDescent="0.35">
      <c r="A120" s="983">
        <v>29</v>
      </c>
      <c r="B120" s="975" t="s">
        <v>2504</v>
      </c>
      <c r="C120" s="976" t="s">
        <v>836</v>
      </c>
      <c r="D120" s="977" t="s">
        <v>2335</v>
      </c>
      <c r="E120" s="978" t="s">
        <v>2308</v>
      </c>
      <c r="F120" s="997" t="s">
        <v>2285</v>
      </c>
      <c r="G120" s="978" t="s">
        <v>2278</v>
      </c>
      <c r="H120" s="980" t="s">
        <v>2336</v>
      </c>
      <c r="I120" s="981" t="s">
        <v>2505</v>
      </c>
      <c r="J120" s="982" t="s">
        <v>20152</v>
      </c>
      <c r="K120" s="745" t="str">
        <f>HYPERLINK("https://www.google.com/maps/search/Abutre+do+Egipto+Tejo+Internacional+Idanha+a+Nova/@39.925,-7.235,14z","🥾 IDN PR1 — Rota dos Abutres — Idanha-a-Nova")</f>
        <v>🥾 IDN PR1 — Rota dos Abutres — Idanha-a-Nova</v>
      </c>
      <c r="L120" s="984" t="s">
        <v>2465</v>
      </c>
    </row>
    <row r="121" spans="1:12" ht="15" customHeight="1" x14ac:dyDescent="0.35">
      <c r="A121" s="993">
        <v>30</v>
      </c>
      <c r="B121" s="985" t="s">
        <v>2506</v>
      </c>
      <c r="C121" s="986" t="s">
        <v>836</v>
      </c>
      <c r="D121" s="987" t="s">
        <v>2302</v>
      </c>
      <c r="E121" s="988" t="s">
        <v>2369</v>
      </c>
      <c r="F121" s="998" t="s">
        <v>2297</v>
      </c>
      <c r="G121" s="988" t="s">
        <v>2278</v>
      </c>
      <c r="H121" s="990" t="s">
        <v>2431</v>
      </c>
      <c r="I121" s="991" t="s">
        <v>2332</v>
      </c>
      <c r="J121" s="992" t="s">
        <v>20153</v>
      </c>
      <c r="K121" s="746" t="str">
        <f>HYPERLINK("https://www.google.com/maps/search/Idanha+a+Velha+Cidade+Romana+Visigótica/@39.975,-7.145,14z","🥾 IDN PR2 — Rota da Egitânia — Idanha-a-Velha")</f>
        <v>🥾 IDN PR2 — Rota da Egitânia — Idanha-a-Velha</v>
      </c>
      <c r="L121" s="994" t="s">
        <v>2465</v>
      </c>
    </row>
    <row r="122" spans="1:12" ht="15" customHeight="1" x14ac:dyDescent="0.35">
      <c r="A122" s="983">
        <v>31</v>
      </c>
      <c r="B122" s="975" t="s">
        <v>2507</v>
      </c>
      <c r="C122" s="976" t="s">
        <v>836</v>
      </c>
      <c r="D122" s="977" t="s">
        <v>2311</v>
      </c>
      <c r="E122" s="978" t="s">
        <v>2291</v>
      </c>
      <c r="F122" s="997" t="s">
        <v>2285</v>
      </c>
      <c r="G122" s="978" t="s">
        <v>2278</v>
      </c>
      <c r="H122" s="980" t="s">
        <v>2298</v>
      </c>
      <c r="I122" s="981" t="s">
        <v>2508</v>
      </c>
      <c r="J122" s="982" t="s">
        <v>20154</v>
      </c>
      <c r="K122" s="745" t="str">
        <f>HYPERLINK("https://www.google.com/maps/search/Minas+Wolframio+Idanha+a+Nova+Centro/@39.93,-7.2,14z","🥾 IDN PR4 — Rota das Minas — Terras de Idanha")</f>
        <v>🥾 IDN PR4 — Rota das Minas — Terras de Idanha</v>
      </c>
      <c r="L122" s="984" t="s">
        <v>2465</v>
      </c>
    </row>
    <row r="123" spans="1:12" ht="15" customHeight="1" x14ac:dyDescent="0.35">
      <c r="A123" s="993">
        <v>32</v>
      </c>
      <c r="B123" s="985" t="s">
        <v>2509</v>
      </c>
      <c r="C123" s="986" t="s">
        <v>2497</v>
      </c>
      <c r="D123" s="987" t="s">
        <v>2315</v>
      </c>
      <c r="E123" s="988" t="s">
        <v>2291</v>
      </c>
      <c r="F123" s="989" t="s">
        <v>2285</v>
      </c>
      <c r="G123" s="988" t="s">
        <v>2278</v>
      </c>
      <c r="H123" s="990" t="s">
        <v>2510</v>
      </c>
      <c r="I123" s="991" t="s">
        <v>2287</v>
      </c>
      <c r="J123" s="992" t="s">
        <v>20155</v>
      </c>
      <c r="K123" s="746" t="str">
        <f>HYPERLINK("https://www.google.com/maps/search/Portas+de+Rodao+Tejo+Vila+Velha+de+Rodao/@39.668,-7.67,14z","🥾 VVR PR1 — Rota das Invasões — Vila Velha de Ródão")</f>
        <v>🥾 VVR PR1 — Rota das Invasões — Vila Velha de Ródão</v>
      </c>
      <c r="L123" s="994" t="s">
        <v>2465</v>
      </c>
    </row>
    <row r="124" spans="1:12" ht="15" customHeight="1" x14ac:dyDescent="0.35">
      <c r="A124" s="983">
        <v>33</v>
      </c>
      <c r="B124" s="975" t="s">
        <v>2511</v>
      </c>
      <c r="C124" s="976" t="s">
        <v>2407</v>
      </c>
      <c r="D124" s="977" t="s">
        <v>2378</v>
      </c>
      <c r="E124" s="978" t="s">
        <v>2276</v>
      </c>
      <c r="F124" s="997" t="s">
        <v>2285</v>
      </c>
      <c r="G124" s="978" t="s">
        <v>2278</v>
      </c>
      <c r="H124" s="980" t="s">
        <v>2298</v>
      </c>
      <c r="I124" s="981" t="s">
        <v>2305</v>
      </c>
      <c r="J124" s="982" t="s">
        <v>20156</v>
      </c>
      <c r="K124" s="745" t="str">
        <f>HYPERLINK("https://www.google.com/maps/search/Proenca+a+Nova+Historia+Paisagem+Centro/@39.75,-7.92,14z","🥾 PNV PR1 — A História na Paisagem — Proença-a-Nova")</f>
        <v>🥾 PNV PR1 — A História na Paisagem — Proença-a-Nova</v>
      </c>
      <c r="L124" s="984" t="s">
        <v>2408</v>
      </c>
    </row>
    <row r="125" spans="1:12" ht="15" customHeight="1" x14ac:dyDescent="0.35">
      <c r="A125" s="993">
        <v>34</v>
      </c>
      <c r="B125" s="985" t="s">
        <v>2512</v>
      </c>
      <c r="C125" s="986" t="s">
        <v>2388</v>
      </c>
      <c r="D125" s="987" t="s">
        <v>2302</v>
      </c>
      <c r="E125" s="988" t="s">
        <v>2369</v>
      </c>
      <c r="F125" s="998" t="s">
        <v>2297</v>
      </c>
      <c r="G125" s="988" t="s">
        <v>2278</v>
      </c>
      <c r="H125" s="990" t="s">
        <v>2358</v>
      </c>
      <c r="I125" s="991" t="s">
        <v>2332</v>
      </c>
      <c r="J125" s="992" t="s">
        <v>20157</v>
      </c>
      <c r="K125" s="746" t="str">
        <f>HYPERLINK("https://www.google.com/maps/search/Serta+Serra+Centro+Portugal/@39.8,-8.1,14z","🥾 SRT PR1 — Trilho dos Bufos — Sertã")</f>
        <v>🥾 SRT PR1 — Trilho dos Bufos — Sertã</v>
      </c>
      <c r="L125" s="994" t="s">
        <v>2433</v>
      </c>
    </row>
    <row r="126" spans="1:12" ht="15" customHeight="1" x14ac:dyDescent="0.35">
      <c r="A126" s="983">
        <v>35</v>
      </c>
      <c r="B126" s="975" t="s">
        <v>2513</v>
      </c>
      <c r="C126" s="976" t="s">
        <v>2452</v>
      </c>
      <c r="D126" s="977" t="s">
        <v>2514</v>
      </c>
      <c r="E126" s="978" t="s">
        <v>2420</v>
      </c>
      <c r="F126" s="979" t="s">
        <v>2277</v>
      </c>
      <c r="G126" s="978" t="s">
        <v>2278</v>
      </c>
      <c r="H126" s="980" t="s">
        <v>2515</v>
      </c>
      <c r="I126" s="981" t="s">
        <v>2516</v>
      </c>
      <c r="J126" s="982" t="s">
        <v>20158</v>
      </c>
      <c r="K126" s="745" t="str">
        <f>HYPERLINK("https://www.google.com/maps/search/Serra+da+Gardunha+Fundao+Cerejeira/@40.145,-7.501,14z","🥾 CTB PR1 — Rota da Gardunha — Fundão")</f>
        <v>🥾 CTB PR1 — Rota da Gardunha — Fundão</v>
      </c>
      <c r="L126" s="984" t="s">
        <v>2447</v>
      </c>
    </row>
    <row r="127" spans="1:12" ht="15" customHeight="1" x14ac:dyDescent="0.35">
      <c r="A127" s="993">
        <v>36</v>
      </c>
      <c r="B127" s="985" t="s">
        <v>2517</v>
      </c>
      <c r="C127" s="986" t="s">
        <v>2407</v>
      </c>
      <c r="D127" s="987" t="s">
        <v>2518</v>
      </c>
      <c r="E127" s="988" t="s">
        <v>2519</v>
      </c>
      <c r="F127" s="989" t="s">
        <v>2285</v>
      </c>
      <c r="G127" s="988" t="s">
        <v>2270</v>
      </c>
      <c r="H127" s="990" t="s">
        <v>2520</v>
      </c>
      <c r="I127" s="991" t="s">
        <v>2287</v>
      </c>
      <c r="J127" s="992" t="s">
        <v>20159</v>
      </c>
      <c r="K127" s="746" t="str">
        <f>HYPERLINK("https://www.google.com/maps/search/Sortelha+Monsanto+Aldeias+Historicas+Portugal/@40.298,-7.05,14z","🥾 GR22 Sortelha — GR22 — Sortelha e Monsanto (Aldeias Históricas)")</f>
        <v>🥾 GR22 Sortelha — GR22 — Sortelha e Monsanto (Aldeias Históricas)</v>
      </c>
      <c r="L127" s="994" t="s">
        <v>2408</v>
      </c>
    </row>
    <row r="128" spans="1:12" ht="15" customHeight="1" x14ac:dyDescent="0.35">
      <c r="A128" s="983">
        <v>37</v>
      </c>
      <c r="B128" s="975" t="s">
        <v>2521</v>
      </c>
      <c r="C128" s="976" t="s">
        <v>2388</v>
      </c>
      <c r="D128" s="977" t="s">
        <v>2315</v>
      </c>
      <c r="E128" s="978" t="s">
        <v>2291</v>
      </c>
      <c r="F128" s="995" t="s">
        <v>2297</v>
      </c>
      <c r="G128" s="978" t="s">
        <v>2278</v>
      </c>
      <c r="H128" s="980" t="s">
        <v>2336</v>
      </c>
      <c r="I128" s="981" t="s">
        <v>2522</v>
      </c>
      <c r="J128" s="982" t="s">
        <v>20160</v>
      </c>
      <c r="K128" s="745" t="str">
        <f>HYPERLINK("https://www.google.com/maps/search/Rota+da+Cereja+Fundao+Gardunha+Floração/@40.145,-7.501,14z","🥾 FND PR1 Cereja — Rota da Cereja — Fundão")</f>
        <v>🥾 FND PR1 Cereja — Rota da Cereja — Fundão</v>
      </c>
      <c r="L128" s="984" t="s">
        <v>2433</v>
      </c>
    </row>
    <row r="129" spans="1:12" ht="15" customHeight="1" x14ac:dyDescent="0.35">
      <c r="A129" s="993">
        <v>38</v>
      </c>
      <c r="B129" s="985" t="s">
        <v>2523</v>
      </c>
      <c r="C129" s="986" t="s">
        <v>836</v>
      </c>
      <c r="D129" s="987" t="s">
        <v>2290</v>
      </c>
      <c r="E129" s="988" t="s">
        <v>2369</v>
      </c>
      <c r="F129" s="998" t="s">
        <v>2297</v>
      </c>
      <c r="G129" s="988" t="s">
        <v>2278</v>
      </c>
      <c r="H129" s="990" t="s">
        <v>2319</v>
      </c>
      <c r="I129" s="991" t="s">
        <v>2332</v>
      </c>
      <c r="J129" s="992" t="s">
        <v>20161</v>
      </c>
      <c r="K129" s="746" t="str">
        <f>HYPERLINK("https://www.google.com/maps/search/Fabrica+Lanifico+Covilha+Rio+Goldra/@40.28,-7.505,14z","🥾 CVL PR2 — Rota das Fontes — Covilhã")</f>
        <v>🥾 CVL PR2 — Rota das Fontes — Covilhã</v>
      </c>
      <c r="L129" s="994" t="s">
        <v>2465</v>
      </c>
    </row>
    <row r="130" spans="1:12" ht="15" customHeight="1" x14ac:dyDescent="0.35">
      <c r="A130" s="983">
        <v>39</v>
      </c>
      <c r="B130" s="975" t="s">
        <v>2524</v>
      </c>
      <c r="C130" s="976" t="s">
        <v>2525</v>
      </c>
      <c r="D130" s="977" t="s">
        <v>2311</v>
      </c>
      <c r="E130" s="978" t="s">
        <v>2276</v>
      </c>
      <c r="F130" s="997" t="s">
        <v>2285</v>
      </c>
      <c r="G130" s="978" t="s">
        <v>2278</v>
      </c>
      <c r="H130" s="980" t="s">
        <v>2312</v>
      </c>
      <c r="I130" s="981" t="s">
        <v>2287</v>
      </c>
      <c r="J130" s="982" t="s">
        <v>20162</v>
      </c>
      <c r="K130" s="745" t="str">
        <f>HYPERLINK("https://www.google.com/maps/search/Castelo+Penamacor+Raia+Fronteira/@40.17,-7.175,14z","🥾 PNC PR1 — Rota da Vila — Penamacor")</f>
        <v>🥾 PNC PR1 — Rota da Vila — Penamacor</v>
      </c>
      <c r="L130" s="984" t="s">
        <v>2465</v>
      </c>
    </row>
    <row r="131" spans="1:12" ht="15" customHeight="1" x14ac:dyDescent="0.35">
      <c r="A131" s="993">
        <v>40</v>
      </c>
      <c r="B131" s="985" t="s">
        <v>2526</v>
      </c>
      <c r="C131" s="986" t="s">
        <v>2525</v>
      </c>
      <c r="D131" s="987" t="s">
        <v>2302</v>
      </c>
      <c r="E131" s="988" t="s">
        <v>2369</v>
      </c>
      <c r="F131" s="998" t="s">
        <v>2297</v>
      </c>
      <c r="G131" s="988" t="s">
        <v>2278</v>
      </c>
      <c r="H131" s="990" t="s">
        <v>2527</v>
      </c>
      <c r="I131" s="991" t="s">
        <v>2528</v>
      </c>
      <c r="J131" s="992" t="s">
        <v>20163</v>
      </c>
      <c r="K131" s="746" t="str">
        <f>HYPERLINK("https://www.google.com/maps/search/Castelo+de+Marvao+Serra+de+Sao+Mamede/@39.405,-7.378,14z","🥾 MRV PR2 — Percurso Pedestre de Marvão")</f>
        <v>🥾 MRV PR2 — Percurso Pedestre de Marvão</v>
      </c>
      <c r="L131" s="994" t="s">
        <v>1434</v>
      </c>
    </row>
    <row r="132" spans="1:12" ht="15" customHeight="1" x14ac:dyDescent="0.35">
      <c r="A132" s="983">
        <v>41</v>
      </c>
      <c r="B132" s="975" t="s">
        <v>2529</v>
      </c>
      <c r="C132" s="976" t="s">
        <v>2497</v>
      </c>
      <c r="D132" s="977" t="s">
        <v>2290</v>
      </c>
      <c r="E132" s="978" t="s">
        <v>2369</v>
      </c>
      <c r="F132" s="995" t="s">
        <v>2297</v>
      </c>
      <c r="G132" s="978" t="s">
        <v>2278</v>
      </c>
      <c r="H132" s="980" t="s">
        <v>2319</v>
      </c>
      <c r="I132" s="981" t="s">
        <v>2332</v>
      </c>
      <c r="J132" s="982" t="s">
        <v>20164</v>
      </c>
      <c r="K132" s="745" t="str">
        <f>HYPERLINK("https://www.google.com/maps/search/Castelo+de+Vide+Serra+Sao+Paulo+Menir/@39.418,-7.455,14z","🥾 CVD PR1 — Serra de São Paulo — Castelo de Vide")</f>
        <v>🥾 CVD PR1 — Serra de São Paulo — Castelo de Vide</v>
      </c>
      <c r="L132" s="984" t="s">
        <v>2530</v>
      </c>
    </row>
    <row r="133" spans="1:12" ht="15" customHeight="1" x14ac:dyDescent="0.35">
      <c r="A133" s="993">
        <v>42</v>
      </c>
      <c r="B133" s="985" t="s">
        <v>2531</v>
      </c>
      <c r="C133" s="986" t="s">
        <v>2497</v>
      </c>
      <c r="D133" s="987" t="s">
        <v>2311</v>
      </c>
      <c r="E133" s="988" t="s">
        <v>2291</v>
      </c>
      <c r="F133" s="998" t="s">
        <v>2297</v>
      </c>
      <c r="G133" s="988" t="s">
        <v>2278</v>
      </c>
      <c r="H133" s="990" t="s">
        <v>2532</v>
      </c>
      <c r="I133" s="991" t="s">
        <v>2533</v>
      </c>
      <c r="J133" s="992" t="s">
        <v>20165</v>
      </c>
      <c r="K133" s="746" t="str">
        <f>HYPERLINK("https://www.google.com/maps/search/Nisa+Pedras+com+Buraco+Rio+Tejo+Fronteira/@39.515,-7.65,14z","🥾 NIS PR2 — Descobrir o Tejo — Nisa")</f>
        <v>🥾 NIS PR2 — Descobrir o Tejo — Nisa</v>
      </c>
      <c r="L133" s="994" t="s">
        <v>2534</v>
      </c>
    </row>
    <row r="134" spans="1:12" ht="15" customHeight="1" x14ac:dyDescent="0.35">
      <c r="A134" s="983">
        <v>43</v>
      </c>
      <c r="B134" s="975" t="s">
        <v>2535</v>
      </c>
      <c r="C134" s="976" t="s">
        <v>2525</v>
      </c>
      <c r="D134" s="977" t="s">
        <v>2340</v>
      </c>
      <c r="E134" s="978" t="s">
        <v>2389</v>
      </c>
      <c r="F134" s="997" t="s">
        <v>2285</v>
      </c>
      <c r="G134" s="978" t="s">
        <v>2278</v>
      </c>
      <c r="H134" s="980" t="s">
        <v>2358</v>
      </c>
      <c r="I134" s="981" t="s">
        <v>2536</v>
      </c>
      <c r="J134" s="982" t="s">
        <v>20166</v>
      </c>
      <c r="K134" s="745" t="str">
        <f>HYPERLINK("https://www.google.com/maps/search/Arronches+Castelo+Rio+Caia+Serra+Sao+Mamede/@39.128,-7.275,14z","🥾 ARR PR1 — Percurso da Esperança — Arronches")</f>
        <v>🥾 ARR PR1 — Percurso da Esperança — Arronches</v>
      </c>
      <c r="L134" s="984" t="s">
        <v>2465</v>
      </c>
    </row>
    <row r="135" spans="1:12" ht="15" customHeight="1" x14ac:dyDescent="0.35">
      <c r="A135" s="993">
        <v>44</v>
      </c>
      <c r="B135" s="985" t="s">
        <v>2537</v>
      </c>
      <c r="C135" s="986" t="s">
        <v>2407</v>
      </c>
      <c r="D135" s="987" t="s">
        <v>2315</v>
      </c>
      <c r="E135" s="988" t="s">
        <v>2291</v>
      </c>
      <c r="F135" s="998" t="s">
        <v>2297</v>
      </c>
      <c r="G135" s="988" t="s">
        <v>2278</v>
      </c>
      <c r="H135" s="990" t="s">
        <v>2298</v>
      </c>
      <c r="I135" s="991" t="s">
        <v>2287</v>
      </c>
      <c r="J135" s="992" t="s">
        <v>20167</v>
      </c>
      <c r="K135" s="746" t="str">
        <f>HYPERLINK("https://www.google.com/maps/search/Portalegre+Fabrica+Lanifico+Serra+Sao+Mamede/@39.295,-7.435,14z","🥾 PTG PR1 — Percurso Pedestre das Carreiras — Portalegre")</f>
        <v>🥾 PTG PR1 — Percurso Pedestre das Carreiras — Portalegre</v>
      </c>
      <c r="L135" s="994" t="s">
        <v>2538</v>
      </c>
    </row>
    <row r="136" spans="1:12" ht="15" customHeight="1" x14ac:dyDescent="0.35">
      <c r="A136" s="983">
        <v>45</v>
      </c>
      <c r="B136" s="975" t="s">
        <v>2539</v>
      </c>
      <c r="C136" s="976" t="s">
        <v>2540</v>
      </c>
      <c r="D136" s="977" t="s">
        <v>2296</v>
      </c>
      <c r="E136" s="978" t="s">
        <v>2284</v>
      </c>
      <c r="F136" s="995" t="s">
        <v>2297</v>
      </c>
      <c r="G136" s="978" t="s">
        <v>2278</v>
      </c>
      <c r="H136" s="980" t="s">
        <v>2541</v>
      </c>
      <c r="I136" s="981" t="s">
        <v>2542</v>
      </c>
      <c r="J136" s="982" t="s">
        <v>20168</v>
      </c>
      <c r="K136" s="745" t="str">
        <f>HYPERLINK("https://www.google.com/maps/search/Floresta+do+Bucaco+Palace+Hotel+Via+Sacra/@40.38,-8.36,14z","🥾 Buçaco PR1 — Trilho do Buçaco — Via Sacra e Fontes")</f>
        <v>🥾 Buçaco PR1 — Trilho do Buçaco — Via Sacra e Fontes</v>
      </c>
      <c r="L136" s="984" t="s">
        <v>2543</v>
      </c>
    </row>
    <row r="137" spans="1:12" ht="15" customHeight="1" x14ac:dyDescent="0.35">
      <c r="A137" s="993">
        <v>46</v>
      </c>
      <c r="B137" s="985" t="s">
        <v>2544</v>
      </c>
      <c r="C137" s="986" t="s">
        <v>836</v>
      </c>
      <c r="D137" s="987" t="s">
        <v>2340</v>
      </c>
      <c r="E137" s="988" t="s">
        <v>2389</v>
      </c>
      <c r="F137" s="989" t="s">
        <v>2285</v>
      </c>
      <c r="G137" s="988" t="s">
        <v>2278</v>
      </c>
      <c r="H137" s="990" t="s">
        <v>2502</v>
      </c>
      <c r="I137" s="991" t="s">
        <v>2332</v>
      </c>
      <c r="J137" s="992" t="s">
        <v>20169</v>
      </c>
      <c r="K137" s="746" t="str">
        <f>HYPERLINK("https://www.google.com/maps/search/Conimbriga+Ruinas+Romanas+Condeixa+a+Nova/@40.21,-8.49,14z","🥾 CDN PR1 — Rota de Conímbriga — Arqueologia Romana")</f>
        <v>🥾 CDN PR1 — Rota de Conímbriga — Arqueologia Romana</v>
      </c>
      <c r="L137" s="994" t="s">
        <v>2465</v>
      </c>
    </row>
    <row r="138" spans="1:12" ht="15" customHeight="1" x14ac:dyDescent="0.35">
      <c r="A138" s="983">
        <v>47</v>
      </c>
      <c r="B138" s="975" t="s">
        <v>2545</v>
      </c>
      <c r="C138" s="976" t="s">
        <v>836</v>
      </c>
      <c r="D138" s="977" t="s">
        <v>2340</v>
      </c>
      <c r="E138" s="978" t="s">
        <v>2341</v>
      </c>
      <c r="F138" s="997" t="s">
        <v>2285</v>
      </c>
      <c r="G138" s="978" t="s">
        <v>2278</v>
      </c>
      <c r="H138" s="980" t="s">
        <v>2331</v>
      </c>
      <c r="I138" s="981" t="s">
        <v>2305</v>
      </c>
      <c r="J138" s="982" t="s">
        <v>20170</v>
      </c>
      <c r="K138" s="745" t="str">
        <f>HYPERLINK("https://www.google.com/maps/search/Grande+Fornea+Alvaiazere+Dolina/@39.825,-8.38,14z","🥾 AVZ PR3 — Grande Fórnea — Alvaiázere")</f>
        <v>🥾 AVZ PR3 — Grande Fórnea — Alvaiázere</v>
      </c>
      <c r="L138" s="984" t="s">
        <v>2465</v>
      </c>
    </row>
    <row r="139" spans="1:12" ht="15" customHeight="1" x14ac:dyDescent="0.35">
      <c r="A139" s="993">
        <v>48</v>
      </c>
      <c r="B139" s="985" t="s">
        <v>2546</v>
      </c>
      <c r="C139" s="986" t="s">
        <v>2540</v>
      </c>
      <c r="D139" s="987" t="s">
        <v>2290</v>
      </c>
      <c r="E139" s="988" t="s">
        <v>2369</v>
      </c>
      <c r="F139" s="998" t="s">
        <v>2297</v>
      </c>
      <c r="G139" s="988" t="s">
        <v>2278</v>
      </c>
      <c r="H139" s="990" t="s">
        <v>2532</v>
      </c>
      <c r="I139" s="991" t="s">
        <v>2332</v>
      </c>
      <c r="J139" s="992" t="s">
        <v>20171</v>
      </c>
      <c r="K139" s="746" t="str">
        <f>HYPERLINK("https://www.google.com/maps/search/Moinhos+do+Bucaco+Floresta+Nacional/@40.38,-8.36,14z","🥾 PCV PR2 — Na Rota dos Moinhos do Buçaco")</f>
        <v>🥾 PCV PR2 — Na Rota dos Moinhos do Buçaco</v>
      </c>
      <c r="L139" s="994" t="s">
        <v>2543</v>
      </c>
    </row>
    <row r="140" spans="1:12" ht="15" customHeight="1" x14ac:dyDescent="0.35">
      <c r="A140" s="983">
        <v>49</v>
      </c>
      <c r="B140" s="975" t="s">
        <v>2547</v>
      </c>
      <c r="C140" s="976" t="s">
        <v>836</v>
      </c>
      <c r="D140" s="977" t="s">
        <v>2378</v>
      </c>
      <c r="E140" s="978" t="s">
        <v>2276</v>
      </c>
      <c r="F140" s="997" t="s">
        <v>2285</v>
      </c>
      <c r="G140" s="978" t="s">
        <v>2278</v>
      </c>
      <c r="H140" s="980" t="s">
        <v>2431</v>
      </c>
      <c r="I140" s="981" t="s">
        <v>2332</v>
      </c>
      <c r="J140" s="982" t="s">
        <v>20172</v>
      </c>
      <c r="K140" s="745" t="str">
        <f>HYPERLINK("https://www.google.com/maps/search/Antas+Megalitas+Ansiao+Centro+Portugal/@39.91,-8.445,14z","🥾 ANS PR1 — Rota dos Povoados Pré-históricos — Ansião")</f>
        <v>🥾 ANS PR1 — Rota dos Povoados Pré-históricos — Ansião</v>
      </c>
      <c r="L140" s="984" t="s">
        <v>2465</v>
      </c>
    </row>
    <row r="141" spans="1:12" ht="15" customHeight="1" x14ac:dyDescent="0.35">
      <c r="A141" s="993">
        <v>50</v>
      </c>
      <c r="B141" s="985" t="s">
        <v>2548</v>
      </c>
      <c r="C141" s="986" t="s">
        <v>2540</v>
      </c>
      <c r="D141" s="987" t="s">
        <v>2549</v>
      </c>
      <c r="E141" s="988" t="s">
        <v>2291</v>
      </c>
      <c r="F141" s="989" t="s">
        <v>2285</v>
      </c>
      <c r="G141" s="988" t="s">
        <v>2278</v>
      </c>
      <c r="H141" s="990" t="s">
        <v>2502</v>
      </c>
      <c r="I141" s="991" t="s">
        <v>2550</v>
      </c>
      <c r="J141" s="992" t="s">
        <v>20173</v>
      </c>
      <c r="K141" s="746" t="str">
        <f>HYPERLINK("https://www.google.com/maps/search/Forte+Santa+Catarina+Figueira+da+Foz+Estuario+Mondego/@40.15,-8.87,14z","🥾 FIG PR3 — Rota da Boa Viagem — Figueira da Foz")</f>
        <v>🥾 FIG PR3 — Rota da Boa Viagem — Figueira da Foz</v>
      </c>
      <c r="L141" s="994" t="s">
        <v>2465</v>
      </c>
    </row>
    <row r="142" spans="1:12" ht="15" customHeight="1" x14ac:dyDescent="0.35">
      <c r="A142" s="983">
        <v>51</v>
      </c>
      <c r="B142" s="975" t="s">
        <v>2551</v>
      </c>
      <c r="C142" s="976" t="s">
        <v>2388</v>
      </c>
      <c r="D142" s="977" t="s">
        <v>2315</v>
      </c>
      <c r="E142" s="978" t="s">
        <v>2291</v>
      </c>
      <c r="F142" s="997" t="s">
        <v>2285</v>
      </c>
      <c r="G142" s="978" t="s">
        <v>2278</v>
      </c>
      <c r="H142" s="980" t="s">
        <v>2358</v>
      </c>
      <c r="I142" s="981" t="s">
        <v>2536</v>
      </c>
      <c r="J142" s="982" t="s">
        <v>20174</v>
      </c>
      <c r="K142" s="745" t="str">
        <f>HYPERLINK("https://www.google.com/maps/search/Castelo+de+Sardoal+Rio+Tejo+Ribatejo/@39.54,-8.165,14z","🥾 SRD PR1 — Na Rota do Javali — Sardoal")</f>
        <v>🥾 SRD PR1 — Na Rota do Javali — Sardoal</v>
      </c>
      <c r="L142" s="984" t="s">
        <v>2433</v>
      </c>
    </row>
    <row r="143" spans="1:12" ht="15" customHeight="1" x14ac:dyDescent="0.35">
      <c r="A143" s="993">
        <v>52</v>
      </c>
      <c r="B143" s="985" t="s">
        <v>2552</v>
      </c>
      <c r="C143" s="986" t="s">
        <v>2407</v>
      </c>
      <c r="D143" s="987" t="s">
        <v>2302</v>
      </c>
      <c r="E143" s="988" t="s">
        <v>2284</v>
      </c>
      <c r="F143" s="998" t="s">
        <v>2297</v>
      </c>
      <c r="G143" s="988" t="s">
        <v>2278</v>
      </c>
      <c r="H143" s="990" t="s">
        <v>2553</v>
      </c>
      <c r="I143" s="991" t="s">
        <v>2332</v>
      </c>
      <c r="J143" s="992" t="s">
        <v>20175</v>
      </c>
      <c r="K143" s="746" t="str">
        <f>HYPERLINK("https://www.google.com/maps/search/Antas+Mamoas+Sardoal+Moura+Encantada/@39.54,-8.165,14z","🥾 SRD PR5 — Caminho da Moura Encantada — Sardoal")</f>
        <v>🥾 SRD PR5 — Caminho da Moura Encantada — Sardoal</v>
      </c>
      <c r="L143" s="994" t="s">
        <v>2408</v>
      </c>
    </row>
    <row r="144" spans="1:12" ht="15" customHeight="1" x14ac:dyDescent="0.35">
      <c r="A144" s="983">
        <v>53</v>
      </c>
      <c r="B144" s="975" t="s">
        <v>2554</v>
      </c>
      <c r="C144" s="976" t="s">
        <v>2497</v>
      </c>
      <c r="D144" s="977" t="s">
        <v>2311</v>
      </c>
      <c r="E144" s="978" t="s">
        <v>2291</v>
      </c>
      <c r="F144" s="997" t="s">
        <v>2285</v>
      </c>
      <c r="G144" s="978" t="s">
        <v>2278</v>
      </c>
      <c r="H144" s="980" t="s">
        <v>2431</v>
      </c>
      <c r="I144" s="981" t="s">
        <v>2555</v>
      </c>
      <c r="J144" s="982" t="s">
        <v>20176</v>
      </c>
      <c r="K144" s="745" t="str">
        <f>HYPERLINK("https://www.google.com/maps/search/Castelo+Medieval+Abrantes+Rio+Tejo/@39.465,-8.198,14z","🥾 ABT PR1 — Pico do Coelho — Abrantes")</f>
        <v>🥾 ABT PR1 — Pico do Coelho — Abrantes</v>
      </c>
      <c r="L144" s="984" t="s">
        <v>2252</v>
      </c>
    </row>
    <row r="145" spans="1:12" ht="15" customHeight="1" x14ac:dyDescent="0.35">
      <c r="A145" s="993">
        <v>54</v>
      </c>
      <c r="B145" s="985" t="s">
        <v>2556</v>
      </c>
      <c r="C145" s="986" t="s">
        <v>2497</v>
      </c>
      <c r="D145" s="987" t="s">
        <v>2290</v>
      </c>
      <c r="E145" s="988" t="s">
        <v>2369</v>
      </c>
      <c r="F145" s="998" t="s">
        <v>2297</v>
      </c>
      <c r="G145" s="988" t="s">
        <v>2278</v>
      </c>
      <c r="H145" s="990" t="s">
        <v>2557</v>
      </c>
      <c r="I145" s="991" t="s">
        <v>2287</v>
      </c>
      <c r="J145" s="992" t="s">
        <v>20177</v>
      </c>
      <c r="K145" s="746" t="str">
        <f>HYPERLINK("https://www.google.com/maps/search/Barragem+de+Belver+Castelo+Medieval+Gaviao/@39.465,-7.935,14z","🥾 GAV PR1 — Arribas do Tejo — Gavião")</f>
        <v>🥾 GAV PR1 — Arribas do Tejo — Gavião</v>
      </c>
      <c r="L145" s="994" t="s">
        <v>2534</v>
      </c>
    </row>
    <row r="146" spans="1:12" ht="15" customHeight="1" x14ac:dyDescent="0.35">
      <c r="A146" s="993">
        <v>55</v>
      </c>
      <c r="B146" s="985" t="s">
        <v>20679</v>
      </c>
      <c r="C146" s="986" t="s">
        <v>20680</v>
      </c>
      <c r="D146" s="987" t="s">
        <v>20681</v>
      </c>
      <c r="E146" s="988" t="s">
        <v>20682</v>
      </c>
      <c r="F146" s="998" t="s">
        <v>2285</v>
      </c>
      <c r="G146" s="988" t="s">
        <v>2270</v>
      </c>
      <c r="H146" s="990" t="s">
        <v>2319</v>
      </c>
      <c r="I146" s="991" t="s">
        <v>2652</v>
      </c>
      <c r="J146" s="992" t="s">
        <v>20683</v>
      </c>
      <c r="K146" s="1162" t="str">
        <f>HYPERLINK("https://www.google.com/maps/search/GR48+Grande+Rota+Mondego+Coimbra+Figueira+Foz/@40.211,-8.429,10z","🥾 GR48 — Grande Rota do Mondego")</f>
        <v>🥾 GR48 — Grande Rota do Mondego</v>
      </c>
      <c r="L146" s="994"/>
    </row>
    <row r="147" spans="1:12" ht="15" customHeight="1" x14ac:dyDescent="0.35">
      <c r="A147" s="993">
        <v>56</v>
      </c>
      <c r="B147" s="985" t="s">
        <v>20684</v>
      </c>
      <c r="C147" s="986" t="s">
        <v>20685</v>
      </c>
      <c r="D147" s="987" t="s">
        <v>20686</v>
      </c>
      <c r="E147" s="988" t="s">
        <v>20682</v>
      </c>
      <c r="F147" s="998" t="s">
        <v>2285</v>
      </c>
      <c r="G147" s="988" t="s">
        <v>20687</v>
      </c>
      <c r="H147" s="990" t="s">
        <v>2358</v>
      </c>
      <c r="I147" s="991" t="s">
        <v>2652</v>
      </c>
      <c r="J147" s="992" t="s">
        <v>20688</v>
      </c>
      <c r="K147" s="1162" t="str">
        <f>HYPERLINK("https://www.google.com/maps/search/Floresta+Bucaco+Palacio+Hotel+Mealhada+Coimbra/@40.372,-8.362,12z","🥾 GR49 — Grande Rota do Buçaco")</f>
        <v>🥾 GR49 — Grande Rota do Buçaco</v>
      </c>
      <c r="L147" s="994"/>
    </row>
    <row r="148" spans="1:12" ht="15" customHeight="1" x14ac:dyDescent="0.35">
      <c r="A148" s="993">
        <v>57</v>
      </c>
      <c r="B148" s="985" t="s">
        <v>20689</v>
      </c>
      <c r="C148" s="986" t="s">
        <v>20690</v>
      </c>
      <c r="D148" s="987" t="s">
        <v>20691</v>
      </c>
      <c r="E148" s="988" t="s">
        <v>20682</v>
      </c>
      <c r="F148" s="998" t="s">
        <v>2285</v>
      </c>
      <c r="G148" s="988" t="s">
        <v>2270</v>
      </c>
      <c r="H148" s="990" t="s">
        <v>2336</v>
      </c>
      <c r="I148" s="991" t="s">
        <v>2652</v>
      </c>
      <c r="J148" s="992" t="s">
        <v>20692</v>
      </c>
      <c r="K148" s="1162" t="str">
        <f>HYPERLINK("https://www.google.com/maps/search/GR51+Grande+Rota+Alva+Penacova+Oliveira+Hospital/@40.250,-8.100,11z","🥾 GR51 — Grande Rota do Alva")</f>
        <v>🥾 GR51 — Grande Rota do Alva</v>
      </c>
      <c r="L148" s="994"/>
    </row>
    <row r="149" spans="1:12" ht="15" customHeight="1" x14ac:dyDescent="0.35">
      <c r="A149" s="993">
        <v>58</v>
      </c>
      <c r="B149" s="985" t="s">
        <v>20693</v>
      </c>
      <c r="C149" s="986" t="s">
        <v>20694</v>
      </c>
      <c r="D149" s="987" t="s">
        <v>20695</v>
      </c>
      <c r="E149" s="988" t="s">
        <v>20682</v>
      </c>
      <c r="F149" s="998" t="s">
        <v>2297</v>
      </c>
      <c r="G149" s="988" t="s">
        <v>2270</v>
      </c>
      <c r="H149" s="990" t="s">
        <v>2431</v>
      </c>
      <c r="I149" s="991" t="s">
        <v>2595</v>
      </c>
      <c r="J149" s="992" t="s">
        <v>20696</v>
      </c>
      <c r="K149" s="1162" t="str">
        <f>HYPERLINK("https://www.google.com/maps/search/Caminho+Natural+Espiritualidade+Coimbra+Mortagua+Santa+Comba+Dao/@40.302,-8.282,11z","🥾 CNE — Caminho Natural da Espiritualidade")</f>
        <v>🥾 CNE — Caminho Natural da Espiritualidade</v>
      </c>
      <c r="L149" s="994"/>
    </row>
    <row r="150" spans="1:12" ht="15" customHeight="1" x14ac:dyDescent="0.35">
      <c r="A150" s="993">
        <v>59</v>
      </c>
      <c r="B150" s="985" t="s">
        <v>20697</v>
      </c>
      <c r="C150" s="986" t="s">
        <v>20698</v>
      </c>
      <c r="D150" s="987" t="s">
        <v>20699</v>
      </c>
      <c r="E150" s="988" t="s">
        <v>13482</v>
      </c>
      <c r="F150" s="998" t="s">
        <v>2297</v>
      </c>
      <c r="G150" s="988" t="s">
        <v>2278</v>
      </c>
      <c r="H150" s="990" t="s">
        <v>2578</v>
      </c>
      <c r="I150" s="991" t="s">
        <v>2595</v>
      </c>
      <c r="J150" s="992" t="s">
        <v>20700</v>
      </c>
      <c r="K150" s="1162" t="str">
        <f>HYPERLINK("https://www.google.com/maps/search/Mata+da+Margaraca+Arganil+Reserva+Botanica+Coimbra/@40.188,-8.016,15z","🥾 PI Mata da Margaraça — Arganil")</f>
        <v>🥾 PI Mata da Margaraça — Arganil</v>
      </c>
      <c r="L150" s="994"/>
    </row>
    <row r="151" spans="1:12" ht="15" customHeight="1" x14ac:dyDescent="0.35">
      <c r="A151" s="993">
        <v>60</v>
      </c>
      <c r="B151" s="985" t="s">
        <v>20701</v>
      </c>
      <c r="C151" s="986" t="s">
        <v>20702</v>
      </c>
      <c r="D151" s="987" t="s">
        <v>2335</v>
      </c>
      <c r="E151" s="988" t="s">
        <v>2291</v>
      </c>
      <c r="F151" s="998" t="s">
        <v>2297</v>
      </c>
      <c r="G151" s="988" t="s">
        <v>2278</v>
      </c>
      <c r="H151" s="990" t="s">
        <v>2793</v>
      </c>
      <c r="I151" s="991" t="s">
        <v>2595</v>
      </c>
      <c r="J151" s="992" t="s">
        <v>20703</v>
      </c>
      <c r="K151" s="1162" t="str">
        <f>HYPERLINK("https://www.google.com/maps/search/Rota+da+Vinha+Cantanhede+Bairrada+Coimbra/@40.345,-8.601,13z","🥾 PR2 CNT — Rota da Vinha — Cantanhede")</f>
        <v>🥾 PR2 CNT — Rota da Vinha — Cantanhede</v>
      </c>
      <c r="L151" s="994"/>
    </row>
    <row r="152" spans="1:12" ht="15" customHeight="1" x14ac:dyDescent="0.35">
      <c r="A152" s="993">
        <v>61</v>
      </c>
      <c r="B152" s="985" t="s">
        <v>20704</v>
      </c>
      <c r="C152" s="986" t="s">
        <v>20702</v>
      </c>
      <c r="D152" s="987" t="s">
        <v>20598</v>
      </c>
      <c r="E152" s="988" t="s">
        <v>2284</v>
      </c>
      <c r="F152" s="998" t="s">
        <v>2297</v>
      </c>
      <c r="G152" s="988" t="s">
        <v>2278</v>
      </c>
      <c r="H152" s="990" t="s">
        <v>2659</v>
      </c>
      <c r="I152" s="991" t="s">
        <v>2595</v>
      </c>
      <c r="J152" s="992" t="s">
        <v>20705</v>
      </c>
      <c r="K152" s="1162" t="str">
        <f>HYPERLINK("https://www.google.com/maps/search/Rota+do+Calcario+Cantanhede+Fosseis+Dinossauro+Coimbra/@40.362,-8.598,13z","🥾 PR3 CNT — Rota do Calcário — Cantanhede")</f>
        <v>🥾 PR3 CNT — Rota do Calcário — Cantanhede</v>
      </c>
      <c r="L152" s="994"/>
    </row>
    <row r="153" spans="1:12" ht="15" customHeight="1" x14ac:dyDescent="0.35">
      <c r="A153" s="993">
        <v>62</v>
      </c>
      <c r="B153" s="985" t="s">
        <v>20706</v>
      </c>
      <c r="C153" s="986" t="s">
        <v>20707</v>
      </c>
      <c r="D153" s="987" t="s">
        <v>20708</v>
      </c>
      <c r="E153" s="988" t="s">
        <v>13503</v>
      </c>
      <c r="F153" s="998" t="s">
        <v>2297</v>
      </c>
      <c r="G153" s="988" t="s">
        <v>2278</v>
      </c>
      <c r="H153" s="990" t="s">
        <v>2723</v>
      </c>
      <c r="I153" s="991" t="s">
        <v>2536</v>
      </c>
      <c r="J153" s="992" t="s">
        <v>20709</v>
      </c>
      <c r="K153" s="1162" t="str">
        <f>HYPERLINK("https://www.google.com/maps/search/Paul+de+Arzila+Reserva+Natural+Coimbra+Mondego/@40.131,-8.622,14z","🥾 PI Paul de Arzila — Coimbra")</f>
        <v>🥾 PI Paul de Arzila — Coimbra</v>
      </c>
      <c r="L153" s="994"/>
    </row>
    <row r="154" spans="1:12" ht="15" customHeight="1" x14ac:dyDescent="0.35">
      <c r="A154" s="993">
        <v>63</v>
      </c>
      <c r="B154" s="985" t="s">
        <v>20710</v>
      </c>
      <c r="C154" s="986" t="s">
        <v>20707</v>
      </c>
      <c r="D154" s="987" t="s">
        <v>20711</v>
      </c>
      <c r="E154" s="988" t="s">
        <v>13482</v>
      </c>
      <c r="F154" s="998" t="s">
        <v>2297</v>
      </c>
      <c r="G154" s="988" t="s">
        <v>2278</v>
      </c>
      <c r="H154" s="990" t="s">
        <v>2721</v>
      </c>
      <c r="I154" s="991" t="s">
        <v>2595</v>
      </c>
      <c r="J154" s="992" t="s">
        <v>20712</v>
      </c>
      <c r="K154" s="1162" t="str">
        <f>HYPERLINK("https://www.google.com/maps/search/Mata+Nacional+Vale+de+Canas+Coimbra/@40.205,-8.436,15z","🥾 PR1 CBR — Mata de Vale de Canas — Coimbra")</f>
        <v>🥾 PR1 CBR — Mata de Vale de Canas — Coimbra</v>
      </c>
      <c r="L154" s="994"/>
    </row>
    <row r="155" spans="1:12" ht="15" customHeight="1" x14ac:dyDescent="0.35">
      <c r="A155" s="993">
        <v>64</v>
      </c>
      <c r="B155" s="985" t="s">
        <v>20713</v>
      </c>
      <c r="C155" s="986" t="s">
        <v>20707</v>
      </c>
      <c r="D155" s="987" t="s">
        <v>20714</v>
      </c>
      <c r="E155" s="988" t="s">
        <v>20423</v>
      </c>
      <c r="F155" s="998" t="s">
        <v>2297</v>
      </c>
      <c r="G155" s="988" t="s">
        <v>2270</v>
      </c>
      <c r="H155" s="990" t="s">
        <v>2561</v>
      </c>
      <c r="I155" s="991" t="s">
        <v>2595</v>
      </c>
      <c r="J155" s="992" t="s">
        <v>20715</v>
      </c>
      <c r="K155" s="1162" t="str">
        <f>HYPERLINK("https://www.google.com/maps/search/Praia+Fluvial+Palheiros+Zorro+Mondego+Coimbra/@40.209,-8.428,14z","🥾 PR2 CBR — Vale de Canas à Praia Palheiros-Zorro")</f>
        <v>🥾 PR2 CBR — Vale de Canas à Praia Palheiros-Zorro</v>
      </c>
      <c r="L155" s="994"/>
    </row>
    <row r="156" spans="1:12" ht="15" customHeight="1" x14ac:dyDescent="0.35">
      <c r="A156" s="993">
        <v>65</v>
      </c>
      <c r="B156" s="985" t="s">
        <v>20716</v>
      </c>
      <c r="C156" s="986" t="s">
        <v>20707</v>
      </c>
      <c r="D156" s="987" t="s">
        <v>20717</v>
      </c>
      <c r="E156" s="988" t="s">
        <v>20718</v>
      </c>
      <c r="F156" s="998" t="s">
        <v>2297</v>
      </c>
      <c r="G156" s="988" t="s">
        <v>2270</v>
      </c>
      <c r="H156" s="990" t="s">
        <v>2721</v>
      </c>
      <c r="I156" s="991" t="s">
        <v>2595</v>
      </c>
      <c r="J156" s="992" t="s">
        <v>20719</v>
      </c>
      <c r="K156" s="1162" t="str">
        <f>HYPERLINK("https://www.google.com/maps/search/Ribeirinho+Mondego+Coimbra+Universidade/@40.204,-8.433,14z","🥾 PR3 CBR — Ribeirinho — Coimbra")</f>
        <v>🥾 PR3 CBR — Ribeirinho — Coimbra</v>
      </c>
      <c r="L156" s="994"/>
    </row>
    <row r="157" spans="1:12" ht="15" customHeight="1" x14ac:dyDescent="0.35">
      <c r="A157" s="993">
        <v>66</v>
      </c>
      <c r="B157" s="985" t="s">
        <v>20720</v>
      </c>
      <c r="C157" s="986" t="s">
        <v>20721</v>
      </c>
      <c r="D157" s="987" t="s">
        <v>20722</v>
      </c>
      <c r="E157" s="988" t="s">
        <v>20548</v>
      </c>
      <c r="F157" s="998" t="s">
        <v>2285</v>
      </c>
      <c r="G157" s="988" t="s">
        <v>2278</v>
      </c>
      <c r="H157" s="990" t="s">
        <v>2358</v>
      </c>
      <c r="I157" s="991" t="s">
        <v>2652</v>
      </c>
      <c r="J157" s="992" t="s">
        <v>20723</v>
      </c>
      <c r="K157" s="1162" t="str">
        <f>HYPERLINK("https://www.google.com/maps/search/Rota+do+Sico+Condeixa+Nova+Conimbriga+Coimbra/@40.141,-8.500,12z","🥾 PR2 CND — Rota do Sicó — Condeixa-a-Nova")</f>
        <v>🥾 PR2 CND — Rota do Sicó — Condeixa-a-Nova</v>
      </c>
      <c r="L157" s="994"/>
    </row>
    <row r="158" spans="1:12" ht="15" customHeight="1" x14ac:dyDescent="0.35">
      <c r="A158" s="993">
        <v>67</v>
      </c>
      <c r="B158" s="985" t="s">
        <v>20724</v>
      </c>
      <c r="C158" s="986" t="s">
        <v>20725</v>
      </c>
      <c r="D158" s="987" t="s">
        <v>20633</v>
      </c>
      <c r="E158" s="988" t="s">
        <v>2369</v>
      </c>
      <c r="F158" s="998" t="s">
        <v>2297</v>
      </c>
      <c r="G158" s="988" t="s">
        <v>2278</v>
      </c>
      <c r="H158" s="990" t="s">
        <v>2561</v>
      </c>
      <c r="I158" s="991" t="s">
        <v>2595</v>
      </c>
      <c r="J158" s="992" t="s">
        <v>20726</v>
      </c>
      <c r="K158" s="1162" t="str">
        <f>HYPERLINK("https://www.google.com/maps/search/Rota+dos+Arrozais+Figueira+da+Foz+Mondego/@40.148,-8.871,13z","🥾 PR1 FIG — Rota dos Arrozais — Figueira da Foz")</f>
        <v>🥾 PR1 FIG — Rota dos Arrozais — Figueira da Foz</v>
      </c>
      <c r="L158" s="994"/>
    </row>
    <row r="159" spans="1:12" ht="15" customHeight="1" x14ac:dyDescent="0.35">
      <c r="A159" s="993">
        <v>68</v>
      </c>
      <c r="B159" s="985" t="s">
        <v>20727</v>
      </c>
      <c r="C159" s="986" t="s">
        <v>20725</v>
      </c>
      <c r="D159" s="987" t="s">
        <v>20728</v>
      </c>
      <c r="E159" s="988" t="s">
        <v>2869</v>
      </c>
      <c r="F159" s="998" t="s">
        <v>2297</v>
      </c>
      <c r="G159" s="988" t="s">
        <v>2278</v>
      </c>
      <c r="H159" s="990" t="s">
        <v>2723</v>
      </c>
      <c r="I159" s="991" t="s">
        <v>2595</v>
      </c>
      <c r="J159" s="992" t="s">
        <v>20729</v>
      </c>
      <c r="K159" s="1162" t="str">
        <f>HYPERLINK("https://www.google.com/maps/search/Salinas+Figueira+da+Foz+Estuario+Mondego/@40.161,-8.868,14z","🥾 PR6 FIG — Rota das Salinas — Figueira da Foz")</f>
        <v>🥾 PR6 FIG — Rota das Salinas — Figueira da Foz</v>
      </c>
      <c r="L159" s="994"/>
    </row>
    <row r="160" spans="1:12" ht="15" customHeight="1" x14ac:dyDescent="0.35">
      <c r="A160" s="993">
        <v>69</v>
      </c>
      <c r="B160" s="985" t="s">
        <v>20730</v>
      </c>
      <c r="C160" s="986" t="s">
        <v>20731</v>
      </c>
      <c r="D160" s="987" t="s">
        <v>20732</v>
      </c>
      <c r="E160" s="988" t="s">
        <v>2330</v>
      </c>
      <c r="F160" s="998" t="s">
        <v>2285</v>
      </c>
      <c r="G160" s="988" t="s">
        <v>2278</v>
      </c>
      <c r="H160" s="990" t="s">
        <v>2502</v>
      </c>
      <c r="I160" s="991" t="s">
        <v>2652</v>
      </c>
      <c r="J160" s="992" t="s">
        <v>20733</v>
      </c>
      <c r="K160" s="1162" t="str">
        <f>HYPERLINK("https://www.google.com/maps/search/Trilho+do+Papel+Gois+Vale+Ceira+Coimbra/@40.155,-8.107,13z","🥾 PR8 GOI — Trilho do Papel — Góis")</f>
        <v>🥾 PR8 GOI — Trilho do Papel — Góis</v>
      </c>
      <c r="L160" s="994"/>
    </row>
    <row r="161" spans="1:12" ht="15" customHeight="1" x14ac:dyDescent="0.35">
      <c r="A161" s="993">
        <v>70</v>
      </c>
      <c r="B161" s="985" t="s">
        <v>20734</v>
      </c>
      <c r="C161" s="986" t="s">
        <v>20731</v>
      </c>
      <c r="D161" s="987" t="s">
        <v>20735</v>
      </c>
      <c r="E161" s="988" t="s">
        <v>2330</v>
      </c>
      <c r="F161" s="998" t="s">
        <v>2285</v>
      </c>
      <c r="G161" s="988" t="s">
        <v>2278</v>
      </c>
      <c r="H161" s="990" t="s">
        <v>2557</v>
      </c>
      <c r="I161" s="991" t="s">
        <v>2652</v>
      </c>
      <c r="J161" s="992" t="s">
        <v>20736</v>
      </c>
      <c r="K161" s="1162" t="str">
        <f>HYPERLINK("https://www.google.com/maps/search/Trilho+do+Baile+Gois+Serra+Acor+Coimbra/@40.155,-8.107,13z","🥾 PR9 GOI — Trilho do Baile — Góis")</f>
        <v>🥾 PR9 GOI — Trilho do Baile — Góis</v>
      </c>
      <c r="L161" s="994"/>
    </row>
    <row r="162" spans="1:12" ht="15" customHeight="1" x14ac:dyDescent="0.35">
      <c r="A162" s="993">
        <v>71</v>
      </c>
      <c r="B162" s="985" t="s">
        <v>20737</v>
      </c>
      <c r="C162" s="986" t="s">
        <v>20738</v>
      </c>
      <c r="D162" s="987" t="s">
        <v>20739</v>
      </c>
      <c r="E162" s="988" t="s">
        <v>20423</v>
      </c>
      <c r="F162" s="998" t="s">
        <v>2297</v>
      </c>
      <c r="G162" s="988" t="s">
        <v>2278</v>
      </c>
      <c r="H162" s="990" t="s">
        <v>2659</v>
      </c>
      <c r="I162" s="991" t="s">
        <v>2595</v>
      </c>
      <c r="J162" s="992" t="s">
        <v>20740</v>
      </c>
      <c r="K162" s="1162" t="str">
        <f>HYPERLINK("https://www.google.com/maps/search/Vale+do+Ceira+Lousa+Rio+Coimbra/@40.109,-8.245,14z","🥾 PI Vale do Ceira — Lousã")</f>
        <v>🥾 PI Vale do Ceira — Lousã</v>
      </c>
      <c r="L162" s="994"/>
    </row>
    <row r="163" spans="1:12" ht="15" customHeight="1" x14ac:dyDescent="0.35">
      <c r="A163" s="993">
        <v>72</v>
      </c>
      <c r="B163" s="985" t="s">
        <v>20741</v>
      </c>
      <c r="C163" s="986" t="s">
        <v>20742</v>
      </c>
      <c r="D163" s="987" t="s">
        <v>20743</v>
      </c>
      <c r="E163" s="988" t="s">
        <v>2473</v>
      </c>
      <c r="F163" s="998" t="s">
        <v>2297</v>
      </c>
      <c r="G163" s="988" t="s">
        <v>2278</v>
      </c>
      <c r="H163" s="990" t="s">
        <v>2622</v>
      </c>
      <c r="I163" s="991" t="s">
        <v>2595</v>
      </c>
      <c r="J163" s="992" t="s">
        <v>20744</v>
      </c>
      <c r="K163" s="1162" t="str">
        <f>HYPERLINK("https://www.google.com/maps/search/Arvores+Notaveis+Mealhada+Bairrada+Bucaco+Coimbra/@40.378,-8.453,13z","🥾 TAN — Trilhos das Árvores Notáveis — Mealhada")</f>
        <v>🥾 TAN — Trilhos das Árvores Notáveis — Mealhada</v>
      </c>
      <c r="L163" s="994"/>
    </row>
    <row r="164" spans="1:12" ht="15" customHeight="1" x14ac:dyDescent="0.35">
      <c r="A164" s="993">
        <v>73</v>
      </c>
      <c r="B164" s="985" t="s">
        <v>20745</v>
      </c>
      <c r="C164" s="986" t="s">
        <v>20746</v>
      </c>
      <c r="D164" s="987" t="s">
        <v>20732</v>
      </c>
      <c r="E164" s="988" t="s">
        <v>2330</v>
      </c>
      <c r="F164" s="998" t="s">
        <v>2297</v>
      </c>
      <c r="G164" s="988" t="s">
        <v>2278</v>
      </c>
      <c r="H164" s="990" t="s">
        <v>2721</v>
      </c>
      <c r="I164" s="991" t="s">
        <v>2595</v>
      </c>
      <c r="J164" s="992" t="s">
        <v>20747</v>
      </c>
      <c r="K164" s="1162" t="str">
        <f>HYPERLINK("https://www.google.com/maps/search/Lagoa+de+Mira+Museu+Etnografico+Palheiros+Coimbra/@40.432,-8.736,13z","🥾 PR1 MIR — Rota dos Museus — Mira")</f>
        <v>🥾 PR1 MIR — Rota dos Museus — Mira</v>
      </c>
      <c r="L164" s="994"/>
    </row>
    <row r="165" spans="1:12" ht="15" customHeight="1" x14ac:dyDescent="0.35">
      <c r="A165" s="993">
        <v>74</v>
      </c>
      <c r="B165" s="985" t="s">
        <v>20748</v>
      </c>
      <c r="C165" s="986" t="s">
        <v>20746</v>
      </c>
      <c r="D165" s="987" t="s">
        <v>20749</v>
      </c>
      <c r="E165" s="988" t="s">
        <v>2473</v>
      </c>
      <c r="F165" s="998" t="s">
        <v>2297</v>
      </c>
      <c r="G165" s="988" t="s">
        <v>2278</v>
      </c>
      <c r="H165" s="990" t="s">
        <v>2561</v>
      </c>
      <c r="I165" s="991" t="s">
        <v>2595</v>
      </c>
      <c r="J165" s="992" t="s">
        <v>20750</v>
      </c>
      <c r="K165" s="1162" t="str">
        <f>HYPERLINK("https://www.google.com/maps/search/Conglomerado+Mira+Geologia+Litoral+Lagoa+Coimbra/@40.435,-8.735,13z","🥾 PR4 MIR — Conglomerado — Mira")</f>
        <v>🥾 PR4 MIR — Conglomerado — Mira</v>
      </c>
      <c r="L165" s="994"/>
    </row>
    <row r="166" spans="1:12" ht="15" customHeight="1" x14ac:dyDescent="0.35">
      <c r="A166" s="993">
        <v>75</v>
      </c>
      <c r="B166" s="985" t="s">
        <v>20751</v>
      </c>
      <c r="C166" s="986" t="s">
        <v>20752</v>
      </c>
      <c r="D166" s="987" t="s">
        <v>20753</v>
      </c>
      <c r="E166" s="988" t="s">
        <v>2284</v>
      </c>
      <c r="F166" s="998" t="s">
        <v>2297</v>
      </c>
      <c r="G166" s="988" t="s">
        <v>2278</v>
      </c>
      <c r="H166" s="990" t="s">
        <v>2498</v>
      </c>
      <c r="I166" s="991" t="s">
        <v>2595</v>
      </c>
      <c r="J166" s="992" t="s">
        <v>20754</v>
      </c>
      <c r="K166" s="1162" t="str">
        <f>HYPERLINK("https://www.google.com/maps/search/Rio+Corvo+Miranda+do+Corvo+Serra+Lousa+Coimbra/@40.092,-8.341,13z","🥾 PR4 MCV — Caminhar ao Longo do Rio — Miranda do Corvo")</f>
        <v>🥾 PR4 MCV — Caminhar ao Longo do Rio — Miranda do Corvo</v>
      </c>
      <c r="L166" s="994"/>
    </row>
    <row r="167" spans="1:12" ht="15" customHeight="1" x14ac:dyDescent="0.35">
      <c r="A167" s="993">
        <v>76</v>
      </c>
      <c r="B167" s="985" t="s">
        <v>20755</v>
      </c>
      <c r="C167" s="986" t="s">
        <v>20756</v>
      </c>
      <c r="D167" s="987" t="s">
        <v>20735</v>
      </c>
      <c r="E167" s="988" t="s">
        <v>2330</v>
      </c>
      <c r="F167" s="998" t="s">
        <v>2297</v>
      </c>
      <c r="G167" s="988" t="s">
        <v>2278</v>
      </c>
      <c r="H167" s="990" t="s">
        <v>20757</v>
      </c>
      <c r="I167" s="991" t="s">
        <v>2536</v>
      </c>
      <c r="J167" s="992" t="s">
        <v>20758</v>
      </c>
      <c r="K167" s="1162" t="str">
        <f>HYPERLINK("https://www.google.com/maps/search/Castelo+Montemor+o+Velho+Mondego+Cigonha+Coimbra/@40.175,-8.677,13z","🥾 PR1 MMV — Rota Monumental das Aves — Montemor-o-Velho")</f>
        <v>🥾 PR1 MMV — Rota Monumental das Aves — Montemor-o-Velho</v>
      </c>
      <c r="L167" s="994"/>
    </row>
    <row r="168" spans="1:12" ht="15" customHeight="1" x14ac:dyDescent="0.35">
      <c r="A168" s="993">
        <v>77</v>
      </c>
      <c r="B168" s="985" t="s">
        <v>20759</v>
      </c>
      <c r="C168" s="986" t="s">
        <v>20760</v>
      </c>
      <c r="D168" s="987" t="s">
        <v>20749</v>
      </c>
      <c r="E168" s="988" t="s">
        <v>2473</v>
      </c>
      <c r="F168" s="998" t="s">
        <v>2297</v>
      </c>
      <c r="G168" s="988" t="s">
        <v>2278</v>
      </c>
      <c r="H168" s="990" t="s">
        <v>2793</v>
      </c>
      <c r="I168" s="991" t="s">
        <v>2652</v>
      </c>
      <c r="J168" s="992" t="s">
        <v>20761</v>
      </c>
      <c r="K168" s="1162" t="str">
        <f>HYPERLINK("https://www.google.com/maps/search/Quedas+Agua+Paredes+Mortagua+Criz+Coimbra/@40.399,-8.225,13z","🥾 PR1 MRT — Quedas de Água das Paredes — Mortágua")</f>
        <v>🥾 PR1 MRT — Quedas de Água das Paredes — Mortágua</v>
      </c>
      <c r="L168" s="994"/>
    </row>
    <row r="169" spans="1:12" ht="15" customHeight="1" x14ac:dyDescent="0.35">
      <c r="A169" s="993">
        <v>78</v>
      </c>
      <c r="B169" s="985" t="s">
        <v>20762</v>
      </c>
      <c r="C169" s="986" t="s">
        <v>20763</v>
      </c>
      <c r="D169" s="987" t="s">
        <v>20753</v>
      </c>
      <c r="E169" s="988" t="s">
        <v>2284</v>
      </c>
      <c r="F169" s="998" t="s">
        <v>2285</v>
      </c>
      <c r="G169" s="988" t="s">
        <v>2278</v>
      </c>
      <c r="H169" s="990" t="s">
        <v>2532</v>
      </c>
      <c r="I169" s="991" t="s">
        <v>20764</v>
      </c>
      <c r="J169" s="992" t="s">
        <v>20765</v>
      </c>
      <c r="K169" s="1162" t="str">
        <f>HYPERLINK("https://www.google.com/maps/search/Rota+do+Narciso+Oliveira+do+Hospital+Serra+Acor+Coimbra/@40.358,-7.858,13z","🥾 PR6 OHP — Rota do Narciso — Oliveira do Hospital")</f>
        <v>🥾 PR6 OHP — Rota do Narciso — Oliveira do Hospital</v>
      </c>
      <c r="L169" s="994"/>
    </row>
    <row r="170" spans="1:12" ht="15" customHeight="1" x14ac:dyDescent="0.35">
      <c r="A170" s="993">
        <v>79</v>
      </c>
      <c r="B170" s="985" t="s">
        <v>20766</v>
      </c>
      <c r="C170" s="986" t="s">
        <v>20763</v>
      </c>
      <c r="D170" s="987" t="s">
        <v>20732</v>
      </c>
      <c r="E170" s="988" t="s">
        <v>2330</v>
      </c>
      <c r="F170" s="998" t="s">
        <v>2285</v>
      </c>
      <c r="G170" s="988" t="s">
        <v>2278</v>
      </c>
      <c r="H170" s="990" t="s">
        <v>2557</v>
      </c>
      <c r="I170" s="991" t="s">
        <v>2652</v>
      </c>
      <c r="J170" s="992" t="s">
        <v>20767</v>
      </c>
      <c r="K170" s="1162" t="str">
        <f>HYPERLINK("https://www.google.com/maps/search/Rota+das+Palheiras+Oliveira+do+Hospital+Granito+Coimbra/@40.362,-7.862,13z","🥾 PR7 OHP — Rota das Palheiras — Oliveira do Hospital")</f>
        <v>🥾 PR7 OHP — Rota das Palheiras — Oliveira do Hospital</v>
      </c>
      <c r="L170" s="994"/>
    </row>
    <row r="171" spans="1:12" ht="15" customHeight="1" x14ac:dyDescent="0.35">
      <c r="A171" s="993">
        <v>80</v>
      </c>
      <c r="B171" s="985" t="s">
        <v>20768</v>
      </c>
      <c r="C171" s="986" t="s">
        <v>20769</v>
      </c>
      <c r="D171" s="987" t="s">
        <v>20770</v>
      </c>
      <c r="E171" s="988" t="s">
        <v>2369</v>
      </c>
      <c r="F171" s="998" t="s">
        <v>2285</v>
      </c>
      <c r="G171" s="988" t="s">
        <v>2278</v>
      </c>
      <c r="H171" s="990" t="s">
        <v>2510</v>
      </c>
      <c r="I171" s="991" t="s">
        <v>2652</v>
      </c>
      <c r="J171" s="992" t="s">
        <v>20771</v>
      </c>
      <c r="K171" s="1162" t="str">
        <f>HYPERLINK("https://www.google.com/maps/search/Rio+Unhais+Pampilhosa+da+Serra+Zezere+Coimbra/@40.052,-7.967,13z","🥾 PR8 PPS — Rota do Rio Unhais — Pampilhosa da Serra")</f>
        <v>🥾 PR8 PPS — Rota do Rio Unhais — Pampilhosa da Serra</v>
      </c>
      <c r="L171" s="994"/>
    </row>
    <row r="172" spans="1:12" ht="15" customHeight="1" x14ac:dyDescent="0.35">
      <c r="A172" s="993">
        <v>81</v>
      </c>
      <c r="B172" s="985" t="s">
        <v>20772</v>
      </c>
      <c r="C172" s="986" t="s">
        <v>20773</v>
      </c>
      <c r="D172" s="987" t="s">
        <v>20774</v>
      </c>
      <c r="E172" s="988" t="s">
        <v>13503</v>
      </c>
      <c r="F172" s="998" t="s">
        <v>2297</v>
      </c>
      <c r="G172" s="988" t="s">
        <v>2278</v>
      </c>
      <c r="H172" s="990" t="s">
        <v>2411</v>
      </c>
      <c r="I172" s="991" t="s">
        <v>2595</v>
      </c>
      <c r="J172" s="992" t="s">
        <v>20775</v>
      </c>
      <c r="K172" s="1162" t="str">
        <f>HYPERLINK("https://www.google.com/maps/search/Livraria+do+Mondego+Penacova+Miradouro+Mondego+Coimbra/@40.262,-8.273,14z","🥾 PI Livraria do Mondego — Penacova")</f>
        <v>🥾 PI Livraria do Mondego — Penacova</v>
      </c>
      <c r="L172" s="994"/>
    </row>
    <row r="173" spans="1:12" ht="15" customHeight="1" x14ac:dyDescent="0.35">
      <c r="A173" s="993">
        <v>82</v>
      </c>
      <c r="B173" s="985" t="s">
        <v>20776</v>
      </c>
      <c r="C173" s="986" t="s">
        <v>20777</v>
      </c>
      <c r="D173" s="987" t="s">
        <v>20735</v>
      </c>
      <c r="E173" s="988" t="s">
        <v>2330</v>
      </c>
      <c r="F173" s="998" t="s">
        <v>2285</v>
      </c>
      <c r="G173" s="988" t="s">
        <v>2278</v>
      </c>
      <c r="H173" s="990" t="s">
        <v>2510</v>
      </c>
      <c r="I173" s="991" t="s">
        <v>2652</v>
      </c>
      <c r="J173" s="992" t="s">
        <v>20778</v>
      </c>
      <c r="K173" s="1162" t="str">
        <f>HYPERLINK("https://www.google.com/maps/search/Trilho+do+Rebanho+Penela+Castelo+Sico+Coimbra/@40.024,-8.384,13z","🥾 PR1 PNL — Trilho do Rebanho — Penela")</f>
        <v>🥾 PR1 PNL — Trilho do Rebanho — Penela</v>
      </c>
      <c r="L173" s="994"/>
    </row>
    <row r="174" spans="1:12" ht="15" customHeight="1" x14ac:dyDescent="0.35">
      <c r="A174" s="993">
        <v>83</v>
      </c>
      <c r="B174" s="985" t="s">
        <v>20779</v>
      </c>
      <c r="C174" s="986" t="s">
        <v>20780</v>
      </c>
      <c r="D174" s="987" t="s">
        <v>20753</v>
      </c>
      <c r="E174" s="988" t="s">
        <v>2284</v>
      </c>
      <c r="F174" s="998" t="s">
        <v>2297</v>
      </c>
      <c r="G174" s="988" t="s">
        <v>2278</v>
      </c>
      <c r="H174" s="990" t="s">
        <v>20757</v>
      </c>
      <c r="I174" s="991" t="s">
        <v>2356</v>
      </c>
      <c r="J174" s="992" t="s">
        <v>20781</v>
      </c>
      <c r="K174" s="1162" t="str">
        <f>HYPERLINK("https://www.google.com/maps/search/Rota+do+Arroz+Soure+Mondego+Castelo+Templario+Coimbra/@40.061,-8.635,13z","🥾 PR1 SRE — Rota do Arroz — Soure")</f>
        <v>🥾 PR1 SRE — Rota do Arroz — Soure</v>
      </c>
      <c r="L174" s="994"/>
    </row>
    <row r="175" spans="1:12" ht="15" customHeight="1" x14ac:dyDescent="0.35">
      <c r="A175" s="993">
        <v>84</v>
      </c>
      <c r="B175" s="985" t="s">
        <v>20782</v>
      </c>
      <c r="C175" s="986" t="s">
        <v>20780</v>
      </c>
      <c r="D175" s="987" t="s">
        <v>20783</v>
      </c>
      <c r="E175" s="988" t="s">
        <v>2284</v>
      </c>
      <c r="F175" s="998" t="s">
        <v>2297</v>
      </c>
      <c r="G175" s="988" t="s">
        <v>2278</v>
      </c>
      <c r="H175" s="990" t="s">
        <v>2578</v>
      </c>
      <c r="I175" s="991" t="s">
        <v>2652</v>
      </c>
      <c r="J175" s="992" t="s">
        <v>20784</v>
      </c>
      <c r="K175" s="1162" t="str">
        <f>HYPERLINK("https://www.google.com/maps/search/Dolinas+Lagoas+Soure+Sico+Calcario+Coimbra/@40.061,-8.635,13z","🥾 PR8 SRE — Rota das Dolinas e Lagoas — Soure")</f>
        <v>🥾 PR8 SRE — Rota das Dolinas e Lagoas — Soure</v>
      </c>
      <c r="L175" s="994"/>
    </row>
    <row r="176" spans="1:12" ht="15" customHeight="1" x14ac:dyDescent="0.35">
      <c r="A176" s="993">
        <v>85</v>
      </c>
      <c r="B176" s="985" t="s">
        <v>20785</v>
      </c>
      <c r="C176" s="986" t="s">
        <v>20786</v>
      </c>
      <c r="D176" s="987" t="s">
        <v>20753</v>
      </c>
      <c r="E176" s="988" t="s">
        <v>2284</v>
      </c>
      <c r="F176" s="998" t="s">
        <v>2297</v>
      </c>
      <c r="G176" s="988" t="s">
        <v>2278</v>
      </c>
      <c r="H176" s="990" t="s">
        <v>2502</v>
      </c>
      <c r="I176" s="991" t="s">
        <v>2652</v>
      </c>
      <c r="J176" s="992" t="s">
        <v>20787</v>
      </c>
      <c r="K176" s="1162" t="str">
        <f>HYPERLINK("https://www.google.com/maps/search/Rota+das+Pontes+Tabua+Rio+Alva+Dao+Coimbra/@40.362,-8.028,13z","🥾 PR3 TBU — Rota das Pontes — Tábua")</f>
        <v>🥾 PR3 TBU — Rota das Pontes — Tábua</v>
      </c>
      <c r="L176" s="994"/>
    </row>
    <row r="177" spans="1:12" ht="15" customHeight="1" x14ac:dyDescent="0.35">
      <c r="A177" s="993">
        <v>86</v>
      </c>
      <c r="B177" s="985" t="s">
        <v>20788</v>
      </c>
      <c r="C177" s="986" t="s">
        <v>20789</v>
      </c>
      <c r="D177" s="987" t="s">
        <v>20735</v>
      </c>
      <c r="E177" s="988" t="s">
        <v>2330</v>
      </c>
      <c r="F177" s="998" t="s">
        <v>2285</v>
      </c>
      <c r="G177" s="988" t="s">
        <v>2278</v>
      </c>
      <c r="H177" s="990" t="s">
        <v>2532</v>
      </c>
      <c r="I177" s="991" t="s">
        <v>2652</v>
      </c>
      <c r="J177" s="992" t="s">
        <v>20790</v>
      </c>
      <c r="K177" s="1162" t="str">
        <f>HYPERLINK("https://www.google.com/maps/search/Serra+do+Carvalho+Vila+Nova+de+Poiares+Alva+Coimbra/@40.223,-8.158,13z","🥾 PR1 PRS — Serra do Carvalho — Vila Nova de Poiares")</f>
        <v>🥾 PR1 PRS — Serra do Carvalho — Vila Nova de Poiares</v>
      </c>
      <c r="L177" s="994"/>
    </row>
    <row r="178" spans="1:12" ht="15" customHeight="1" x14ac:dyDescent="0.35">
      <c r="A178" s="993">
        <v>87</v>
      </c>
      <c r="B178" s="985" t="s">
        <v>20791</v>
      </c>
      <c r="C178" s="986" t="s">
        <v>20789</v>
      </c>
      <c r="D178" s="987" t="s">
        <v>20749</v>
      </c>
      <c r="E178" s="988" t="s">
        <v>2473</v>
      </c>
      <c r="F178" s="998" t="s">
        <v>2297</v>
      </c>
      <c r="G178" s="988" t="s">
        <v>2278</v>
      </c>
      <c r="H178" s="990" t="s">
        <v>2498</v>
      </c>
      <c r="I178" s="991" t="s">
        <v>2595</v>
      </c>
      <c r="J178" s="992" t="s">
        <v>20792</v>
      </c>
      <c r="K178" s="1162" t="str">
        <f>HYPERLINK("https://www.google.com/maps/search/Ribeira+de+Poiares+Vila+Nova+Poiares+Rio+Alva+Coimbra/@40.223,-8.158,13z","🥾 PR2 PRS — Ribeira de Poiares — Vila Nova de Poiares")</f>
        <v>🥾 PR2 PRS — Ribeira de Poiares — Vila Nova de Poiares</v>
      </c>
      <c r="L178" s="994"/>
    </row>
    <row r="179" spans="1:12" ht="20" customHeight="1" x14ac:dyDescent="0.45">
      <c r="A179" s="1431" t="s">
        <v>20626</v>
      </c>
      <c r="B179" s="1432"/>
      <c r="C179" s="1433"/>
      <c r="D179" s="1433"/>
      <c r="E179" s="1433"/>
      <c r="F179" s="1433"/>
      <c r="G179" s="1433"/>
      <c r="H179" s="1433"/>
      <c r="I179" s="1433"/>
      <c r="J179" s="1434"/>
      <c r="K179" s="1435"/>
      <c r="L179" s="1436"/>
    </row>
    <row r="180" spans="1:12" ht="15" customHeight="1" x14ac:dyDescent="0.35">
      <c r="A180" s="1009">
        <v>1</v>
      </c>
      <c r="B180" s="1001" t="s">
        <v>2558</v>
      </c>
      <c r="C180" s="1002" t="s">
        <v>836</v>
      </c>
      <c r="D180" s="1003" t="s">
        <v>2296</v>
      </c>
      <c r="E180" s="1004" t="s">
        <v>2284</v>
      </c>
      <c r="F180" s="1005" t="s">
        <v>2297</v>
      </c>
      <c r="G180" s="1004" t="s">
        <v>2278</v>
      </c>
      <c r="H180" s="1006" t="s">
        <v>2502</v>
      </c>
      <c r="I180" s="1007"/>
      <c r="J180" s="1008" t="s">
        <v>20178</v>
      </c>
      <c r="K180" s="747" t="str">
        <f>HYPERLINK("https://www.google.com/maps/search/Olhos+de+Agua+do+Alviela+Nascente+Carsica+Alcanena/@39.458,-8.682,14z","🥾 ACN PR1 — Olhos de Água do Alviela (Alcanena)")</f>
        <v>🥾 ACN PR1 — Olhos de Água do Alviela (Alcanena)</v>
      </c>
      <c r="L180" s="1010" t="s">
        <v>2559</v>
      </c>
    </row>
    <row r="181" spans="1:12" ht="15" customHeight="1" x14ac:dyDescent="0.35">
      <c r="A181" s="1019">
        <v>2</v>
      </c>
      <c r="B181" s="1011" t="s">
        <v>2560</v>
      </c>
      <c r="C181" s="1012" t="s">
        <v>836</v>
      </c>
      <c r="D181" s="1013" t="s">
        <v>2275</v>
      </c>
      <c r="E181" s="1014" t="s">
        <v>2284</v>
      </c>
      <c r="F181" s="1015" t="s">
        <v>2297</v>
      </c>
      <c r="G181" s="1014" t="s">
        <v>2278</v>
      </c>
      <c r="H181" s="1016" t="s">
        <v>2561</v>
      </c>
      <c r="I181" s="1017" t="s">
        <v>2562</v>
      </c>
      <c r="J181" s="1018" t="s">
        <v>20179</v>
      </c>
      <c r="K181" s="748" t="str">
        <f>HYPERLINK("https://www.google.com/maps/search/Paul+do+Boquilobo+Reserva+Natural+Torres+Novas/@39.38,-8.515,14z","🥾 TNV PR3 — Paúl do Boquilobo — Reserva Natural")</f>
        <v>🥾 TNV PR3 — Paúl do Boquilobo — Reserva Natural</v>
      </c>
      <c r="L181" s="1020" t="s">
        <v>2559</v>
      </c>
    </row>
    <row r="182" spans="1:12" ht="15" customHeight="1" x14ac:dyDescent="0.35">
      <c r="A182" s="1009">
        <v>3</v>
      </c>
      <c r="B182" s="1001" t="s">
        <v>2563</v>
      </c>
      <c r="C182" s="1002" t="s">
        <v>2564</v>
      </c>
      <c r="D182" s="1003" t="s">
        <v>2335</v>
      </c>
      <c r="E182" s="1004" t="s">
        <v>2308</v>
      </c>
      <c r="F182" s="1021" t="s">
        <v>2285</v>
      </c>
      <c r="G182" s="1004" t="s">
        <v>2278</v>
      </c>
      <c r="H182" s="1006" t="s">
        <v>2565</v>
      </c>
      <c r="I182" s="1007" t="s">
        <v>2566</v>
      </c>
      <c r="J182" s="1008" t="s">
        <v>20180</v>
      </c>
      <c r="K182" s="747" t="str">
        <f>HYPERLINK("https://www.google.com/maps/search/Cabo+da+Roca+Ponta+Ocidental+Europa+Sintra/@38.783,-9.5,14z","🥾 SNT PR7 — Rota do Cabo da Roca — Ponta mais Ocidental")</f>
        <v>🥾 SNT PR7 — Rota do Cabo da Roca — Ponta mais Ocidental</v>
      </c>
      <c r="L182" s="1010" t="s">
        <v>2567</v>
      </c>
    </row>
    <row r="183" spans="1:12" ht="15" customHeight="1" x14ac:dyDescent="0.35">
      <c r="A183" s="1019">
        <v>4</v>
      </c>
      <c r="B183" s="1011" t="s">
        <v>2568</v>
      </c>
      <c r="C183" s="1012" t="s">
        <v>1332</v>
      </c>
      <c r="D183" s="1013" t="s">
        <v>2296</v>
      </c>
      <c r="E183" s="1014" t="s">
        <v>2284</v>
      </c>
      <c r="F183" s="1015" t="s">
        <v>2297</v>
      </c>
      <c r="G183" s="1014" t="s">
        <v>2278</v>
      </c>
      <c r="H183" s="1016" t="s">
        <v>2569</v>
      </c>
      <c r="I183" s="1017" t="s">
        <v>2570</v>
      </c>
      <c r="J183" s="1018" t="s">
        <v>20181</v>
      </c>
      <c r="K183" s="748" t="str">
        <f>HYPERLINK("https://www.google.com/maps/search/Palacio+Nacional+da+Pena+Sintra+UNESCO/@38.788,-9.39,14z","🥾 SNT PR1 — Rota de Santa Maria — Palácio da Pena")</f>
        <v>🥾 SNT PR1 — Rota de Santa Maria — Palácio da Pena</v>
      </c>
      <c r="L183" s="1020" t="s">
        <v>2324</v>
      </c>
    </row>
    <row r="184" spans="1:12" ht="15" customHeight="1" x14ac:dyDescent="0.35">
      <c r="A184" s="1009">
        <v>5</v>
      </c>
      <c r="B184" s="1001" t="s">
        <v>2571</v>
      </c>
      <c r="C184" s="1002" t="s">
        <v>836</v>
      </c>
      <c r="D184" s="1003" t="s">
        <v>2340</v>
      </c>
      <c r="E184" s="1004" t="s">
        <v>2389</v>
      </c>
      <c r="F184" s="1021" t="s">
        <v>2285</v>
      </c>
      <c r="G184" s="1004" t="s">
        <v>2278</v>
      </c>
      <c r="H184" s="1006" t="s">
        <v>2431</v>
      </c>
      <c r="I184" s="1007" t="s">
        <v>2572</v>
      </c>
      <c r="J184" s="1008" t="s">
        <v>20182</v>
      </c>
      <c r="K184" s="747" t="str">
        <f>HYPERLINK("https://www.google.com/maps/search/Centro+Recuperacao+Lobo+Iberico+Malveira+Mafra/@38.938,-9.33,14z","🥾 MFR PR5 — O Lobo Ibérico — Mafra")</f>
        <v>🥾 MFR PR5 — O Lobo Ibérico — Mafra</v>
      </c>
      <c r="L184" s="1010" t="s">
        <v>2559</v>
      </c>
    </row>
    <row r="185" spans="1:12" ht="15" customHeight="1" x14ac:dyDescent="0.35">
      <c r="A185" s="1019">
        <v>6</v>
      </c>
      <c r="B185" s="1011" t="s">
        <v>2573</v>
      </c>
      <c r="C185" s="1012" t="s">
        <v>836</v>
      </c>
      <c r="D185" s="1013" t="s">
        <v>2311</v>
      </c>
      <c r="E185" s="1014" t="s">
        <v>2291</v>
      </c>
      <c r="F185" s="1015" t="s">
        <v>2297</v>
      </c>
      <c r="G185" s="1014" t="s">
        <v>2278</v>
      </c>
      <c r="H185" s="1016" t="s">
        <v>2510</v>
      </c>
      <c r="I185" s="1017" t="s">
        <v>2574</v>
      </c>
      <c r="J185" s="1018" t="s">
        <v>20183</v>
      </c>
      <c r="K185" s="748" t="str">
        <f>HYPERLINK("https://www.google.com/maps/search/Castelo+de+Torres+Vedras+Linha+Wellington/@39.098,-9.258,14z","🥾 TVD PR1 — Rota do Vinho e da Vinha — Torres Vedras")</f>
        <v>🥾 TVD PR1 — Rota do Vinho e da Vinha — Torres Vedras</v>
      </c>
      <c r="L185" s="1020" t="s">
        <v>2559</v>
      </c>
    </row>
    <row r="186" spans="1:12" ht="15" customHeight="1" x14ac:dyDescent="0.35">
      <c r="A186" s="1009">
        <v>7</v>
      </c>
      <c r="B186" s="1001" t="s">
        <v>2575</v>
      </c>
      <c r="C186" s="1002" t="s">
        <v>2564</v>
      </c>
      <c r="D186" s="1003" t="s">
        <v>2302</v>
      </c>
      <c r="E186" s="1004" t="s">
        <v>2369</v>
      </c>
      <c r="F186" s="1005" t="s">
        <v>2297</v>
      </c>
      <c r="G186" s="1004" t="s">
        <v>2278</v>
      </c>
      <c r="H186" s="1006" t="s">
        <v>2553</v>
      </c>
      <c r="I186" s="1007" t="s">
        <v>2576</v>
      </c>
      <c r="J186" s="1008" t="s">
        <v>20184</v>
      </c>
      <c r="K186" s="747" t="str">
        <f>HYPERLINK("https://www.google.com/maps/search/Palacio+de+Monserrate+Sintra+Jardins/@38.795,-9.405,14z","🥾 SNT PR4 — Rota de Seteais — Monserrate")</f>
        <v>🥾 SNT PR4 — Rota de Seteais — Monserrate</v>
      </c>
      <c r="L186" s="1010" t="s">
        <v>2567</v>
      </c>
    </row>
    <row r="187" spans="1:12" ht="15" customHeight="1" x14ac:dyDescent="0.35">
      <c r="A187" s="1019">
        <v>8</v>
      </c>
      <c r="B187" s="1011" t="s">
        <v>2577</v>
      </c>
      <c r="C187" s="1012" t="s">
        <v>836</v>
      </c>
      <c r="D187" s="1013" t="s">
        <v>2315</v>
      </c>
      <c r="E187" s="1014" t="s">
        <v>2291</v>
      </c>
      <c r="F187" s="1015" t="s">
        <v>2297</v>
      </c>
      <c r="G187" s="1014" t="s">
        <v>2278</v>
      </c>
      <c r="H187" s="1016" t="s">
        <v>2578</v>
      </c>
      <c r="I187" s="1017" t="s">
        <v>2353</v>
      </c>
      <c r="J187" s="1018" t="s">
        <v>20185</v>
      </c>
      <c r="K187" s="748" t="str">
        <f>HYPERLINK("https://www.google.com/maps/search/Praia+do+Guincho+Cascais+Duna/@38.728,-9.475,14z","🥾 CSC PR4 — Rota do Litoral do Guincho — Cascais")</f>
        <v>🥾 CSC PR4 — Rota do Litoral do Guincho — Cascais</v>
      </c>
      <c r="L187" s="1020" t="s">
        <v>2559</v>
      </c>
    </row>
    <row r="188" spans="1:12" ht="15" customHeight="1" x14ac:dyDescent="0.35">
      <c r="A188" s="1009">
        <v>9</v>
      </c>
      <c r="B188" s="1001" t="s">
        <v>2579</v>
      </c>
      <c r="C188" s="1002" t="s">
        <v>2441</v>
      </c>
      <c r="D188" s="1003" t="s">
        <v>2335</v>
      </c>
      <c r="E188" s="1004" t="s">
        <v>2308</v>
      </c>
      <c r="F188" s="1021" t="s">
        <v>2285</v>
      </c>
      <c r="G188" s="1004" t="s">
        <v>2278</v>
      </c>
      <c r="H188" s="1006" t="s">
        <v>2557</v>
      </c>
      <c r="I188" s="1007" t="s">
        <v>2332</v>
      </c>
      <c r="J188" s="1008" t="s">
        <v>20186</v>
      </c>
      <c r="K188" s="747" t="str">
        <f>HYPERLINK("https://www.google.com/maps/search/Museu+dos+Dinossauros+Lourinha+Pegadas+Jurassico/@39.245,-9.313,14z","🥾 LNH PR1 — Rota dos Dinossauros — Lourinha")</f>
        <v>🥾 LNH PR1 — Rota dos Dinossauros — Lourinha</v>
      </c>
      <c r="L188" s="1010" t="s">
        <v>2559</v>
      </c>
    </row>
    <row r="189" spans="1:12" ht="15" customHeight="1" x14ac:dyDescent="0.35">
      <c r="A189" s="1019">
        <v>10</v>
      </c>
      <c r="B189" s="1011" t="s">
        <v>2580</v>
      </c>
      <c r="C189" s="1012" t="s">
        <v>2452</v>
      </c>
      <c r="D189" s="1013" t="s">
        <v>2290</v>
      </c>
      <c r="E189" s="1014" t="s">
        <v>2369</v>
      </c>
      <c r="F189" s="1015" t="s">
        <v>2297</v>
      </c>
      <c r="G189" s="1014" t="s">
        <v>2278</v>
      </c>
      <c r="H189" s="1016" t="s">
        <v>2411</v>
      </c>
      <c r="I189" s="1017" t="s">
        <v>2581</v>
      </c>
      <c r="J189" s="1018" t="s">
        <v>20187</v>
      </c>
      <c r="K189" s="748" t="str">
        <f>HYPERLINK("https://www.google.com/maps/search/Marinhas+de+Sal+de+Rio+Maior+Portugal/@39.34,-8.94,14z","🥾 RMR PR1 — Marinhas de Sal de Rio Maior")</f>
        <v>🥾 RMR PR1 — Marinhas de Sal de Rio Maior</v>
      </c>
      <c r="L189" s="1020" t="s">
        <v>2447</v>
      </c>
    </row>
    <row r="190" spans="1:12" ht="15" customHeight="1" x14ac:dyDescent="0.35">
      <c r="A190" s="1009">
        <v>11</v>
      </c>
      <c r="B190" s="1001" t="s">
        <v>2582</v>
      </c>
      <c r="C190" s="1002" t="s">
        <v>2564</v>
      </c>
      <c r="D190" s="1003" t="s">
        <v>2311</v>
      </c>
      <c r="E190" s="1004" t="s">
        <v>2276</v>
      </c>
      <c r="F190" s="1021" t="s">
        <v>2285</v>
      </c>
      <c r="G190" s="1004" t="s">
        <v>2278</v>
      </c>
      <c r="H190" s="1006" t="s">
        <v>2358</v>
      </c>
      <c r="I190" s="1007" t="s">
        <v>2583</v>
      </c>
      <c r="J190" s="1008" t="s">
        <v>20188</v>
      </c>
      <c r="K190" s="747" t="str">
        <f>HYPERLINK("https://www.google.com/maps/search/Castelo+Medieval+Sesimbra+Arrabida/@38.444,-9.102,14z","🥾 PR1 SSB — Chã dos Navegantes — Sesimbra")</f>
        <v>🥾 PR1 SSB — Chã dos Navegantes — Sesimbra</v>
      </c>
      <c r="L190" s="1010" t="s">
        <v>2567</v>
      </c>
    </row>
    <row r="191" spans="1:12" ht="15" customHeight="1" x14ac:dyDescent="0.35">
      <c r="A191" s="1019">
        <v>12</v>
      </c>
      <c r="B191" s="1011" t="s">
        <v>2584</v>
      </c>
      <c r="C191" s="1012" t="s">
        <v>2585</v>
      </c>
      <c r="D191" s="1013" t="s">
        <v>2335</v>
      </c>
      <c r="E191" s="1014" t="s">
        <v>2308</v>
      </c>
      <c r="F191" s="1022" t="s">
        <v>2285</v>
      </c>
      <c r="G191" s="1014" t="s">
        <v>2278</v>
      </c>
      <c r="H191" s="1016" t="s">
        <v>2586</v>
      </c>
      <c r="I191" s="1017" t="s">
        <v>2587</v>
      </c>
      <c r="J191" s="1018" t="s">
        <v>20189</v>
      </c>
      <c r="K191" s="748" t="str">
        <f>HYPERLINK("https://www.google.com/maps/search/Cabo+Espichel+Santuario+Pegadas+Dinossauros/@38.418,-9.218,14z","🥾 SSB PR2 — Maravilhas do Cabo Espichel")</f>
        <v>🥾 SSB PR2 — Maravilhas do Cabo Espichel</v>
      </c>
      <c r="L191" s="1020" t="s">
        <v>2559</v>
      </c>
    </row>
    <row r="192" spans="1:12" ht="15" customHeight="1" x14ac:dyDescent="0.35">
      <c r="A192" s="1009">
        <v>13</v>
      </c>
      <c r="B192" s="1001" t="s">
        <v>2588</v>
      </c>
      <c r="C192" s="1002" t="s">
        <v>2564</v>
      </c>
      <c r="D192" s="1003" t="s">
        <v>2311</v>
      </c>
      <c r="E192" s="1004" t="s">
        <v>2291</v>
      </c>
      <c r="F192" s="1023" t="s">
        <v>2589</v>
      </c>
      <c r="G192" s="1004" t="s">
        <v>2278</v>
      </c>
      <c r="H192" s="1006" t="s">
        <v>2590</v>
      </c>
      <c r="I192" s="1007" t="s">
        <v>2591</v>
      </c>
      <c r="J192" s="1008" t="s">
        <v>20190</v>
      </c>
      <c r="K192" s="747" t="str">
        <f>HYPERLINK("https://www.google.com/maps/search/Convento+dos+Capuchos+Sintra+Cortica+UNESCO/@38.798,-9.39,14z","🥾 PR1 SIN — Rota dos Conventos — Sintra")</f>
        <v>🥾 PR1 SIN — Rota dos Conventos — Sintra</v>
      </c>
      <c r="L192" s="1010" t="s">
        <v>2592</v>
      </c>
    </row>
    <row r="193" spans="1:12" ht="15" customHeight="1" x14ac:dyDescent="0.35">
      <c r="A193" s="1019">
        <v>14</v>
      </c>
      <c r="B193" s="1011" t="s">
        <v>2593</v>
      </c>
      <c r="C193" s="1012" t="s">
        <v>2564</v>
      </c>
      <c r="D193" s="1013" t="s">
        <v>2594</v>
      </c>
      <c r="E193" s="1014" t="s">
        <v>2330</v>
      </c>
      <c r="F193" s="1024" t="s">
        <v>2589</v>
      </c>
      <c r="G193" s="1014" t="s">
        <v>2270</v>
      </c>
      <c r="H193" s="1016" t="s">
        <v>2590</v>
      </c>
      <c r="I193" s="1017" t="s">
        <v>2595</v>
      </c>
      <c r="J193" s="1018" t="s">
        <v>20191</v>
      </c>
      <c r="K193" s="748" t="str">
        <f>HYPERLINK("https://www.google.com/maps/search/Castelo+dos+Mouros+Sintra+Muralha+Arabe/@38.792,-9.387,14z","🥾 PR2 SIN — Palácio da Pena ao Castelo dos Mouros")</f>
        <v>🥾 PR2 SIN — Palácio da Pena ao Castelo dos Mouros</v>
      </c>
      <c r="L193" s="1020" t="s">
        <v>2567</v>
      </c>
    </row>
    <row r="194" spans="1:12" ht="15" customHeight="1" x14ac:dyDescent="0.35">
      <c r="A194" s="1009">
        <v>15</v>
      </c>
      <c r="B194" s="1001" t="s">
        <v>2596</v>
      </c>
      <c r="C194" s="1002" t="s">
        <v>2597</v>
      </c>
      <c r="D194" s="1003" t="s">
        <v>2290</v>
      </c>
      <c r="E194" s="1004" t="s">
        <v>2284</v>
      </c>
      <c r="F194" s="1023" t="s">
        <v>2589</v>
      </c>
      <c r="G194" s="1004" t="s">
        <v>2270</v>
      </c>
      <c r="H194" s="1006" t="s">
        <v>2586</v>
      </c>
      <c r="I194" s="1007" t="s">
        <v>2595</v>
      </c>
      <c r="J194" s="1008" t="s">
        <v>20192</v>
      </c>
      <c r="K194" s="747" t="str">
        <f>HYPERLINK("https://www.google.com/maps/search/Cabo+da+Roca+Portugal+Ponta+Ocidental+Europa/@38.783,-9.5,14z","🥾 PR1 ARR — Cabo da Roca ao Guincho")</f>
        <v>🥾 PR1 ARR — Cabo da Roca ao Guincho</v>
      </c>
      <c r="L194" s="1010" t="s">
        <v>2559</v>
      </c>
    </row>
    <row r="195" spans="1:12" ht="15" customHeight="1" x14ac:dyDescent="0.35">
      <c r="A195" s="1019">
        <v>16</v>
      </c>
      <c r="B195" s="1011" t="s">
        <v>2598</v>
      </c>
      <c r="C195" s="1012" t="s">
        <v>2599</v>
      </c>
      <c r="D195" s="1013" t="s">
        <v>2296</v>
      </c>
      <c r="E195" s="1014" t="s">
        <v>2284</v>
      </c>
      <c r="F195" s="1024" t="s">
        <v>2589</v>
      </c>
      <c r="G195" s="1014" t="s">
        <v>2278</v>
      </c>
      <c r="H195" s="1016" t="s">
        <v>2600</v>
      </c>
      <c r="I195" s="1017" t="s">
        <v>2601</v>
      </c>
      <c r="J195" s="1018" t="s">
        <v>20193</v>
      </c>
      <c r="K195" s="748" t="str">
        <f>HYPERLINK("https://www.google.com/maps/search/Portinho+da+Arrabida+Setubal+Mar+Turquesa/@38.478,-8.987,14z","🥾 PR2 CAS — Arrábida — Portinho da Arrábida")</f>
        <v>🥾 PR2 CAS — Arrábida — Portinho da Arrábida</v>
      </c>
      <c r="L195" s="1020" t="s">
        <v>2602</v>
      </c>
    </row>
    <row r="196" spans="1:12" ht="15" customHeight="1" x14ac:dyDescent="0.35">
      <c r="A196" s="1009">
        <v>17</v>
      </c>
      <c r="B196" s="1001" t="s">
        <v>2603</v>
      </c>
      <c r="C196" s="1002" t="s">
        <v>2599</v>
      </c>
      <c r="D196" s="1003" t="s">
        <v>2335</v>
      </c>
      <c r="E196" s="1004" t="s">
        <v>2308</v>
      </c>
      <c r="F196" s="1025" t="s">
        <v>2269</v>
      </c>
      <c r="G196" s="1004" t="s">
        <v>2278</v>
      </c>
      <c r="H196" s="1006" t="s">
        <v>2600</v>
      </c>
      <c r="I196" s="1007" t="s">
        <v>2604</v>
      </c>
      <c r="J196" s="1008" t="s">
        <v>20194</v>
      </c>
      <c r="K196" s="747" t="str">
        <f>HYPERLINK("https://www.google.com/maps/search/Parque+Natural+Arrabida+Reserva+Marinha+Setubal/@38.5,-9,14z","🥾 PR3 ARR — Trilho do Parque Natural da Arrábida")</f>
        <v>🥾 PR3 ARR — Trilho do Parque Natural da Arrábida</v>
      </c>
      <c r="L196" s="1010" t="s">
        <v>2602</v>
      </c>
    </row>
    <row r="197" spans="1:12" ht="15" customHeight="1" x14ac:dyDescent="0.35">
      <c r="A197" s="1019">
        <v>18</v>
      </c>
      <c r="B197" s="1011" t="s">
        <v>2605</v>
      </c>
      <c r="C197" s="1012" t="s">
        <v>2606</v>
      </c>
      <c r="D197" s="1013" t="s">
        <v>2302</v>
      </c>
      <c r="E197" s="1014" t="s">
        <v>2330</v>
      </c>
      <c r="F197" s="1015" t="s">
        <v>2297</v>
      </c>
      <c r="G197" s="1014" t="s">
        <v>2270</v>
      </c>
      <c r="H197" s="1016" t="s">
        <v>2607</v>
      </c>
      <c r="I197" s="1017" t="s">
        <v>2595</v>
      </c>
      <c r="J197" s="1018" t="s">
        <v>20195</v>
      </c>
      <c r="K197" s="748" t="str">
        <f>HYPERLINK("https://www.google.com/maps/search/Jardins+Marques+de+Pombal+Oeiras+Barroco/@38.698,-9.305,14z","🥾 PR1 OEI — Percurso do Tejo — Oeiras")</f>
        <v>🥾 PR1 OEI — Percurso do Tejo — Oeiras</v>
      </c>
      <c r="L197" s="1020" t="s">
        <v>2534</v>
      </c>
    </row>
    <row r="198" spans="1:12" ht="15" customHeight="1" x14ac:dyDescent="0.35">
      <c r="A198" s="1009">
        <v>19</v>
      </c>
      <c r="B198" s="1001" t="s">
        <v>2608</v>
      </c>
      <c r="C198" s="1002" t="s">
        <v>2609</v>
      </c>
      <c r="D198" s="1003" t="s">
        <v>2378</v>
      </c>
      <c r="E198" s="1004" t="s">
        <v>2291</v>
      </c>
      <c r="F198" s="1023" t="s">
        <v>2589</v>
      </c>
      <c r="G198" s="1004" t="s">
        <v>2278</v>
      </c>
      <c r="H198" s="1006" t="s">
        <v>2610</v>
      </c>
      <c r="I198" s="1007" t="s">
        <v>2611</v>
      </c>
      <c r="J198" s="1008" t="s">
        <v>20196</v>
      </c>
      <c r="K198" s="747" t="str">
        <f>HYPERLINK("https://www.google.com/maps/search/Tapada+Nacional+de+Mafra+Fauna+Fauna/@38.938,-9.33,14z","🥾 PR2 MFR — Tapada de Mafra")</f>
        <v>🥾 PR2 MFR — Tapada de Mafra</v>
      </c>
      <c r="L198" s="1010" t="s">
        <v>2559</v>
      </c>
    </row>
    <row r="199" spans="1:12" ht="15" customHeight="1" x14ac:dyDescent="0.35">
      <c r="A199" s="1019">
        <v>20</v>
      </c>
      <c r="B199" s="1011" t="s">
        <v>2612</v>
      </c>
      <c r="C199" s="1012" t="s">
        <v>2613</v>
      </c>
      <c r="D199" s="1013" t="s">
        <v>2315</v>
      </c>
      <c r="E199" s="1014" t="s">
        <v>2369</v>
      </c>
      <c r="F199" s="1015" t="s">
        <v>2297</v>
      </c>
      <c r="G199" s="1014" t="s">
        <v>2278</v>
      </c>
      <c r="H199" s="1016" t="s">
        <v>2561</v>
      </c>
      <c r="I199" s="1017" t="s">
        <v>2595</v>
      </c>
      <c r="J199" s="1018" t="s">
        <v>20197</v>
      </c>
      <c r="K199" s="748" t="str">
        <f>HYPERLINK("https://www.google.com/maps/search/Reserva+Natural+Estuario+do+Sado+Golfinhos/@38.495,-8.872,14z","🥾 PR3 SXL — Reserva Natural do Estuário do Sado")</f>
        <v>🥾 PR3 SXL — Reserva Natural do Estuário do Sado</v>
      </c>
      <c r="L199" s="1020" t="s">
        <v>2559</v>
      </c>
    </row>
    <row r="200" spans="1:12" ht="15" customHeight="1" x14ac:dyDescent="0.35">
      <c r="A200" s="1009">
        <v>21</v>
      </c>
      <c r="B200" s="1001" t="s">
        <v>2614</v>
      </c>
      <c r="C200" s="1002" t="s">
        <v>2564</v>
      </c>
      <c r="D200" s="1003" t="s">
        <v>2302</v>
      </c>
      <c r="E200" s="1004" t="s">
        <v>2284</v>
      </c>
      <c r="F200" s="1023" t="s">
        <v>2589</v>
      </c>
      <c r="G200" s="1004" t="s">
        <v>2278</v>
      </c>
      <c r="H200" s="1006" t="s">
        <v>2565</v>
      </c>
      <c r="I200" s="1007" t="s">
        <v>2591</v>
      </c>
      <c r="J200" s="1008" t="s">
        <v>20198</v>
      </c>
      <c r="K200" s="747" t="str">
        <f>HYPERLINK("https://www.google.com/maps/search/Jardins+de+Monserrate+Peninha+Sintra+UNESCO/@38.795,-9.405,14z","🥾 PR4 SIN — Monserrate e Peninha — Sintra")</f>
        <v>🥾 PR4 SIN — Monserrate e Peninha — Sintra</v>
      </c>
      <c r="L200" s="1010" t="s">
        <v>2592</v>
      </c>
    </row>
    <row r="201" spans="1:12" ht="15" customHeight="1" x14ac:dyDescent="0.35">
      <c r="A201" s="1019">
        <v>22</v>
      </c>
      <c r="B201" s="1011" t="s">
        <v>2615</v>
      </c>
      <c r="C201" s="1012" t="s">
        <v>2616</v>
      </c>
      <c r="D201" s="1013" t="s">
        <v>2617</v>
      </c>
      <c r="E201" s="1014" t="s">
        <v>2420</v>
      </c>
      <c r="F201" s="1024" t="s">
        <v>2589</v>
      </c>
      <c r="G201" s="1014" t="s">
        <v>2270</v>
      </c>
      <c r="H201" s="1016" t="s">
        <v>2618</v>
      </c>
      <c r="I201" s="1017" t="s">
        <v>2601</v>
      </c>
      <c r="J201" s="1018" t="s">
        <v>20199</v>
      </c>
      <c r="K201" s="748" t="str">
        <f>HYPERLINK("https://www.google.com/maps/search/Caminho+de+Santiago+Portugues+Lisboa+Porto/@38.717,-9.139,14z","🥾 GR11 — Caminho de Santiago — Lisboa ao Porto Et.1")</f>
        <v>🥾 GR11 — Caminho de Santiago — Lisboa ao Porto Et.1</v>
      </c>
      <c r="L201" s="1020" t="s">
        <v>2619</v>
      </c>
    </row>
    <row r="202" spans="1:12" ht="15" customHeight="1" x14ac:dyDescent="0.35">
      <c r="A202" s="1009">
        <v>23</v>
      </c>
      <c r="B202" s="1001" t="s">
        <v>2620</v>
      </c>
      <c r="C202" s="1002" t="s">
        <v>2621</v>
      </c>
      <c r="D202" s="1003" t="s">
        <v>2275</v>
      </c>
      <c r="E202" s="1004" t="s">
        <v>2473</v>
      </c>
      <c r="F202" s="1005" t="s">
        <v>2297</v>
      </c>
      <c r="G202" s="1004" t="s">
        <v>2270</v>
      </c>
      <c r="H202" s="1006" t="s">
        <v>2622</v>
      </c>
      <c r="I202" s="1007" t="s">
        <v>2595</v>
      </c>
      <c r="J202" s="1008" t="s">
        <v>20200</v>
      </c>
      <c r="K202" s="747" t="str">
        <f>HYPERLINK("https://www.google.com/maps/search/Arriba+Fossil+Costa+da+Caparica+Atlantico/@38.625,-9.235,14z","🥾 PR1 ALV — Arriba Fóssil da Costa da Caparica")</f>
        <v>🥾 PR1 ALV — Arriba Fóssil da Costa da Caparica</v>
      </c>
      <c r="L202" s="1010" t="s">
        <v>2559</v>
      </c>
    </row>
    <row r="203" spans="1:12" ht="15" customHeight="1" x14ac:dyDescent="0.35">
      <c r="A203" s="1019">
        <v>24</v>
      </c>
      <c r="B203" s="1011" t="s">
        <v>2623</v>
      </c>
      <c r="C203" s="1012" t="s">
        <v>2564</v>
      </c>
      <c r="D203" s="1013" t="s">
        <v>2296</v>
      </c>
      <c r="E203" s="1014" t="s">
        <v>2284</v>
      </c>
      <c r="F203" s="1024" t="s">
        <v>2589</v>
      </c>
      <c r="G203" s="1014" t="s">
        <v>2278</v>
      </c>
      <c r="H203" s="1016" t="s">
        <v>2590</v>
      </c>
      <c r="I203" s="1017" t="s">
        <v>2591</v>
      </c>
      <c r="J203" s="1018" t="s">
        <v>20201</v>
      </c>
      <c r="K203" s="748" t="str">
        <f>HYPERLINK("https://www.google.com/maps/search/Convento+dos+Capuchos+Cortica+Serra+de+Sintra/@38.778,-9.435,14z","🥾 PR2 SAT — Serra de Sintra — Convento dos Capuchos")</f>
        <v>🥾 PR2 SAT — Serra de Sintra — Convento dos Capuchos</v>
      </c>
      <c r="L203" s="1020" t="s">
        <v>2592</v>
      </c>
    </row>
    <row r="204" spans="1:12" ht="15" customHeight="1" x14ac:dyDescent="0.35">
      <c r="A204" s="1009">
        <v>25</v>
      </c>
      <c r="B204" s="1001" t="s">
        <v>2624</v>
      </c>
      <c r="C204" s="1002" t="s">
        <v>2625</v>
      </c>
      <c r="D204" s="1003" t="s">
        <v>2290</v>
      </c>
      <c r="E204" s="1004" t="s">
        <v>2284</v>
      </c>
      <c r="F204" s="1005" t="s">
        <v>2297</v>
      </c>
      <c r="G204" s="1004" t="s">
        <v>2270</v>
      </c>
      <c r="H204" s="1006" t="s">
        <v>2578</v>
      </c>
      <c r="I204" s="1007" t="s">
        <v>2595</v>
      </c>
      <c r="J204" s="1008" t="s">
        <v>20202</v>
      </c>
      <c r="K204" s="747" t="str">
        <f>HYPERLINK("https://www.google.com/maps/search/Cristo+Rei+Almada+Tejo+Rio/@38.676,-9.161,14z","🥾 PR3 PEN — Almada — Tejo e Cristo Rei")</f>
        <v>🥾 PR3 PEN — Almada — Tejo e Cristo Rei</v>
      </c>
      <c r="L204" s="1010" t="s">
        <v>2534</v>
      </c>
    </row>
    <row r="205" spans="1:12" ht="15" customHeight="1" x14ac:dyDescent="0.35">
      <c r="A205" s="1019">
        <v>26</v>
      </c>
      <c r="B205" s="1011" t="s">
        <v>2626</v>
      </c>
      <c r="C205" s="1012" t="s">
        <v>2627</v>
      </c>
      <c r="D205" s="1013" t="s">
        <v>2275</v>
      </c>
      <c r="E205" s="1014" t="s">
        <v>2473</v>
      </c>
      <c r="F205" s="1015" t="s">
        <v>2297</v>
      </c>
      <c r="G205" s="1014" t="s">
        <v>2278</v>
      </c>
      <c r="H205" s="1016" t="s">
        <v>2561</v>
      </c>
      <c r="I205" s="1017" t="s">
        <v>2595</v>
      </c>
      <c r="J205" s="1018" t="s">
        <v>20203</v>
      </c>
      <c r="K205" s="748" t="str">
        <f>HYPERLINK("https://www.google.com/maps/search/Fortaleza+de+Peniche+Berlengas+Reserva+Natural/@39.358,-9.381,14z","🥾 PR1 MAF — Peniche — Fortaleza e Berlengas")</f>
        <v>🥾 PR1 MAF — Peniche — Fortaleza e Berlengas</v>
      </c>
      <c r="L205" s="1020" t="s">
        <v>2559</v>
      </c>
    </row>
    <row r="206" spans="1:12" ht="15" customHeight="1" x14ac:dyDescent="0.35">
      <c r="A206" s="1009">
        <v>27</v>
      </c>
      <c r="B206" s="1001" t="s">
        <v>2628</v>
      </c>
      <c r="C206" s="1002" t="s">
        <v>2629</v>
      </c>
      <c r="D206" s="1003" t="s">
        <v>2378</v>
      </c>
      <c r="E206" s="1004" t="s">
        <v>2291</v>
      </c>
      <c r="F206" s="1023" t="s">
        <v>2589</v>
      </c>
      <c r="G206" s="1004" t="s">
        <v>2278</v>
      </c>
      <c r="H206" s="1006" t="s">
        <v>2622</v>
      </c>
      <c r="I206" s="1007" t="s">
        <v>2595</v>
      </c>
      <c r="J206" s="1008" t="s">
        <v>20204</v>
      </c>
      <c r="K206" s="747" t="str">
        <f>HYPERLINK("https://www.google.com/maps/search/Boca+do+Inferno+Cascais+Erosao+Marinha/@38.7,-9.42,14z","🥾 PR2 CAL — Cascais — Guincho e Boca do Inferno")</f>
        <v>🥾 PR2 CAL — Cascais — Guincho e Boca do Inferno</v>
      </c>
      <c r="L206" s="1010" t="s">
        <v>2559</v>
      </c>
    </row>
    <row r="207" spans="1:12" ht="15" customHeight="1" x14ac:dyDescent="0.35">
      <c r="A207" s="1019">
        <v>28</v>
      </c>
      <c r="B207" s="1011" t="s">
        <v>2630</v>
      </c>
      <c r="C207" s="1012" t="s">
        <v>2631</v>
      </c>
      <c r="D207" s="1013" t="s">
        <v>2296</v>
      </c>
      <c r="E207" s="1014" t="s">
        <v>2330</v>
      </c>
      <c r="F207" s="1015" t="s">
        <v>2297</v>
      </c>
      <c r="G207" s="1014" t="s">
        <v>2278</v>
      </c>
      <c r="H207" s="1016" t="s">
        <v>2632</v>
      </c>
      <c r="I207" s="1017" t="s">
        <v>2595</v>
      </c>
      <c r="J207" s="1018" t="s">
        <v>20205</v>
      </c>
      <c r="K207" s="748" t="str">
        <f>HYPERLINK("https://www.google.com/maps/search/Ericeira+World+Surfing+Reserve+Aldeia+Pescadores/@38.96,-9.417,14z","🥾 PR3 MFR — Ericeira — Aldeia de Pescadores")</f>
        <v>🥾 PR3 MFR — Ericeira — Aldeia de Pescadores</v>
      </c>
      <c r="L207" s="1020" t="s">
        <v>2481</v>
      </c>
    </row>
    <row r="208" spans="1:12" ht="15" customHeight="1" x14ac:dyDescent="0.35">
      <c r="A208" s="1009">
        <v>29</v>
      </c>
      <c r="B208" s="1001" t="s">
        <v>2633</v>
      </c>
      <c r="C208" s="1002" t="s">
        <v>2599</v>
      </c>
      <c r="D208" s="1003" t="s">
        <v>2315</v>
      </c>
      <c r="E208" s="1004" t="s">
        <v>2369</v>
      </c>
      <c r="F208" s="1023" t="s">
        <v>2589</v>
      </c>
      <c r="G208" s="1004" t="s">
        <v>2270</v>
      </c>
      <c r="H208" s="1006" t="s">
        <v>2634</v>
      </c>
      <c r="I208" s="1007" t="s">
        <v>2601</v>
      </c>
      <c r="J208" s="1008" t="s">
        <v>20206</v>
      </c>
      <c r="K208" s="747" t="str">
        <f>HYPERLINK("https://www.google.com/maps/search/Portinho+Arrabida+Setubal+Reserva+Natural+Mar/@38.524,-8.898,14z","🥾 PR4 SEI — Setúbal — Baía e Portinho")</f>
        <v>🥾 PR4 SEI — Setúbal — Baía e Portinho</v>
      </c>
      <c r="L208" s="1010" t="s">
        <v>2635</v>
      </c>
    </row>
    <row r="209" spans="1:12" ht="15" customHeight="1" x14ac:dyDescent="0.35">
      <c r="A209" s="1019">
        <v>30</v>
      </c>
      <c r="B209" s="1011" t="s">
        <v>2636</v>
      </c>
      <c r="C209" s="1012" t="s">
        <v>2637</v>
      </c>
      <c r="D209" s="1013" t="s">
        <v>2318</v>
      </c>
      <c r="E209" s="1014" t="s">
        <v>2308</v>
      </c>
      <c r="F209" s="1024" t="s">
        <v>2589</v>
      </c>
      <c r="G209" s="1014" t="s">
        <v>2270</v>
      </c>
      <c r="H209" s="1016" t="s">
        <v>2414</v>
      </c>
      <c r="I209" s="1017" t="s">
        <v>2638</v>
      </c>
      <c r="J209" s="1018" t="s">
        <v>20207</v>
      </c>
      <c r="K209" s="748" t="str">
        <f>HYPERLINK("https://www.google.com/maps/search/Linhas+de+Torres+Vedras+Fortes+Wellington+1810/@39.098,-9.258,14z","🥾 PR5 MFR — Torres Vedras — Linhas Defensivas")</f>
        <v>🥾 PR5 MFR — Torres Vedras — Linhas Defensivas</v>
      </c>
      <c r="L209" s="1020" t="s">
        <v>2559</v>
      </c>
    </row>
    <row r="210" spans="1:12" ht="15" customHeight="1" x14ac:dyDescent="0.35">
      <c r="A210" s="1009">
        <v>31</v>
      </c>
      <c r="B210" s="1001" t="s">
        <v>2639</v>
      </c>
      <c r="C210" s="1002" t="s">
        <v>2564</v>
      </c>
      <c r="D210" s="1003" t="s">
        <v>2275</v>
      </c>
      <c r="E210" s="1004" t="s">
        <v>2330</v>
      </c>
      <c r="F210" s="1005" t="s">
        <v>2297</v>
      </c>
      <c r="G210" s="1004" t="s">
        <v>2278</v>
      </c>
      <c r="H210" s="1006" t="s">
        <v>2640</v>
      </c>
      <c r="I210" s="1007" t="s">
        <v>2595</v>
      </c>
      <c r="J210" s="1008" t="s">
        <v>20208</v>
      </c>
      <c r="K210" s="747" t="str">
        <f>HYPERLINK("https://www.google.com/maps/search/Mata+da+Penha+Longa+Convento+Sintra/@38.748,-9.425,14z","🥾 PR6 CAL — Sintra — Mata da Penha Longa")</f>
        <v>🥾 PR6 CAL — Sintra — Mata da Penha Longa</v>
      </c>
      <c r="L210" s="1010" t="s">
        <v>2592</v>
      </c>
    </row>
    <row r="211" spans="1:12" ht="15" customHeight="1" x14ac:dyDescent="0.35">
      <c r="A211" s="1019">
        <v>32</v>
      </c>
      <c r="B211" s="1011" t="s">
        <v>2641</v>
      </c>
      <c r="C211" s="1012" t="s">
        <v>2642</v>
      </c>
      <c r="D211" s="1013" t="s">
        <v>2643</v>
      </c>
      <c r="E211" s="1014" t="s">
        <v>2341</v>
      </c>
      <c r="F211" s="1024" t="s">
        <v>2589</v>
      </c>
      <c r="G211" s="1014" t="s">
        <v>2270</v>
      </c>
      <c r="H211" s="1016" t="s">
        <v>2590</v>
      </c>
      <c r="I211" s="1017" t="s">
        <v>2611</v>
      </c>
      <c r="J211" s="1018" t="s">
        <v>20209</v>
      </c>
      <c r="K211" s="748" t="str">
        <f>HYPERLINK("https://www.google.com/maps/search/Caminho+dos+Almocreves+Sintra+Cascais+Serra/@38.798,-9.39,14z","🥾 PR7 SIN — Caminho dos Almocreves — Sintra a Cascais")</f>
        <v>🥾 PR7 SIN — Caminho dos Almocreves — Sintra a Cascais</v>
      </c>
      <c r="L211" s="1020" t="s">
        <v>2592</v>
      </c>
    </row>
    <row r="212" spans="1:12" ht="15" customHeight="1" x14ac:dyDescent="0.35">
      <c r="A212" s="1019">
        <v>33</v>
      </c>
      <c r="B212" s="1011" t="s">
        <v>20575</v>
      </c>
      <c r="C212" s="1012" t="s">
        <v>20576</v>
      </c>
      <c r="D212" s="1013" t="s">
        <v>20577</v>
      </c>
      <c r="E212" s="1014" t="s">
        <v>2291</v>
      </c>
      <c r="F212" s="1024" t="s">
        <v>2297</v>
      </c>
      <c r="G212" s="1014" t="s">
        <v>2278</v>
      </c>
      <c r="H212" s="1016" t="s">
        <v>20578</v>
      </c>
      <c r="I212" s="1017" t="s">
        <v>2595</v>
      </c>
      <c r="J212" s="1018" t="s">
        <v>20579</v>
      </c>
      <c r="K212" s="1161" t="str">
        <f>HYPERLINK("https://www.google.com/maps/search/Ribeira+de+Muge+Almeirim+Ribatejo/@39.179,-8.471,14z","🥾 Ribeira de Muge — Almeirim")</f>
        <v>🥾 Ribeira de Muge — Almeirim</v>
      </c>
      <c r="L212" s="1020"/>
    </row>
    <row r="213" spans="1:12" ht="15" customHeight="1" x14ac:dyDescent="0.35">
      <c r="A213" s="1019">
        <v>34</v>
      </c>
      <c r="B213" s="1011" t="s">
        <v>20580</v>
      </c>
      <c r="C213" s="1012" t="s">
        <v>20576</v>
      </c>
      <c r="D213" s="1013" t="s">
        <v>20581</v>
      </c>
      <c r="E213" s="1014" t="s">
        <v>2284</v>
      </c>
      <c r="F213" s="1024" t="s">
        <v>2297</v>
      </c>
      <c r="G213" s="1014" t="s">
        <v>2278</v>
      </c>
      <c r="H213" s="1016" t="s">
        <v>20582</v>
      </c>
      <c r="I213" s="1017" t="s">
        <v>2595</v>
      </c>
      <c r="J213" s="1018" t="s">
        <v>20583</v>
      </c>
      <c r="K213" s="1161" t="str">
        <f>HYPERLINK("https://www.google.com/maps/search/Reserva+Cavalo+Sorraia+Alpiar%C3%A7a+Ribatejo/@39.262,-8.581,14z","🥾 Reserva do Cavalo do Sorraia — Alpiarça")</f>
        <v>🥾 Reserva do Cavalo do Sorraia — Alpiarça</v>
      </c>
      <c r="L213" s="1020"/>
    </row>
    <row r="214" spans="1:12" ht="15" customHeight="1" x14ac:dyDescent="0.35">
      <c r="A214" s="1019">
        <v>35</v>
      </c>
      <c r="B214" s="1011" t="s">
        <v>20584</v>
      </c>
      <c r="C214" s="1012" t="s">
        <v>20576</v>
      </c>
      <c r="D214" s="1013" t="s">
        <v>20585</v>
      </c>
      <c r="E214" s="1014" t="s">
        <v>2284</v>
      </c>
      <c r="F214" s="1024" t="s">
        <v>2297</v>
      </c>
      <c r="G214" s="1014" t="s">
        <v>2278</v>
      </c>
      <c r="H214" s="1016" t="s">
        <v>20586</v>
      </c>
      <c r="I214" s="1017" t="s">
        <v>2595</v>
      </c>
      <c r="J214" s="1018" t="s">
        <v>20587</v>
      </c>
      <c r="K214" s="1161" t="str">
        <f>HYPERLINK("https://www.google.com/maps/search/Castro+Vila+Nova+Sao+Pedro+Azambuja+Ribatejo/@39.209,-8.843,14z","🥾 Castro de Vila Nova de São Pedro")</f>
        <v>🥾 Castro de Vila Nova de São Pedro</v>
      </c>
      <c r="L214" s="1020"/>
    </row>
    <row r="215" spans="1:12" ht="15" customHeight="1" x14ac:dyDescent="0.35">
      <c r="A215" s="1019">
        <v>36</v>
      </c>
      <c r="B215" s="1011" t="s">
        <v>20588</v>
      </c>
      <c r="C215" s="1012" t="s">
        <v>20576</v>
      </c>
      <c r="D215" s="1013" t="s">
        <v>20589</v>
      </c>
      <c r="E215" s="1014" t="s">
        <v>2308</v>
      </c>
      <c r="F215" s="1024" t="s">
        <v>2297</v>
      </c>
      <c r="G215" s="1014" t="s">
        <v>2278</v>
      </c>
      <c r="H215" s="1016" t="s">
        <v>2411</v>
      </c>
      <c r="I215" s="1017" t="s">
        <v>2595</v>
      </c>
      <c r="J215" s="1018" t="s">
        <v>20590</v>
      </c>
      <c r="K215" s="1161" t="str">
        <f>HYPERLINK("https://www.google.com/maps/search/Rota+das+Lezirias+Benavente+Ribatejo/@38.981,-8.812,14z","🥾 Rota das Lezírias — Benavente")</f>
        <v>🥾 Rota das Lezírias — Benavente</v>
      </c>
      <c r="L215" s="1020"/>
    </row>
    <row r="216" spans="1:12" ht="15" customHeight="1" x14ac:dyDescent="0.35">
      <c r="A216" s="1019">
        <v>37</v>
      </c>
      <c r="B216" s="1011" t="s">
        <v>20591</v>
      </c>
      <c r="C216" s="1012" t="s">
        <v>20576</v>
      </c>
      <c r="D216" s="1013" t="s">
        <v>20592</v>
      </c>
      <c r="E216" s="1014" t="s">
        <v>2284</v>
      </c>
      <c r="F216" s="1024" t="s">
        <v>2297</v>
      </c>
      <c r="G216" s="1014" t="s">
        <v>2270</v>
      </c>
      <c r="H216" s="1016" t="s">
        <v>2561</v>
      </c>
      <c r="I216" s="1017" t="s">
        <v>2595</v>
      </c>
      <c r="J216" s="1018" t="s">
        <v>20593</v>
      </c>
      <c r="K216" s="1161" t="str">
        <f>HYPERLINK("https://www.google.com/maps/search/Margens+do+Tejo+Cartaxo+Valada+Ribatejo/@39.121,-8.743,14z","🥾 Lado a Lado com o Tejo — Cartaxo")</f>
        <v>🥾 Lado a Lado com o Tejo — Cartaxo</v>
      </c>
      <c r="L216" s="1020"/>
    </row>
    <row r="217" spans="1:12" ht="15" customHeight="1" x14ac:dyDescent="0.35">
      <c r="A217" s="1019">
        <v>38</v>
      </c>
      <c r="B217" s="1011" t="s">
        <v>20594</v>
      </c>
      <c r="C217" s="1012" t="s">
        <v>20576</v>
      </c>
      <c r="D217" s="1013" t="s">
        <v>2290</v>
      </c>
      <c r="E217" s="1014" t="s">
        <v>2284</v>
      </c>
      <c r="F217" s="1024" t="s">
        <v>2297</v>
      </c>
      <c r="G217" s="1014" t="s">
        <v>2278</v>
      </c>
      <c r="H217" s="1016" t="s">
        <v>20595</v>
      </c>
      <c r="I217" s="1017" t="s">
        <v>2595</v>
      </c>
      <c r="J217" s="1018" t="s">
        <v>20596</v>
      </c>
      <c r="K217" s="1161" t="str">
        <f>HYPERLINK("https://www.google.com/maps/search/Chamusca+Charneca+Margens+Tejo+Ribatejo/@39.357,-8.481,14z","🥾 Da Charneca às Margens do Tejo — Chamusca")</f>
        <v>🥾 Da Charneca às Margens do Tejo — Chamusca</v>
      </c>
      <c r="L217" s="1020"/>
    </row>
    <row r="218" spans="1:12" ht="15" customHeight="1" x14ac:dyDescent="0.35">
      <c r="A218" s="1019">
        <v>39</v>
      </c>
      <c r="B218" s="1011" t="s">
        <v>20597</v>
      </c>
      <c r="C218" s="1012" t="s">
        <v>20576</v>
      </c>
      <c r="D218" s="1013" t="s">
        <v>20598</v>
      </c>
      <c r="E218" s="1014" t="s">
        <v>2284</v>
      </c>
      <c r="F218" s="1024" t="s">
        <v>2297</v>
      </c>
      <c r="G218" s="1014" t="s">
        <v>2278</v>
      </c>
      <c r="H218" s="1016" t="s">
        <v>2659</v>
      </c>
      <c r="I218" s="1017" t="s">
        <v>2595</v>
      </c>
      <c r="J218" s="1018" t="s">
        <v>20599</v>
      </c>
      <c r="K218" s="1161" t="str">
        <f>HYPERLINK("https://www.google.com/maps/search/Caminhos+Vale+Montado+Coruche+Cortica+Ribatejo/@38.962,-8.521,14z","🥾 Caminhos do Vale ao Montado — Coruche")</f>
        <v>🥾 Caminhos do Vale ao Montado — Coruche</v>
      </c>
      <c r="L218" s="1020"/>
    </row>
    <row r="219" spans="1:12" ht="15" customHeight="1" x14ac:dyDescent="0.35">
      <c r="A219" s="1019">
        <v>40</v>
      </c>
      <c r="B219" s="1011" t="s">
        <v>20600</v>
      </c>
      <c r="C219" s="1012" t="s">
        <v>20576</v>
      </c>
      <c r="D219" s="1013" t="s">
        <v>20601</v>
      </c>
      <c r="E219" s="1014" t="s">
        <v>2284</v>
      </c>
      <c r="F219" s="1024" t="s">
        <v>2297</v>
      </c>
      <c r="G219" s="1014" t="s">
        <v>2278</v>
      </c>
      <c r="H219" s="1016" t="s">
        <v>20602</v>
      </c>
      <c r="I219" s="1017" t="s">
        <v>20603</v>
      </c>
      <c r="J219" s="1018" t="s">
        <v>20604</v>
      </c>
      <c r="K219" s="1161" t="str">
        <f>HYPERLINK("https://www.google.com/maps/search/Paul+do+Boquilobo+Golega+Reserva+Natural+Tejo/@39.368,-8.554,14z","🥾 Paul do Boquilobo — Golegã")</f>
        <v>🥾 Paul do Boquilobo — Golegã</v>
      </c>
      <c r="L219" s="1020"/>
    </row>
    <row r="220" spans="1:12" ht="15" customHeight="1" x14ac:dyDescent="0.35">
      <c r="A220" s="1019">
        <v>41</v>
      </c>
      <c r="B220" s="1011" t="s">
        <v>20605</v>
      </c>
      <c r="C220" s="1012" t="s">
        <v>20576</v>
      </c>
      <c r="D220" s="1013" t="s">
        <v>20606</v>
      </c>
      <c r="E220" s="1014" t="s">
        <v>2284</v>
      </c>
      <c r="F220" s="1024" t="s">
        <v>2269</v>
      </c>
      <c r="G220" s="1014" t="s">
        <v>2278</v>
      </c>
      <c r="H220" s="1016" t="s">
        <v>20607</v>
      </c>
      <c r="I220" s="1017" t="s">
        <v>2652</v>
      </c>
      <c r="J220" s="1018" t="s">
        <v>20608</v>
      </c>
      <c r="K220" s="1161" t="str">
        <f>HYPERLINK("https://www.google.com/maps/search/Serra+Aire+Candeeiros+Rio+Maior+Ribatejo/@39.385,-8.876,14z","🥾 Serras de Aire e Candeeiros — Rio Maior")</f>
        <v>🥾 Serras de Aire e Candeeiros — Rio Maior</v>
      </c>
      <c r="L220" s="1020"/>
    </row>
    <row r="221" spans="1:12" ht="15" customHeight="1" x14ac:dyDescent="0.35">
      <c r="A221" s="1019">
        <v>42</v>
      </c>
      <c r="B221" s="1011" t="s">
        <v>20609</v>
      </c>
      <c r="C221" s="1012" t="s">
        <v>20576</v>
      </c>
      <c r="D221" s="1013" t="s">
        <v>20521</v>
      </c>
      <c r="E221" s="1014" t="s">
        <v>2284</v>
      </c>
      <c r="F221" s="1024" t="s">
        <v>2297</v>
      </c>
      <c r="G221" s="1014" t="s">
        <v>2278</v>
      </c>
      <c r="H221" s="1016" t="s">
        <v>20610</v>
      </c>
      <c r="I221" s="1017" t="s">
        <v>2595</v>
      </c>
      <c r="J221" s="1018" t="s">
        <v>20611</v>
      </c>
      <c r="K221" s="1161" t="str">
        <f>HYPERLINK("https://www.google.com/maps/search/Mata+Escaroupim+Salvaterra+Magos+Tejo/@39.067,-8.757,14z","🥾 Mata do Escaroupim — Salvaterra de Magos")</f>
        <v>🥾 Mata do Escaroupim — Salvaterra de Magos</v>
      </c>
      <c r="L221" s="1020"/>
    </row>
    <row r="222" spans="1:12" ht="15" customHeight="1" x14ac:dyDescent="0.35">
      <c r="A222" s="1019">
        <v>43</v>
      </c>
      <c r="B222" s="1011" t="s">
        <v>20612</v>
      </c>
      <c r="C222" s="1012" t="s">
        <v>20576</v>
      </c>
      <c r="D222" s="1013" t="s">
        <v>20613</v>
      </c>
      <c r="E222" s="1014" t="s">
        <v>2284</v>
      </c>
      <c r="F222" s="1024" t="s">
        <v>20614</v>
      </c>
      <c r="G222" s="1014" t="s">
        <v>2278</v>
      </c>
      <c r="H222" s="1016" t="s">
        <v>2578</v>
      </c>
      <c r="I222" s="1017" t="s">
        <v>2595</v>
      </c>
      <c r="J222" s="1018" t="s">
        <v>20615</v>
      </c>
      <c r="K222" s="1161" t="str">
        <f>HYPERLINK("https://www.google.com/maps/search/Santarem+Planalto+Rio+Tejo+Gotico/@39.237,-8.686,14z","🥾 Do Planalto de Santarém ao Rio Tejo")</f>
        <v>🥾 Do Planalto de Santarém ao Rio Tejo</v>
      </c>
      <c r="L222" s="1020"/>
    </row>
    <row r="223" spans="1:12" ht="15" customHeight="1" x14ac:dyDescent="0.35">
      <c r="A223" s="1019">
        <v>44</v>
      </c>
      <c r="B223" s="1011" t="s">
        <v>20616</v>
      </c>
      <c r="C223" s="1012" t="s">
        <v>20617</v>
      </c>
      <c r="D223" s="1013" t="s">
        <v>20606</v>
      </c>
      <c r="E223" s="1014" t="s">
        <v>2473</v>
      </c>
      <c r="F223" s="1024" t="s">
        <v>2297</v>
      </c>
      <c r="G223" s="1014" t="s">
        <v>2278</v>
      </c>
      <c r="H223" s="1016" t="s">
        <v>2622</v>
      </c>
      <c r="I223" s="1017" t="s">
        <v>2572</v>
      </c>
      <c r="J223" s="1018" t="s">
        <v>20618</v>
      </c>
      <c r="K223" s="1161" t="str">
        <f>HYPERLINK("https://www.google.com/maps/search/Praia+do+Sissal+Porto+Covo+Alentejo/@37.852,-8.791,14z","🥾 PR Praia do Sissal — Porto Covo")</f>
        <v>🥾 PR Praia do Sissal — Porto Covo</v>
      </c>
      <c r="L223" s="1020"/>
    </row>
    <row r="224" spans="1:12" ht="15" customHeight="1" x14ac:dyDescent="0.35">
      <c r="A224" s="1019">
        <v>45</v>
      </c>
      <c r="B224" s="1011" t="s">
        <v>20619</v>
      </c>
      <c r="C224" s="1012" t="s">
        <v>20617</v>
      </c>
      <c r="D224" s="1013" t="s">
        <v>20620</v>
      </c>
      <c r="E224" s="1014" t="s">
        <v>20621</v>
      </c>
      <c r="F224" s="1024" t="s">
        <v>2285</v>
      </c>
      <c r="G224" s="1014" t="s">
        <v>2278</v>
      </c>
      <c r="H224" s="1016" t="s">
        <v>20622</v>
      </c>
      <c r="I224" s="1017" t="s">
        <v>2595</v>
      </c>
      <c r="J224" s="1018" t="s">
        <v>20623</v>
      </c>
      <c r="K224" s="1161" t="str">
        <f>HYPERLINK("https://www.google.com/maps/search/Porto+Covo+Costa+Montado+Alentejo+Vicentina/@37.850,-8.793,14z","🥾 PR3 Porto Covo da Costa ao Montado")</f>
        <v>🥾 PR3 Porto Covo da Costa ao Montado</v>
      </c>
      <c r="L224" s="1020"/>
    </row>
    <row r="225" spans="1:12" ht="15" customHeight="1" x14ac:dyDescent="0.35">
      <c r="A225" s="1019">
        <v>46</v>
      </c>
      <c r="B225" s="1011" t="s">
        <v>20624</v>
      </c>
      <c r="C225" s="1012" t="s">
        <v>20617</v>
      </c>
      <c r="D225" s="1013" t="s">
        <v>20581</v>
      </c>
      <c r="E225" s="1014" t="s">
        <v>20538</v>
      </c>
      <c r="F225" s="1024" t="s">
        <v>2285</v>
      </c>
      <c r="G225" s="1014" t="s">
        <v>2278</v>
      </c>
      <c r="H225" s="1016" t="s">
        <v>2659</v>
      </c>
      <c r="I225" s="1017" t="s">
        <v>2595</v>
      </c>
      <c r="J225" s="1018" t="s">
        <v>20625</v>
      </c>
      <c r="K225" s="1161" t="str">
        <f>HYPERLINK("https://www.google.com/maps/search/Planalto+Porto+Covo+Alentejo+Litoral/@37.850,-8.793,14z","🥾 PR4 Planalto de Porto Covo")</f>
        <v>🥾 PR4 Planalto de Porto Covo</v>
      </c>
      <c r="L225" s="1020"/>
    </row>
    <row r="226" spans="1:12" ht="20" customHeight="1" x14ac:dyDescent="0.45">
      <c r="A226" s="1467" t="s">
        <v>20678</v>
      </c>
      <c r="B226" s="1468"/>
      <c r="C226" s="1469"/>
      <c r="D226" s="1469"/>
      <c r="E226" s="1469"/>
      <c r="F226" s="1469"/>
      <c r="G226" s="1469"/>
      <c r="H226" s="1469"/>
      <c r="I226" s="1469"/>
      <c r="J226" s="1470"/>
      <c r="K226" s="1471"/>
      <c r="L226" s="1472"/>
    </row>
    <row r="227" spans="1:12" ht="15" customHeight="1" x14ac:dyDescent="0.35">
      <c r="A227" s="1034">
        <v>1</v>
      </c>
      <c r="B227" s="1026" t="s">
        <v>2644</v>
      </c>
      <c r="C227" s="1027" t="s">
        <v>2497</v>
      </c>
      <c r="D227" s="1028" t="s">
        <v>2318</v>
      </c>
      <c r="E227" s="1029" t="s">
        <v>2389</v>
      </c>
      <c r="F227" s="1030" t="s">
        <v>2285</v>
      </c>
      <c r="G227" s="1029" t="s">
        <v>2278</v>
      </c>
      <c r="H227" s="1031" t="s">
        <v>2645</v>
      </c>
      <c r="I227" s="1032" t="s">
        <v>2287</v>
      </c>
      <c r="J227" s="1033" t="s">
        <v>20210</v>
      </c>
      <c r="K227" s="868" t="str">
        <f>HYPERLINK("https://www.google.com/maps/search/Castelo+de+Palmela+Moscatel+Setubal+Sado/@38.57,-8.9,14z","🥾 PLM PR1 — Vales de Barris e Alcube — Palmela")</f>
        <v>🥾 PLM PR1 — Vales de Barris e Alcube — Palmela</v>
      </c>
      <c r="L227" s="1035" t="s">
        <v>2646</v>
      </c>
    </row>
    <row r="228" spans="1:12" ht="15" customHeight="1" x14ac:dyDescent="0.35">
      <c r="A228" s="1045">
        <v>2</v>
      </c>
      <c r="B228" s="1036" t="s">
        <v>2647</v>
      </c>
      <c r="C228" s="1038" t="s">
        <v>2585</v>
      </c>
      <c r="D228" s="1039" t="s">
        <v>2340</v>
      </c>
      <c r="E228" s="1040" t="s">
        <v>2389</v>
      </c>
      <c r="F228" s="1041" t="s">
        <v>2297</v>
      </c>
      <c r="G228" s="1040" t="s">
        <v>2278</v>
      </c>
      <c r="H228" s="1042" t="s">
        <v>2578</v>
      </c>
      <c r="I228" s="1043" t="s">
        <v>2648</v>
      </c>
      <c r="J228" s="1044" t="s">
        <v>20211</v>
      </c>
      <c r="K228" s="1037" t="str">
        <f>HYPERLINK("https://www.google.com/maps/search/Castelo+de+Alcacer+do+Sal+Arqueologia+Fenicia/@38.372,-8.513,14z","🥾 ASL PR1 — Rota do Senhor dos Mártires — Alcácer do Sal")</f>
        <v>🥾 ASL PR1 — Rota do Senhor dos Mártires — Alcácer do Sal</v>
      </c>
      <c r="L228" s="1046" t="s">
        <v>2649</v>
      </c>
    </row>
    <row r="229" spans="1:12" ht="15" customHeight="1" x14ac:dyDescent="0.35">
      <c r="A229" s="1034">
        <v>3</v>
      </c>
      <c r="B229" s="1026" t="s">
        <v>2650</v>
      </c>
      <c r="C229" s="1027" t="s">
        <v>2407</v>
      </c>
      <c r="D229" s="1028" t="s">
        <v>2378</v>
      </c>
      <c r="E229" s="1029" t="s">
        <v>2276</v>
      </c>
      <c r="F229" s="1030" t="s">
        <v>2285</v>
      </c>
      <c r="G229" s="1029" t="s">
        <v>2278</v>
      </c>
      <c r="H229" s="1031" t="s">
        <v>2651</v>
      </c>
      <c r="I229" s="1032" t="s">
        <v>2652</v>
      </c>
      <c r="J229" s="1033" t="s">
        <v>20212</v>
      </c>
      <c r="K229" s="868" t="str">
        <f>HYPERLINK("https://www.google.com/maps/search/Serra+de+Grandola+Azinhal+Sobreiral+Alentejo/@38.175,-8.57,14z","🥾 GDL PR1 — Rota da Serra de Grândola")</f>
        <v>🥾 GDL PR1 — Rota da Serra de Grândola</v>
      </c>
      <c r="L229" s="1035" t="s">
        <v>2408</v>
      </c>
    </row>
    <row r="230" spans="1:12" ht="15" customHeight="1" x14ac:dyDescent="0.35">
      <c r="A230" s="1045">
        <v>4</v>
      </c>
      <c r="B230" s="1036" t="s">
        <v>2653</v>
      </c>
      <c r="C230" s="1038" t="s">
        <v>2441</v>
      </c>
      <c r="D230" s="1039" t="s">
        <v>2654</v>
      </c>
      <c r="E230" s="1040" t="s">
        <v>2420</v>
      </c>
      <c r="F230" s="1047" t="s">
        <v>2285</v>
      </c>
      <c r="G230" s="1040" t="s">
        <v>2270</v>
      </c>
      <c r="H230" s="1042" t="s">
        <v>2578</v>
      </c>
      <c r="I230" s="1043" t="s">
        <v>2655</v>
      </c>
      <c r="J230" s="1044" t="s">
        <v>20213</v>
      </c>
      <c r="K230" s="1037" t="str">
        <f>HYPERLINK("https://www.google.com/maps/search/Porto+Covo+Aldeia+Piscatoria+Costa+Vicentina/@37.853,-8.795,14z","🥾 Trilho Pescadores Et.1 — Porto Covo — Vila Nova de Milfontes")</f>
        <v>🥾 Trilho Pescadores Et.1 — Porto Covo — Vila Nova de Milfontes</v>
      </c>
      <c r="L230" s="1046" t="s">
        <v>2649</v>
      </c>
    </row>
    <row r="231" spans="1:12" ht="15" customHeight="1" x14ac:dyDescent="0.35">
      <c r="A231" s="1034">
        <v>5</v>
      </c>
      <c r="B231" s="1026" t="s">
        <v>2656</v>
      </c>
      <c r="C231" s="1027" t="s">
        <v>2657</v>
      </c>
      <c r="D231" s="1028" t="s">
        <v>2658</v>
      </c>
      <c r="E231" s="1029" t="s">
        <v>2341</v>
      </c>
      <c r="F231" s="1030" t="s">
        <v>2285</v>
      </c>
      <c r="G231" s="1029" t="s">
        <v>2270</v>
      </c>
      <c r="H231" s="1031" t="s">
        <v>2659</v>
      </c>
      <c r="I231" s="1032" t="s">
        <v>2660</v>
      </c>
      <c r="J231" s="1033" t="s">
        <v>20214</v>
      </c>
      <c r="K231" s="868" t="str">
        <f>HYPERLINK("https://www.google.com/maps/search/Vila+Nova+de+Milfontes+Costa+Vicentina+Estuario+Mira/@37.728,-8.787,14z","🥾 Trilho Pescadores Et.2 — Vila Nova de Milfontes — Almograve")</f>
        <v>🥾 Trilho Pescadores Et.2 — Vila Nova de Milfontes — Almograve</v>
      </c>
      <c r="L231" s="1035" t="s">
        <v>2649</v>
      </c>
    </row>
    <row r="232" spans="1:12" ht="15" customHeight="1" x14ac:dyDescent="0.35">
      <c r="A232" s="1045">
        <v>6</v>
      </c>
      <c r="B232" s="1036" t="s">
        <v>2661</v>
      </c>
      <c r="C232" s="1038" t="s">
        <v>2657</v>
      </c>
      <c r="D232" s="1039" t="s">
        <v>2514</v>
      </c>
      <c r="E232" s="1040" t="s">
        <v>2477</v>
      </c>
      <c r="F232" s="1047" t="s">
        <v>2285</v>
      </c>
      <c r="G232" s="1040" t="s">
        <v>2270</v>
      </c>
      <c r="H232" s="1042" t="s">
        <v>2578</v>
      </c>
      <c r="I232" s="1043" t="s">
        <v>2280</v>
      </c>
      <c r="J232" s="1044" t="s">
        <v>20215</v>
      </c>
      <c r="K232" s="1037" t="str">
        <f>HYPERLINK("https://www.google.com/maps/search/Praia+de+Almograve+Costa+Vicentina+Basalto/@37.65,-8.798,14z","🥾 Trilho Pescadores Et.3 — Almograve — Zambujeira do Mar")</f>
        <v>🥾 Trilho Pescadores Et.3 — Almograve — Zambujeira do Mar</v>
      </c>
      <c r="L232" s="1046" t="s">
        <v>2649</v>
      </c>
    </row>
    <row r="233" spans="1:12" ht="15" customHeight="1" x14ac:dyDescent="0.35">
      <c r="A233" s="1034">
        <v>7</v>
      </c>
      <c r="B233" s="1026" t="s">
        <v>2662</v>
      </c>
      <c r="C233" s="1027" t="s">
        <v>2497</v>
      </c>
      <c r="D233" s="1028" t="s">
        <v>2514</v>
      </c>
      <c r="E233" s="1029" t="s">
        <v>2477</v>
      </c>
      <c r="F233" s="1030" t="s">
        <v>2285</v>
      </c>
      <c r="G233" s="1029" t="s">
        <v>2270</v>
      </c>
      <c r="H233" s="1031" t="s">
        <v>2498</v>
      </c>
      <c r="I233" s="1032" t="s">
        <v>2663</v>
      </c>
      <c r="J233" s="1033" t="s">
        <v>20216</v>
      </c>
      <c r="K233" s="868" t="str">
        <f>HYPERLINK("https://www.google.com/maps/search/Zambujeira+do+Mar+Costa+Vicentina+Odeceixe/@37.518,-8.787,14z","🥾 Trilho Pescadores Et.4 — Zambujeira do Mar — Odeceixe")</f>
        <v>🥾 Trilho Pescadores Et.4 — Zambujeira do Mar — Odeceixe</v>
      </c>
      <c r="L233" s="1035" t="s">
        <v>2649</v>
      </c>
    </row>
    <row r="234" spans="1:12" ht="15" customHeight="1" x14ac:dyDescent="0.35">
      <c r="A234" s="1045">
        <v>8</v>
      </c>
      <c r="B234" s="1036" t="s">
        <v>2664</v>
      </c>
      <c r="C234" s="1038" t="s">
        <v>2665</v>
      </c>
      <c r="D234" s="1039" t="s">
        <v>2315</v>
      </c>
      <c r="E234" s="1040" t="s">
        <v>2291</v>
      </c>
      <c r="F234" s="1041" t="s">
        <v>2297</v>
      </c>
      <c r="G234" s="1040" t="s">
        <v>2278</v>
      </c>
      <c r="H234" s="1042" t="s">
        <v>2502</v>
      </c>
      <c r="I234" s="1043" t="s">
        <v>2332</v>
      </c>
      <c r="J234" s="1044" t="s">
        <v>20217</v>
      </c>
      <c r="K234" s="1037" t="str">
        <f>HYPERLINK("https://www.google.com/maps/search/Lapa+das+Pombas+Gruta+Neolitico+Odemira/@37.598,-8.643,14z","🥾 ODM PR1 — Lapa das Pombas — Odemira")</f>
        <v>🥾 ODM PR1 — Lapa das Pombas — Odemira</v>
      </c>
      <c r="L234" s="1046" t="s">
        <v>2649</v>
      </c>
    </row>
    <row r="235" spans="1:12" ht="15" customHeight="1" x14ac:dyDescent="0.35">
      <c r="A235" s="1034">
        <v>9</v>
      </c>
      <c r="B235" s="1026" t="s">
        <v>2666</v>
      </c>
      <c r="C235" s="1027" t="s">
        <v>2407</v>
      </c>
      <c r="D235" s="1028" t="s">
        <v>2617</v>
      </c>
      <c r="E235" s="1029" t="s">
        <v>2667</v>
      </c>
      <c r="F235" s="1030" t="s">
        <v>2285</v>
      </c>
      <c r="G235" s="1029" t="s">
        <v>2270</v>
      </c>
      <c r="H235" s="1031" t="s">
        <v>2668</v>
      </c>
      <c r="I235" s="1032" t="s">
        <v>2572</v>
      </c>
      <c r="J235" s="1033" t="s">
        <v>20218</v>
      </c>
      <c r="K235" s="868" t="str">
        <f>HYPERLINK("https://www.google.com/maps/search/Santiago+do+Cacem+Castelo+Mirobriga+Romana/@37.998,-8.695,14z","🥾 Caminho Histórico Et.2 — Santiago do Cacém — Vale Seco")</f>
        <v>🥾 Caminho Histórico Et.2 — Santiago do Cacém — Vale Seco</v>
      </c>
      <c r="L235" s="1035" t="s">
        <v>2408</v>
      </c>
    </row>
    <row r="236" spans="1:12" ht="15" customHeight="1" x14ac:dyDescent="0.35">
      <c r="A236" s="1045">
        <v>10</v>
      </c>
      <c r="B236" s="1036" t="s">
        <v>2669</v>
      </c>
      <c r="C236" s="1038" t="s">
        <v>2388</v>
      </c>
      <c r="D236" s="1039" t="s">
        <v>2315</v>
      </c>
      <c r="E236" s="1040" t="s">
        <v>2291</v>
      </c>
      <c r="F236" s="1041" t="s">
        <v>2297</v>
      </c>
      <c r="G236" s="1040" t="s">
        <v>2278</v>
      </c>
      <c r="H236" s="1042" t="s">
        <v>2586</v>
      </c>
      <c r="I236" s="1043" t="s">
        <v>2572</v>
      </c>
      <c r="J236" s="1044" t="s">
        <v>20219</v>
      </c>
      <c r="K236" s="1037" t="str">
        <f>HYPERLINK("https://www.google.com/maps/search/Raposeira+Henrique+Navegador+Costa+Vicentina/@37.085,-8.9,14z","🥾 PR4 VBP — Pelas Encostas da Raposeira — Vila do Bispo")</f>
        <v>🥾 PR4 VBP — Pelas Encostas da Raposeira — Vila do Bispo</v>
      </c>
      <c r="L236" s="1046" t="s">
        <v>2433</v>
      </c>
    </row>
    <row r="237" spans="1:12" ht="15" customHeight="1" x14ac:dyDescent="0.35">
      <c r="A237" s="1034">
        <v>11</v>
      </c>
      <c r="B237" s="1026" t="s">
        <v>2670</v>
      </c>
      <c r="C237" s="1027" t="s">
        <v>2497</v>
      </c>
      <c r="D237" s="1028" t="s">
        <v>2335</v>
      </c>
      <c r="E237" s="1029" t="s">
        <v>2308</v>
      </c>
      <c r="F237" s="1030" t="s">
        <v>2285</v>
      </c>
      <c r="G237" s="1029" t="s">
        <v>2278</v>
      </c>
      <c r="H237" s="1031" t="s">
        <v>2557</v>
      </c>
      <c r="I237" s="1032" t="s">
        <v>2536</v>
      </c>
      <c r="J237" s="1033" t="s">
        <v>20220</v>
      </c>
      <c r="K237" s="868" t="str">
        <f>HYPERLINK("https://www.google.com/maps/search/Mertola+Vila+Museu+Guadiana+Castelo+Medieval/@37.64,-7.66,14z","🥾 PR1 MRT — Guadiana — O Grande Rio do Sul")</f>
        <v>🥾 PR1 MRT — Guadiana — O Grande Rio do Sul</v>
      </c>
      <c r="L237" s="1035" t="s">
        <v>2649</v>
      </c>
    </row>
    <row r="238" spans="1:12" ht="15" customHeight="1" x14ac:dyDescent="0.35">
      <c r="A238" s="1045">
        <v>12</v>
      </c>
      <c r="B238" s="1036" t="s">
        <v>2671</v>
      </c>
      <c r="C238" s="1038" t="s">
        <v>2388</v>
      </c>
      <c r="D238" s="1039" t="s">
        <v>2340</v>
      </c>
      <c r="E238" s="1040" t="s">
        <v>2341</v>
      </c>
      <c r="F238" s="1047" t="s">
        <v>2285</v>
      </c>
      <c r="G238" s="1040" t="s">
        <v>2270</v>
      </c>
      <c r="H238" s="1042" t="s">
        <v>2532</v>
      </c>
      <c r="I238" s="1043" t="s">
        <v>2672</v>
      </c>
      <c r="J238" s="1044" t="s">
        <v>20221</v>
      </c>
      <c r="K238" s="1037" t="str">
        <f>HYPERLINK("https://www.google.com/maps/search/Pulo+do+Lobo+Cascata+Guadiana+Mertola/@37.72,-7.65,14z","🥾 PR9 MRT — Entre Escalda e Pulo do Lobo")</f>
        <v>🥾 PR9 MRT — Entre Escalda e Pulo do Lobo</v>
      </c>
      <c r="L238" s="1046" t="s">
        <v>2433</v>
      </c>
    </row>
    <row r="239" spans="1:12" ht="15" customHeight="1" x14ac:dyDescent="0.35">
      <c r="A239" s="1034">
        <v>13</v>
      </c>
      <c r="B239" s="1026" t="s">
        <v>2673</v>
      </c>
      <c r="C239" s="1027" t="s">
        <v>2585</v>
      </c>
      <c r="D239" s="1028" t="s">
        <v>2311</v>
      </c>
      <c r="E239" s="1029" t="s">
        <v>2276</v>
      </c>
      <c r="F239" s="1048" t="s">
        <v>2297</v>
      </c>
      <c r="G239" s="1029" t="s">
        <v>2278</v>
      </c>
      <c r="H239" s="1031" t="s">
        <v>2502</v>
      </c>
      <c r="I239" s="1032" t="s">
        <v>2287</v>
      </c>
      <c r="J239" s="1033" t="s">
        <v>20222</v>
      </c>
      <c r="K239" s="868" t="str">
        <f>HYPERLINK("https://www.google.com/maps/search/Mina+de+Sao+Domingos+Lago+Acido+Alentejo/@37.665,-7.505,14z","🥾 PR10 MRT — Rota do Minério — Mina de S. Domingos")</f>
        <v>🥾 PR10 MRT — Rota do Minério — Mina de S. Domingos</v>
      </c>
      <c r="L239" s="1035" t="s">
        <v>2649</v>
      </c>
    </row>
    <row r="240" spans="1:12" ht="15" customHeight="1" x14ac:dyDescent="0.35">
      <c r="A240" s="1045">
        <v>14</v>
      </c>
      <c r="B240" s="1036" t="s">
        <v>2674</v>
      </c>
      <c r="C240" s="1038" t="s">
        <v>2675</v>
      </c>
      <c r="D240" s="1039" t="s">
        <v>2296</v>
      </c>
      <c r="E240" s="1040" t="s">
        <v>2284</v>
      </c>
      <c r="F240" s="1041" t="s">
        <v>2297</v>
      </c>
      <c r="G240" s="1040" t="s">
        <v>2278</v>
      </c>
      <c r="H240" s="1042" t="s">
        <v>2498</v>
      </c>
      <c r="I240" s="1043" t="s">
        <v>2676</v>
      </c>
      <c r="J240" s="1044" t="s">
        <v>20223</v>
      </c>
      <c r="K240" s="1037" t="str">
        <f>HYPERLINK("https://www.google.com/maps/search/Azinhal+Aldeia+Rio+Guadiana+Castro+Marim/@37.528,-7.485,14z","🥾 PR3 CTM — Azinhal — Uma Janela para o Guadiana")</f>
        <v>🥾 PR3 CTM — Azinhal — Uma Janela para o Guadiana</v>
      </c>
      <c r="L240" s="1046" t="s">
        <v>2649</v>
      </c>
    </row>
    <row r="241" spans="1:12" ht="15" customHeight="1" x14ac:dyDescent="0.35">
      <c r="A241" s="1034">
        <v>15</v>
      </c>
      <c r="B241" s="1026" t="s">
        <v>2677</v>
      </c>
      <c r="C241" s="1027" t="s">
        <v>2407</v>
      </c>
      <c r="D241" s="1028" t="s">
        <v>2318</v>
      </c>
      <c r="E241" s="1029" t="s">
        <v>2389</v>
      </c>
      <c r="F241" s="1030" t="s">
        <v>2285</v>
      </c>
      <c r="G241" s="1029" t="s">
        <v>2278</v>
      </c>
      <c r="H241" s="1031" t="s">
        <v>2557</v>
      </c>
      <c r="I241" s="1032" t="s">
        <v>2536</v>
      </c>
      <c r="J241" s="1033" t="s">
        <v>20224</v>
      </c>
      <c r="K241" s="868" t="str">
        <f>HYPERLINK("https://www.google.com/maps/search/Serra+do+Caldeirano+Cabra+Algarvia+Castro+Marim/@37.31,-8,14z","🥾 PR7 CTM — Caminhos da Cabra Algarvia")</f>
        <v>🥾 PR7 CTM — Caminhos da Cabra Algarvia</v>
      </c>
      <c r="L241" s="1035" t="s">
        <v>2408</v>
      </c>
    </row>
    <row r="242" spans="1:12" ht="15" customHeight="1" x14ac:dyDescent="0.35">
      <c r="A242" s="1045">
        <v>16</v>
      </c>
      <c r="B242" s="1036" t="s">
        <v>2678</v>
      </c>
      <c r="C242" s="1038" t="s">
        <v>2497</v>
      </c>
      <c r="D242" s="1039" t="s">
        <v>2290</v>
      </c>
      <c r="E242" s="1040" t="s">
        <v>2369</v>
      </c>
      <c r="F242" s="1041" t="s">
        <v>2297</v>
      </c>
      <c r="G242" s="1040" t="s">
        <v>2278</v>
      </c>
      <c r="H242" s="1042" t="s">
        <v>2510</v>
      </c>
      <c r="I242" s="1043" t="s">
        <v>2536</v>
      </c>
      <c r="J242" s="1044" t="s">
        <v>20225</v>
      </c>
      <c r="K242" s="1037" t="str">
        <f>HYPERLINK("https://www.google.com/maps/search/Parque+Natureza+de+Noudar+Lince+Iberico+Barrancos/@38.16,-6.965,14z","🥾 BRC PP1 — Parque Natureza Noudar — Barrancos")</f>
        <v>🥾 BRC PP1 — Parque Natureza Noudar — Barrancos</v>
      </c>
      <c r="L242" s="1046" t="s">
        <v>2649</v>
      </c>
    </row>
    <row r="243" spans="1:12" ht="15" customHeight="1" x14ac:dyDescent="0.35">
      <c r="A243" s="1034">
        <v>17</v>
      </c>
      <c r="B243" s="1026" t="s">
        <v>2679</v>
      </c>
      <c r="C243" s="1027" t="s">
        <v>2680</v>
      </c>
      <c r="D243" s="1028" t="s">
        <v>2378</v>
      </c>
      <c r="E243" s="1029" t="s">
        <v>2276</v>
      </c>
      <c r="F243" s="1048" t="s">
        <v>2297</v>
      </c>
      <c r="G243" s="1029" t="s">
        <v>2278</v>
      </c>
      <c r="H243" s="1031" t="s">
        <v>2681</v>
      </c>
      <c r="I243" s="1032" t="s">
        <v>2682</v>
      </c>
      <c r="J243" s="1033" t="s">
        <v>20226</v>
      </c>
      <c r="K243" s="868" t="str">
        <f>HYPERLINK("https://www.google.com/maps/search/Reserva+Natural+Castro+Verde+Aves+Estepe+Sisao/@37.7,-7.95,14z","🥾 CVR PR1 — Viagem aos Primórdios — Castro Verde")</f>
        <v>🥾 CVR PR1 — Viagem aos Primórdios — Castro Verde</v>
      </c>
      <c r="L243" s="1035" t="s">
        <v>2649</v>
      </c>
    </row>
    <row r="244" spans="1:12" ht="15" customHeight="1" x14ac:dyDescent="0.35">
      <c r="A244" s="1045">
        <v>18</v>
      </c>
      <c r="B244" s="1036" t="s">
        <v>2683</v>
      </c>
      <c r="C244" s="1038" t="s">
        <v>2585</v>
      </c>
      <c r="D244" s="1039" t="s">
        <v>2290</v>
      </c>
      <c r="E244" s="1040" t="s">
        <v>2369</v>
      </c>
      <c r="F244" s="1041" t="s">
        <v>2297</v>
      </c>
      <c r="G244" s="1040" t="s">
        <v>2278</v>
      </c>
      <c r="H244" s="1042" t="s">
        <v>2502</v>
      </c>
      <c r="I244" s="1043" t="s">
        <v>2684</v>
      </c>
      <c r="J244" s="1044" t="s">
        <v>20227</v>
      </c>
      <c r="K244" s="1037" t="str">
        <f>HYPERLINK("https://www.google.com/maps/search/Castro+Verde+Rapinas+Aguia+Imperial+Estepe/@37.7,-7.95,14z","🥾 CVR PR2 — Altar Celeste — Observação de Aves de Rapina")</f>
        <v>🥾 CVR PR2 — Altar Celeste — Observação de Aves de Rapina</v>
      </c>
      <c r="L244" s="1046" t="s">
        <v>2649</v>
      </c>
    </row>
    <row r="245" spans="1:12" ht="15" customHeight="1" x14ac:dyDescent="0.35">
      <c r="A245" s="1034">
        <v>19</v>
      </c>
      <c r="B245" s="1026" t="s">
        <v>2685</v>
      </c>
      <c r="C245" s="1027" t="s">
        <v>2497</v>
      </c>
      <c r="D245" s="1028" t="s">
        <v>2335</v>
      </c>
      <c r="E245" s="1029" t="s">
        <v>2308</v>
      </c>
      <c r="F245" s="1048" t="s">
        <v>2297</v>
      </c>
      <c r="G245" s="1029" t="s">
        <v>2278</v>
      </c>
      <c r="H245" s="1031" t="s">
        <v>2498</v>
      </c>
      <c r="I245" s="1032" t="s">
        <v>2536</v>
      </c>
      <c r="J245" s="1033" t="s">
        <v>20228</v>
      </c>
      <c r="K245" s="868" t="str">
        <f>HYPERLINK("https://www.google.com/maps/search/Fortes+Guadiana+Mertola+Azenhas+Rio+Beja/@37.96,-7.87,14z","🥾 PR1 BJA — Azenhas e Fortins do Guadiana — Beja")</f>
        <v>🥾 PR1 BJA — Azenhas e Fortins do Guadiana — Beja</v>
      </c>
      <c r="L245" s="1035" t="s">
        <v>2649</v>
      </c>
    </row>
    <row r="246" spans="1:12" ht="15" customHeight="1" x14ac:dyDescent="0.35">
      <c r="A246" s="1045">
        <v>20</v>
      </c>
      <c r="B246" s="1036" t="s">
        <v>2686</v>
      </c>
      <c r="C246" s="1038" t="s">
        <v>2452</v>
      </c>
      <c r="D246" s="1039" t="s">
        <v>2687</v>
      </c>
      <c r="E246" s="1040" t="s">
        <v>2284</v>
      </c>
      <c r="F246" s="1041" t="s">
        <v>2297</v>
      </c>
      <c r="G246" s="1040" t="s">
        <v>2278</v>
      </c>
      <c r="H246" s="1042" t="s">
        <v>2557</v>
      </c>
      <c r="I246" s="1043" t="s">
        <v>2533</v>
      </c>
      <c r="J246" s="1044" t="s">
        <v>20229</v>
      </c>
      <c r="K246" s="1037" t="str">
        <f>HYPERLINK("https://www.google.com/maps/search/Mourao+Lago+Alqueva+Dark+Sky+Reserva/@38.365,-7.35,14z","🥾 PR1 MOU — Pelo Património de Mourão — Alqueva")</f>
        <v>🥾 PR1 MOU — Pelo Património de Mourão — Alqueva</v>
      </c>
      <c r="L246" s="1046" t="s">
        <v>2688</v>
      </c>
    </row>
    <row r="247" spans="1:12" ht="15" customHeight="1" x14ac:dyDescent="0.35">
      <c r="A247" s="1034">
        <v>21</v>
      </c>
      <c r="B247" s="1026" t="s">
        <v>2689</v>
      </c>
      <c r="C247" s="1027" t="s">
        <v>1332</v>
      </c>
      <c r="D247" s="1028" t="s">
        <v>2311</v>
      </c>
      <c r="E247" s="1029" t="s">
        <v>2291</v>
      </c>
      <c r="F247" s="1048" t="s">
        <v>2297</v>
      </c>
      <c r="G247" s="1029" t="s">
        <v>2278</v>
      </c>
      <c r="H247" s="1031" t="s">
        <v>2690</v>
      </c>
      <c r="I247" s="1032" t="s">
        <v>2332</v>
      </c>
      <c r="J247" s="1033" t="s">
        <v>20230</v>
      </c>
      <c r="K247" s="868" t="str">
        <f>HYPERLINK("https://www.google.com/maps/search/Alandroal+Antas+Neoliticas+Cromeleque+Almendres+Alqueva/@38.52,-7.39,14z","🥾 ADL PR1 — Rota do Giro — Alandroal / Monsaraz")</f>
        <v>🥾 ADL PR1 — Rota do Giro — Alandroal / Monsaraz</v>
      </c>
      <c r="L247" s="1035" t="s">
        <v>2688</v>
      </c>
    </row>
    <row r="248" spans="1:12" ht="15" customHeight="1" x14ac:dyDescent="0.35">
      <c r="A248" s="1045">
        <v>22</v>
      </c>
      <c r="B248" s="1036" t="s">
        <v>2691</v>
      </c>
      <c r="C248" s="1038" t="s">
        <v>2497</v>
      </c>
      <c r="D248" s="1039" t="s">
        <v>2318</v>
      </c>
      <c r="E248" s="1040" t="s">
        <v>2389</v>
      </c>
      <c r="F248" s="1047" t="s">
        <v>2285</v>
      </c>
      <c r="G248" s="1040" t="s">
        <v>2278</v>
      </c>
      <c r="H248" s="1042" t="s">
        <v>2692</v>
      </c>
      <c r="I248" s="1043" t="s">
        <v>2305</v>
      </c>
      <c r="J248" s="1044" t="s">
        <v>20231</v>
      </c>
      <c r="K248" s="1037" t="str">
        <f>HYPERLINK("https://www.google.com/maps/search/Serra+de+Monfurado+Azinhais+Montemor+o+Novo/@38.653,-8.218,14z","🥾 MMN PR4 — Serra de Monfurado — Montemor-o-Novo")</f>
        <v>🥾 MMN PR4 — Serra de Monfurado — Montemor-o-Novo</v>
      </c>
      <c r="L248" s="1046" t="s">
        <v>2649</v>
      </c>
    </row>
    <row r="249" spans="1:12" ht="15" customHeight="1" x14ac:dyDescent="0.35">
      <c r="A249" s="1034">
        <v>23</v>
      </c>
      <c r="B249" s="1026" t="s">
        <v>2693</v>
      </c>
      <c r="C249" s="1027" t="s">
        <v>2441</v>
      </c>
      <c r="D249" s="1028" t="s">
        <v>2311</v>
      </c>
      <c r="E249" s="1029" t="s">
        <v>2291</v>
      </c>
      <c r="F249" s="1048" t="s">
        <v>2297</v>
      </c>
      <c r="G249" s="1029" t="s">
        <v>2278</v>
      </c>
      <c r="H249" s="1031" t="s">
        <v>2668</v>
      </c>
      <c r="I249" s="1032" t="s">
        <v>2694</v>
      </c>
      <c r="J249" s="1033" t="s">
        <v>20232</v>
      </c>
      <c r="K249" s="868" t="str">
        <f>HYPERLINK("https://www.google.com/maps/search/Aqueduto+Prateado+de+Evora+Arcos+Renascentistas/@38.57,-7.908,14z","🥾 EVR PR1 — Água da Prata — Évora e Aqueduto Prateado")</f>
        <v>🥾 EVR PR1 — Água da Prata — Évora e Aqueduto Prateado</v>
      </c>
      <c r="L249" s="1035" t="s">
        <v>2695</v>
      </c>
    </row>
    <row r="250" spans="1:12" ht="15" customHeight="1" x14ac:dyDescent="0.35">
      <c r="A250" s="1045">
        <v>24</v>
      </c>
      <c r="B250" s="1036" t="s">
        <v>2696</v>
      </c>
      <c r="C250" s="1038" t="s">
        <v>2697</v>
      </c>
      <c r="D250" s="1039" t="s">
        <v>2335</v>
      </c>
      <c r="E250" s="1040" t="s">
        <v>2308</v>
      </c>
      <c r="F250" s="1041" t="s">
        <v>2297</v>
      </c>
      <c r="G250" s="1040" t="s">
        <v>2278</v>
      </c>
      <c r="H250" s="1042" t="s">
        <v>2502</v>
      </c>
      <c r="I250" s="1043" t="s">
        <v>2332</v>
      </c>
      <c r="J250" s="1044" t="s">
        <v>20233</v>
      </c>
      <c r="K250" s="1037" t="str">
        <f>HYPERLINK("https://www.google.com/maps/search/Cromeleque+dos+Almendres+Stonehenge+Portugues+Evora/@38.558,-8.025,14z","🥾 RDD PR1 Antas — Rota das Antas — Redondo / Cromeleque Almendres")</f>
        <v>🥾 RDD PR1 Antas — Rota das Antas — Redondo / Cromeleque Almendres</v>
      </c>
      <c r="L250" s="1046" t="s">
        <v>2649</v>
      </c>
    </row>
    <row r="251" spans="1:12" ht="15" customHeight="1" x14ac:dyDescent="0.35">
      <c r="A251" s="1034">
        <v>25</v>
      </c>
      <c r="B251" s="1026" t="s">
        <v>2698</v>
      </c>
      <c r="C251" s="1027" t="s">
        <v>2452</v>
      </c>
      <c r="D251" s="1028" t="s">
        <v>2335</v>
      </c>
      <c r="E251" s="1029" t="s">
        <v>2308</v>
      </c>
      <c r="F251" s="1030" t="s">
        <v>2285</v>
      </c>
      <c r="G251" s="1029" t="s">
        <v>2278</v>
      </c>
      <c r="H251" s="1031" t="s">
        <v>2699</v>
      </c>
      <c r="I251" s="1032" t="s">
        <v>2700</v>
      </c>
      <c r="J251" s="1033" t="s">
        <v>20234</v>
      </c>
      <c r="K251" s="868" t="str">
        <f>HYPERLINK("https://www.google.com/maps/search/Foia+902m+Pico+Mais+Alto+do+Algarve+Monchique/@37.323,-8.595,14z","🥾 MCQ PR3 — Trilho da Fóia — Pico Mais Alto do Algarve")</f>
        <v>🥾 MCQ PR3 — Trilho da Fóia — Pico Mais Alto do Algarve</v>
      </c>
      <c r="L251" s="1035" t="s">
        <v>2252</v>
      </c>
    </row>
    <row r="252" spans="1:12" ht="15" customHeight="1" x14ac:dyDescent="0.35">
      <c r="A252" s="1045">
        <v>26</v>
      </c>
      <c r="B252" s="1036" t="s">
        <v>2701</v>
      </c>
      <c r="C252" s="1038" t="s">
        <v>2697</v>
      </c>
      <c r="D252" s="1039" t="s">
        <v>2296</v>
      </c>
      <c r="E252" s="1040" t="s">
        <v>2284</v>
      </c>
      <c r="F252" s="1041" t="s">
        <v>2297</v>
      </c>
      <c r="G252" s="1040" t="s">
        <v>2278</v>
      </c>
      <c r="H252" s="1042" t="s">
        <v>2431</v>
      </c>
      <c r="I252" s="1043" t="s">
        <v>2361</v>
      </c>
      <c r="J252" s="1044" t="s">
        <v>20235</v>
      </c>
      <c r="K252" s="1037" t="str">
        <f>HYPERLINK("https://www.google.com/maps/search/Passadicos+Barranco+Demo+Serra+Monchique/@37.34,-8.55,14z","🥾 MCQ PR5 — Passadiços do Barranco do Demo")</f>
        <v>🥾 MCQ PR5 — Passadiços do Barranco do Demo</v>
      </c>
      <c r="L252" s="1046" t="s">
        <v>2649</v>
      </c>
    </row>
    <row r="253" spans="1:12" ht="15" customHeight="1" x14ac:dyDescent="0.35">
      <c r="A253" s="1034">
        <v>27</v>
      </c>
      <c r="B253" s="1026" t="s">
        <v>2702</v>
      </c>
      <c r="C253" s="1027" t="s">
        <v>2407</v>
      </c>
      <c r="D253" s="1028" t="s">
        <v>2311</v>
      </c>
      <c r="E253" s="1029" t="s">
        <v>2276</v>
      </c>
      <c r="F253" s="1030" t="s">
        <v>2285</v>
      </c>
      <c r="G253" s="1029" t="s">
        <v>2278</v>
      </c>
      <c r="H253" s="1031" t="s">
        <v>2703</v>
      </c>
      <c r="I253" s="1032" t="s">
        <v>2287</v>
      </c>
      <c r="J253" s="1033" t="s">
        <v>20236</v>
      </c>
      <c r="K253" s="868" t="str">
        <f>HYPERLINK("https://www.google.com/maps/search/Picota+773m+Monchique+Caldas+Termais/@37.315,-8.57,14z","🥾 MCQ PR2 — Caminho das Caldas — Picota")</f>
        <v>🥾 MCQ PR2 — Caminho das Caldas — Picota</v>
      </c>
      <c r="L253" s="1035" t="s">
        <v>2252</v>
      </c>
    </row>
    <row r="254" spans="1:12" ht="15" customHeight="1" x14ac:dyDescent="0.35">
      <c r="A254" s="1045">
        <v>28</v>
      </c>
      <c r="B254" s="1036" t="s">
        <v>2704</v>
      </c>
      <c r="C254" s="1038" t="s">
        <v>2585</v>
      </c>
      <c r="D254" s="1039" t="s">
        <v>2302</v>
      </c>
      <c r="E254" s="1040" t="s">
        <v>2369</v>
      </c>
      <c r="F254" s="1041" t="s">
        <v>2297</v>
      </c>
      <c r="G254" s="1040" t="s">
        <v>2278</v>
      </c>
      <c r="H254" s="1042" t="s">
        <v>2411</v>
      </c>
      <c r="I254" s="1043" t="s">
        <v>2299</v>
      </c>
      <c r="J254" s="1044" t="s">
        <v>20237</v>
      </c>
      <c r="K254" s="1037" t="str">
        <f>HYPERLINK("https://www.google.com/maps/search/Ponta+da+Piedade+Lagos+Arcos+Calcarios+Grutas/@37.103,-8.675,14z","🥾 LGS PR1 — Pedra do Galo — Lagos")</f>
        <v>🥾 LGS PR1 — Pedra do Galo — Lagos</v>
      </c>
      <c r="L254" s="1046" t="s">
        <v>2649</v>
      </c>
    </row>
    <row r="255" spans="1:12" ht="15" customHeight="1" x14ac:dyDescent="0.35">
      <c r="A255" s="1034">
        <v>29</v>
      </c>
      <c r="B255" s="1026" t="s">
        <v>2705</v>
      </c>
      <c r="C255" s="1027" t="s">
        <v>2585</v>
      </c>
      <c r="D255" s="1028" t="s">
        <v>2290</v>
      </c>
      <c r="E255" s="1029" t="s">
        <v>2369</v>
      </c>
      <c r="F255" s="1048" t="s">
        <v>2297</v>
      </c>
      <c r="G255" s="1029" t="s">
        <v>2278</v>
      </c>
      <c r="H255" s="1031" t="s">
        <v>2561</v>
      </c>
      <c r="I255" s="1032" t="s">
        <v>2572</v>
      </c>
      <c r="J255" s="1033" t="s">
        <v>20238</v>
      </c>
      <c r="K255" s="868" t="str">
        <f>HYPERLINK("https://www.google.com/maps/search/Ponta+da+Piedade+Lagos+Algarve+Arcos+Naturais/@37.085,-8.666,14z","🥾 PTM PR1 — A Rocha Delicada — Portimão / Ponta da Piedade")</f>
        <v>🥾 PTM PR1 — A Rocha Delicada — Portimão / Ponta da Piedade</v>
      </c>
      <c r="L255" s="1035" t="s">
        <v>2649</v>
      </c>
    </row>
    <row r="256" spans="1:12" ht="15" customHeight="1" x14ac:dyDescent="0.35">
      <c r="A256" s="1045">
        <v>30</v>
      </c>
      <c r="B256" s="1036" t="s">
        <v>2706</v>
      </c>
      <c r="C256" s="1038" t="s">
        <v>2407</v>
      </c>
      <c r="D256" s="1039" t="s">
        <v>2302</v>
      </c>
      <c r="E256" s="1040" t="s">
        <v>2369</v>
      </c>
      <c r="F256" s="1041" t="s">
        <v>2297</v>
      </c>
      <c r="G256" s="1040" t="s">
        <v>2278</v>
      </c>
      <c r="H256" s="1042" t="s">
        <v>2498</v>
      </c>
      <c r="I256" s="1043" t="s">
        <v>2536</v>
      </c>
      <c r="J256" s="1044" t="s">
        <v>20239</v>
      </c>
      <c r="K256" s="1037" t="str">
        <f>HYPERLINK("https://www.google.com/maps/search/Castelo+de+Paderne+Ruinas+Almoada+Albufeira/@37.165,-8.205,14z","🥾 ABF PR1 — Castelo de Paderne — Albufeira")</f>
        <v>🥾 ABF PR1 — Castelo de Paderne — Albufeira</v>
      </c>
      <c r="L256" s="1046" t="s">
        <v>2408</v>
      </c>
    </row>
    <row r="257" spans="1:12" ht="15" customHeight="1" x14ac:dyDescent="0.35">
      <c r="A257" s="1034">
        <v>31</v>
      </c>
      <c r="B257" s="1026" t="s">
        <v>2707</v>
      </c>
      <c r="C257" s="1027" t="s">
        <v>2407</v>
      </c>
      <c r="D257" s="1028" t="s">
        <v>2643</v>
      </c>
      <c r="E257" s="1029" t="s">
        <v>2420</v>
      </c>
      <c r="F257" s="1030" t="s">
        <v>2285</v>
      </c>
      <c r="G257" s="1029" t="s">
        <v>2270</v>
      </c>
      <c r="H257" s="1031" t="s">
        <v>2358</v>
      </c>
      <c r="I257" s="1032" t="s">
        <v>2708</v>
      </c>
      <c r="J257" s="1033" t="s">
        <v>20240</v>
      </c>
      <c r="K257" s="868" t="str">
        <f>HYPERLINK("https://www.google.com/maps/search/Alcoutim+Aldeia+Medieval+Guadiana+Fronteira+Espanha/@37.47,-7.47,14z","🥾 GR13 VA Et.1 — Via Algarviana — Alcoutim a Martinlongo")</f>
        <v>🥾 GR13 VA Et.1 — Via Algarviana — Alcoutim a Martinlongo</v>
      </c>
      <c r="L257" s="1035" t="s">
        <v>2709</v>
      </c>
    </row>
    <row r="258" spans="1:12" ht="15" customHeight="1" x14ac:dyDescent="0.35">
      <c r="A258" s="1045">
        <v>32</v>
      </c>
      <c r="B258" s="1036" t="s">
        <v>2710</v>
      </c>
      <c r="C258" s="1038" t="s">
        <v>2585</v>
      </c>
      <c r="D258" s="1039" t="s">
        <v>2302</v>
      </c>
      <c r="E258" s="1040" t="s">
        <v>2369</v>
      </c>
      <c r="F258" s="1041" t="s">
        <v>2297</v>
      </c>
      <c r="G258" s="1040" t="s">
        <v>2278</v>
      </c>
      <c r="H258" s="1042" t="s">
        <v>2502</v>
      </c>
      <c r="I258" s="1043" t="s">
        <v>2332</v>
      </c>
      <c r="J258" s="1044" t="s">
        <v>20241</v>
      </c>
      <c r="K258" s="1037" t="str">
        <f>HYPERLINK("https://www.google.com/maps/search/Fonte+Benemola+Nascente+Carsica+Loule+Algarve/@37.25,-8.02,14z","🥾 LLE PR16 — Fonte Benémola — Loulé (Ribeira da Menalva)")</f>
        <v>🥾 LLE PR16 — Fonte Benémola — Loulé (Ribeira da Menalva)</v>
      </c>
      <c r="L258" s="1046" t="s">
        <v>2649</v>
      </c>
    </row>
    <row r="259" spans="1:12" ht="15" customHeight="1" x14ac:dyDescent="0.35">
      <c r="A259" s="1034">
        <v>33</v>
      </c>
      <c r="B259" s="1026" t="s">
        <v>2711</v>
      </c>
      <c r="C259" s="1027" t="s">
        <v>2585</v>
      </c>
      <c r="D259" s="1028" t="s">
        <v>2302</v>
      </c>
      <c r="E259" s="1029" t="s">
        <v>2369</v>
      </c>
      <c r="F259" s="1030" t="s">
        <v>2285</v>
      </c>
      <c r="G259" s="1029" t="s">
        <v>2278</v>
      </c>
      <c r="H259" s="1031" t="s">
        <v>2712</v>
      </c>
      <c r="I259" s="1032" t="s">
        <v>2287</v>
      </c>
      <c r="J259" s="1033" t="s">
        <v>20242</v>
      </c>
      <c r="K259" s="868" t="str">
        <f>HYPERLINK("https://www.google.com/maps/search/Rocha+da+Pena+Fortaleza+Natural+Calcaria+Loule/@37.275,-8.113,14z","🥾 LLE PR18 — Rocha da Pena — Fortaleza do Barrocal")</f>
        <v>🥾 LLE PR18 — Rocha da Pena — Fortaleza do Barrocal</v>
      </c>
      <c r="L259" s="1035" t="s">
        <v>2649</v>
      </c>
    </row>
    <row r="260" spans="1:12" ht="15" customHeight="1" x14ac:dyDescent="0.35">
      <c r="A260" s="1045">
        <v>34</v>
      </c>
      <c r="B260" s="1036" t="s">
        <v>2713</v>
      </c>
      <c r="C260" s="1038" t="s">
        <v>2585</v>
      </c>
      <c r="D260" s="1039" t="s">
        <v>2714</v>
      </c>
      <c r="E260" s="1040" t="s">
        <v>2308</v>
      </c>
      <c r="F260" s="1041" t="s">
        <v>2297</v>
      </c>
      <c r="G260" s="1040" t="s">
        <v>2278</v>
      </c>
      <c r="H260" s="1042" t="s">
        <v>2557</v>
      </c>
      <c r="I260" s="1043" t="s">
        <v>2652</v>
      </c>
      <c r="J260" s="1044" t="s">
        <v>20243</v>
      </c>
      <c r="K260" s="1037" t="str">
        <f>HYPERLINK("https://www.google.com/maps/search/Tavira+Igrejas+Ponte+Romana+Hortas+Arabes/@37.128,-7.648,14z","🥾 TVR PR7 — Vale das Hortas — Tavira")</f>
        <v>🥾 TVR PR7 — Vale das Hortas — Tavira</v>
      </c>
      <c r="L260" s="1046" t="s">
        <v>2715</v>
      </c>
    </row>
    <row r="261" spans="1:12" ht="15" customHeight="1" x14ac:dyDescent="0.35">
      <c r="A261" s="1034">
        <v>35</v>
      </c>
      <c r="B261" s="1026" t="s">
        <v>2716</v>
      </c>
      <c r="C261" s="1027" t="s">
        <v>2407</v>
      </c>
      <c r="D261" s="1028" t="s">
        <v>2311</v>
      </c>
      <c r="E261" s="1029" t="s">
        <v>2291</v>
      </c>
      <c r="F261" s="1048" t="s">
        <v>2297</v>
      </c>
      <c r="G261" s="1029" t="s">
        <v>2278</v>
      </c>
      <c r="H261" s="1031" t="s">
        <v>2510</v>
      </c>
      <c r="I261" s="1032" t="s">
        <v>2287</v>
      </c>
      <c r="J261" s="1033" t="s">
        <v>20244</v>
      </c>
      <c r="K261" s="868" t="str">
        <f>HYPERLINK("https://www.google.com/maps/search/Sao+Bras+de+Alportel+Cortica+DOP+Caminhos+Arrieiro/@37.153,-7.888,14z","🥾 SBA PR1 — Caminhos de Ir à Fonte — São Brás de Alportel")</f>
        <v>🥾 SBA PR1 — Caminhos de Ir à Fonte — São Brás de Alportel</v>
      </c>
      <c r="L261" s="1035" t="s">
        <v>2408</v>
      </c>
    </row>
    <row r="262" spans="1:12" ht="15" customHeight="1" x14ac:dyDescent="0.35">
      <c r="A262" s="1045">
        <v>36</v>
      </c>
      <c r="B262" s="1036" t="s">
        <v>2717</v>
      </c>
      <c r="C262" s="1038" t="s">
        <v>2675</v>
      </c>
      <c r="D262" s="1039" t="s">
        <v>2315</v>
      </c>
      <c r="E262" s="1040" t="s">
        <v>2291</v>
      </c>
      <c r="F262" s="1047" t="s">
        <v>2285</v>
      </c>
      <c r="G262" s="1040" t="s">
        <v>2278</v>
      </c>
      <c r="H262" s="1042" t="s">
        <v>2532</v>
      </c>
      <c r="I262" s="1043" t="s">
        <v>2672</v>
      </c>
      <c r="J262" s="1044" t="s">
        <v>20245</v>
      </c>
      <c r="K262" s="1037" t="str">
        <f>HYPERLINK("https://www.google.com/maps/search/Alcoutim+Medieval+Guadiana+Laranjal+Fronteira/@37.47,-7.47,14z","🥾 ACT PR1 — Corre, corre… Guadiana — Alcoutim")</f>
        <v>🥾 ACT PR1 — Corre, corre… Guadiana — Alcoutim</v>
      </c>
      <c r="L262" s="1046" t="s">
        <v>2649</v>
      </c>
    </row>
    <row r="263" spans="1:12" ht="15" customHeight="1" x14ac:dyDescent="0.35">
      <c r="A263" s="1034">
        <v>37</v>
      </c>
      <c r="B263" s="1026" t="s">
        <v>2718</v>
      </c>
      <c r="C263" s="1027" t="s">
        <v>2719</v>
      </c>
      <c r="D263" s="1028" t="s">
        <v>2378</v>
      </c>
      <c r="E263" s="1029" t="s">
        <v>2276</v>
      </c>
      <c r="F263" s="1048" t="s">
        <v>2297</v>
      </c>
      <c r="G263" s="1029" t="s">
        <v>2278</v>
      </c>
      <c r="H263" s="1031" t="s">
        <v>2502</v>
      </c>
      <c r="I263" s="1032" t="s">
        <v>2361</v>
      </c>
      <c r="J263" s="1033" t="s">
        <v>20246</v>
      </c>
      <c r="K263" s="868" t="str">
        <f>HYPERLINK("https://www.google.com/maps/search/Sao+Bartolomeu+de+Messines+Cultura+Arabe+Crista+Algarve/@37.258,-8.29,14z","🥾 SLV PR1 — Percurso Cultural de São Bartolomeu de Messines")</f>
        <v>🥾 SLV PR1 — Percurso Cultural de São Bartolomeu de Messines</v>
      </c>
      <c r="L263" s="1035" t="s">
        <v>2649</v>
      </c>
    </row>
    <row r="264" spans="1:12" ht="15" customHeight="1" x14ac:dyDescent="0.35">
      <c r="A264" s="1045">
        <v>38</v>
      </c>
      <c r="B264" s="1036" t="s">
        <v>2720</v>
      </c>
      <c r="C264" s="1038" t="s">
        <v>2407</v>
      </c>
      <c r="D264" s="1039" t="s">
        <v>2315</v>
      </c>
      <c r="E264" s="1040" t="s">
        <v>2291</v>
      </c>
      <c r="F264" s="1041" t="s">
        <v>2297</v>
      </c>
      <c r="G264" s="1040" t="s">
        <v>2278</v>
      </c>
      <c r="H264" s="1042" t="s">
        <v>2721</v>
      </c>
      <c r="I264" s="1043" t="s">
        <v>2533</v>
      </c>
      <c r="J264" s="1044" t="s">
        <v>20247</v>
      </c>
      <c r="K264" s="1037" t="str">
        <f>HYPERLINK("https://www.google.com/maps/search/Bairro+Piscatorio+Olhao+Cubismo+Popular+Ria+Formosa/@37.023,-7.845,14z","🥾 OLH PR3 — Caminho dos Contrabandistas — Olhão")</f>
        <v>🥾 OLH PR3 — Caminho dos Contrabandistas — Olhão</v>
      </c>
      <c r="L264" s="1046" t="s">
        <v>2408</v>
      </c>
    </row>
    <row r="265" spans="1:12" ht="15" customHeight="1" x14ac:dyDescent="0.35">
      <c r="A265" s="1034">
        <v>39</v>
      </c>
      <c r="B265" s="1026" t="s">
        <v>2722</v>
      </c>
      <c r="C265" s="1027" t="s">
        <v>2719</v>
      </c>
      <c r="D265" s="1028" t="s">
        <v>2318</v>
      </c>
      <c r="E265" s="1029" t="s">
        <v>2308</v>
      </c>
      <c r="F265" s="1048" t="s">
        <v>2297</v>
      </c>
      <c r="G265" s="1029" t="s">
        <v>2278</v>
      </c>
      <c r="H265" s="1031" t="s">
        <v>2723</v>
      </c>
      <c r="I265" s="1032" t="s">
        <v>2533</v>
      </c>
      <c r="J265" s="1033" t="s">
        <v>20248</v>
      </c>
      <c r="K265" s="868" t="str">
        <f>HYPERLINK("https://www.google.com/maps/search/Lagoa+do+Ludo+Parque+Natural+Ria+Formosa+Flamingo/@37.06,-8,14z","🥾 Trilho Ludo Faro — Trilho do Ludo — São Lourenço e Quinta do Lago")</f>
        <v>🥾 Trilho Ludo Faro — Trilho do Ludo — São Lourenço e Quinta do Lago</v>
      </c>
      <c r="L265" s="1035" t="s">
        <v>2649</v>
      </c>
    </row>
    <row r="266" spans="1:12" ht="15" customHeight="1" x14ac:dyDescent="0.35">
      <c r="A266" s="1045">
        <v>40</v>
      </c>
      <c r="B266" s="1036" t="s">
        <v>2724</v>
      </c>
      <c r="C266" s="1038" t="s">
        <v>2675</v>
      </c>
      <c r="D266" s="1039" t="s">
        <v>2302</v>
      </c>
      <c r="E266" s="1040" t="s">
        <v>2284</v>
      </c>
      <c r="F266" s="1041" t="s">
        <v>2297</v>
      </c>
      <c r="G266" s="1040" t="s">
        <v>2278</v>
      </c>
      <c r="H266" s="1042" t="s">
        <v>2725</v>
      </c>
      <c r="I266" s="1043" t="s">
        <v>2536</v>
      </c>
      <c r="J266" s="1044" t="s">
        <v>20249</v>
      </c>
      <c r="K266" s="1037" t="str">
        <f>HYPERLINK("https://www.google.com/maps/search/Vila+Real+de+Santo+Antonio+Cidade+Pombalina+Guadiana/@37.195,-7.41,14z","🥾 PR1 VRS — Rota Boavista — Vila Real de Santo António")</f>
        <v>🥾 PR1 VRS — Rota Boavista — Vila Real de Santo António</v>
      </c>
      <c r="L266" s="1046" t="s">
        <v>2649</v>
      </c>
    </row>
    <row r="267" spans="1:12" ht="15" customHeight="1" x14ac:dyDescent="0.35">
      <c r="A267" s="1034">
        <v>41</v>
      </c>
      <c r="B267" s="1026" t="s">
        <v>2726</v>
      </c>
      <c r="C267" s="1027" t="s">
        <v>2585</v>
      </c>
      <c r="D267" s="1028" t="s">
        <v>2315</v>
      </c>
      <c r="E267" s="1029" t="s">
        <v>2291</v>
      </c>
      <c r="F267" s="1048" t="s">
        <v>2297</v>
      </c>
      <c r="G267" s="1029" t="s">
        <v>2278</v>
      </c>
      <c r="H267" s="1031" t="s">
        <v>2561</v>
      </c>
      <c r="I267" s="1032" t="s">
        <v>2572</v>
      </c>
      <c r="J267" s="1033" t="s">
        <v>20250</v>
      </c>
      <c r="K267" s="868" t="str">
        <f>HYPERLINK("https://www.google.com/maps/search/Cacela+Velha+Aldeia+Muralha+Medieval+Ria+Formosa/@37.16,-7.535,14z","🥾 PR2 VRS — De Quintas a Cacela Velha")</f>
        <v>🥾 PR2 VRS — De Quintas a Cacela Velha</v>
      </c>
      <c r="L267" s="1035" t="s">
        <v>2649</v>
      </c>
    </row>
    <row r="268" spans="1:12" ht="15" customHeight="1" x14ac:dyDescent="0.35">
      <c r="A268" s="1045">
        <v>42</v>
      </c>
      <c r="B268" s="1036" t="s">
        <v>2727</v>
      </c>
      <c r="C268" s="1038" t="s">
        <v>2585</v>
      </c>
      <c r="D268" s="1039" t="s">
        <v>2283</v>
      </c>
      <c r="E268" s="1040" t="s">
        <v>2330</v>
      </c>
      <c r="F268" s="1041" t="s">
        <v>2297</v>
      </c>
      <c r="G268" s="1040" t="s">
        <v>2270</v>
      </c>
      <c r="H268" s="1042" t="s">
        <v>2622</v>
      </c>
      <c r="I268" s="1043" t="s">
        <v>2728</v>
      </c>
      <c r="J268" s="1044" t="s">
        <v>20251</v>
      </c>
      <c r="K268" s="1037" t="str">
        <f>HYPERLINK("https://www.google.com/maps/search/Sete+Vales+Suspensos+Carvoeiro+Lagoa+Algarve/@37.09,-8.47,14z","🥾 PR1 LGA — Sete Vales Suspensos — Lagoa / Carvoeiro")</f>
        <v>🥾 PR1 LGA — Sete Vales Suspensos — Lagoa / Carvoeiro</v>
      </c>
      <c r="L268" s="1046" t="s">
        <v>2649</v>
      </c>
    </row>
    <row r="269" spans="1:12" ht="15" customHeight="1" x14ac:dyDescent="0.35">
      <c r="A269" s="1034">
        <v>43</v>
      </c>
      <c r="B269" s="1026" t="s">
        <v>2729</v>
      </c>
      <c r="C269" s="1027" t="s">
        <v>2388</v>
      </c>
      <c r="D269" s="1028" t="s">
        <v>2296</v>
      </c>
      <c r="E269" s="1029" t="s">
        <v>2284</v>
      </c>
      <c r="F269" s="1030" t="s">
        <v>2285</v>
      </c>
      <c r="G269" s="1029" t="s">
        <v>2278</v>
      </c>
      <c r="H269" s="1031" t="s">
        <v>2557</v>
      </c>
      <c r="I269" s="1032" t="s">
        <v>2536</v>
      </c>
      <c r="J269" s="1033" t="s">
        <v>20252</v>
      </c>
      <c r="K269" s="868" t="str">
        <f>HYPERLINK("https://www.google.com/maps/search/Alcoutim+Encantos+Guadiana+Figueiras+Sotavento/@37.47,-7.47,14z","🥾 ACT PR3 — Os Encantos de Alcoutim — Sotavento Interior")</f>
        <v>🥾 ACT PR3 — Os Encantos de Alcoutim — Sotavento Interior</v>
      </c>
      <c r="L269" s="1035" t="s">
        <v>2433</v>
      </c>
    </row>
    <row r="270" spans="1:12" ht="15" customHeight="1" x14ac:dyDescent="0.35">
      <c r="A270" s="1045">
        <v>44</v>
      </c>
      <c r="B270" s="1036" t="s">
        <v>2730</v>
      </c>
      <c r="C270" s="1038" t="s">
        <v>2585</v>
      </c>
      <c r="D270" s="1039" t="s">
        <v>2731</v>
      </c>
      <c r="E270" s="1040" t="s">
        <v>2291</v>
      </c>
      <c r="F270" s="1047" t="s">
        <v>2285</v>
      </c>
      <c r="G270" s="1040" t="s">
        <v>2278</v>
      </c>
      <c r="H270" s="1042" t="s">
        <v>2668</v>
      </c>
      <c r="I270" s="1043" t="s">
        <v>2652</v>
      </c>
      <c r="J270" s="1044" t="s">
        <v>20253</v>
      </c>
      <c r="K270" s="1037" t="str">
        <f>HYPERLINK("https://www.google.com/maps/search/Santiago+do+Cacem+Lagoa+Santo+Andre+Costa+Alentejana/@37.998,-8.695,14z","🥾 STC PR1 — Vereda de Brescos — Santiago do Cacém")</f>
        <v>🥾 STC PR1 — Vereda de Brescos — Santiago do Cacém</v>
      </c>
      <c r="L270" s="1046" t="s">
        <v>1759</v>
      </c>
    </row>
    <row r="271" spans="1:12" ht="15" customHeight="1" x14ac:dyDescent="0.35">
      <c r="A271" s="1034">
        <v>45</v>
      </c>
      <c r="B271" s="1026" t="s">
        <v>2732</v>
      </c>
      <c r="C271" s="1027" t="s">
        <v>2585</v>
      </c>
      <c r="D271" s="1028" t="s">
        <v>2290</v>
      </c>
      <c r="E271" s="1029" t="s">
        <v>2369</v>
      </c>
      <c r="F271" s="1048" t="s">
        <v>2297</v>
      </c>
      <c r="G271" s="1029" t="s">
        <v>2278</v>
      </c>
      <c r="H271" s="1031" t="s">
        <v>2622</v>
      </c>
      <c r="I271" s="1032" t="s">
        <v>2572</v>
      </c>
      <c r="J271" s="1033" t="s">
        <v>20254</v>
      </c>
      <c r="K271" s="868" t="str">
        <f>HYPERLINK("https://www.google.com/maps/search/Praia+Lagoa+Melides+Grandola+Costa+Alentejana/@38.1,-8.75,14z","🥾 GDL PR2 — Vereda de Melides — Grândola")</f>
        <v>🥾 GDL PR2 — Vereda de Melides — Grândola</v>
      </c>
      <c r="L271" s="1035" t="s">
        <v>1759</v>
      </c>
    </row>
    <row r="272" spans="1:12" ht="15" customHeight="1" x14ac:dyDescent="0.35">
      <c r="A272" s="1045">
        <v>46</v>
      </c>
      <c r="B272" s="1036" t="s">
        <v>2733</v>
      </c>
      <c r="C272" s="1038" t="s">
        <v>2497</v>
      </c>
      <c r="D272" s="1039" t="s">
        <v>2315</v>
      </c>
      <c r="E272" s="1040" t="s">
        <v>2291</v>
      </c>
      <c r="F272" s="1047" t="s">
        <v>2285</v>
      </c>
      <c r="G272" s="1040" t="s">
        <v>2278</v>
      </c>
      <c r="H272" s="1042" t="s">
        <v>2610</v>
      </c>
      <c r="I272" s="1043" t="s">
        <v>2652</v>
      </c>
      <c r="J272" s="1044" t="s">
        <v>20255</v>
      </c>
      <c r="K272" s="1037" t="str">
        <f>HYPERLINK("https://www.google.com/maps/search/Pedras+Brancas+Calcario+Santiago+do+Cacem+Mirobriga/@37.998,-8.695,14z","🥾 STC PR2 — Vereda das Pedras Brancas — Santiago do Cacém")</f>
        <v>🥾 STC PR2 — Vereda das Pedras Brancas — Santiago do Cacém</v>
      </c>
      <c r="L272" s="1046" t="s">
        <v>1759</v>
      </c>
    </row>
    <row r="273" spans="1:12" ht="15" customHeight="1" x14ac:dyDescent="0.35">
      <c r="A273" s="1034">
        <v>47</v>
      </c>
      <c r="B273" s="1026" t="s">
        <v>2734</v>
      </c>
      <c r="C273" s="1027" t="s">
        <v>2497</v>
      </c>
      <c r="D273" s="1028" t="s">
        <v>2311</v>
      </c>
      <c r="E273" s="1029" t="s">
        <v>2276</v>
      </c>
      <c r="F273" s="1048" t="s">
        <v>2297</v>
      </c>
      <c r="G273" s="1029" t="s">
        <v>2278</v>
      </c>
      <c r="H273" s="1031" t="s">
        <v>2532</v>
      </c>
      <c r="I273" s="1032" t="s">
        <v>2652</v>
      </c>
      <c r="J273" s="1033" t="s">
        <v>20256</v>
      </c>
      <c r="K273" s="868" t="str">
        <f>HYPERLINK("https://www.google.com/maps/search/Monte+da+Batalha+Ourique+1139+Origem+Portugal+Estepe/@37.653,-8.223,14z","🥾 ORQ PR1 — Da Poesia ao Cante — Ourique")</f>
        <v>🥾 ORQ PR1 — Da Poesia ao Cante — Ourique</v>
      </c>
      <c r="L273" s="1035" t="s">
        <v>2649</v>
      </c>
    </row>
    <row r="274" spans="1:12" ht="15" customHeight="1" x14ac:dyDescent="0.35">
      <c r="A274" s="1045">
        <v>48</v>
      </c>
      <c r="B274" s="1036" t="s">
        <v>2735</v>
      </c>
      <c r="C274" s="1038" t="s">
        <v>2407</v>
      </c>
      <c r="D274" s="1039" t="s">
        <v>2335</v>
      </c>
      <c r="E274" s="1040" t="s">
        <v>2308</v>
      </c>
      <c r="F274" s="1047" t="s">
        <v>2285</v>
      </c>
      <c r="G274" s="1040" t="s">
        <v>2278</v>
      </c>
      <c r="H274" s="1042" t="s">
        <v>2736</v>
      </c>
      <c r="I274" s="1043" t="s">
        <v>2652</v>
      </c>
      <c r="J274" s="1044" t="s">
        <v>20257</v>
      </c>
      <c r="K274" s="1037" t="str">
        <f>HYPERLINK("https://www.google.com/maps/search/Serra+do+Louro+Palmela+Arrabida+Sobreiro/@38.57,-8.9,14z","🥾 PLM PR5 — Serra do Louro — Palmela")</f>
        <v>🥾 PLM PR5 — Serra do Louro — Palmela</v>
      </c>
      <c r="L274" s="1046" t="s">
        <v>2646</v>
      </c>
    </row>
    <row r="275" spans="1:12" ht="15" customHeight="1" x14ac:dyDescent="0.35">
      <c r="A275" s="1034">
        <v>49</v>
      </c>
      <c r="B275" s="1026" t="s">
        <v>2737</v>
      </c>
      <c r="C275" s="1027" t="s">
        <v>2738</v>
      </c>
      <c r="D275" s="1028" t="s">
        <v>2296</v>
      </c>
      <c r="E275" s="1029" t="s">
        <v>2284</v>
      </c>
      <c r="F275" s="1048" t="s">
        <v>2297</v>
      </c>
      <c r="G275" s="1029" t="s">
        <v>2278</v>
      </c>
      <c r="H275" s="1031" t="s">
        <v>2640</v>
      </c>
      <c r="I275" s="1032" t="s">
        <v>2638</v>
      </c>
      <c r="J275" s="1033" t="s">
        <v>20258</v>
      </c>
      <c r="K275" s="868" t="str">
        <f>HYPERLINK("https://www.google.com/maps/search/Monsaraz+Antas+Megaliticas+Alqueva+Alentejo/@38.443,-7.38,14z","🥾 PR1 MRT — Rota das Antas de Monsaraz")</f>
        <v>🥾 PR1 MRT — Rota das Antas de Monsaraz</v>
      </c>
      <c r="L275" s="1035" t="s">
        <v>2688</v>
      </c>
    </row>
    <row r="276" spans="1:12" ht="15" customHeight="1" x14ac:dyDescent="0.35">
      <c r="A276" s="1045">
        <v>50</v>
      </c>
      <c r="B276" s="1036" t="s">
        <v>2739</v>
      </c>
      <c r="C276" s="1038" t="s">
        <v>1412</v>
      </c>
      <c r="D276" s="1039" t="s">
        <v>2302</v>
      </c>
      <c r="E276" s="1040" t="s">
        <v>2284</v>
      </c>
      <c r="F276" s="1041" t="s">
        <v>2297</v>
      </c>
      <c r="G276" s="1040" t="s">
        <v>2270</v>
      </c>
      <c r="H276" s="1042" t="s">
        <v>2740</v>
      </c>
      <c r="I276" s="1043" t="s">
        <v>2604</v>
      </c>
      <c r="J276" s="1044" t="s">
        <v>20259</v>
      </c>
      <c r="K276" s="1037" t="str">
        <f>HYPERLINK("https://www.google.com/maps/search/Aqueduto+Prateado+Evora+UNESCO+Arcos+Renascentistas/@38.57,-7.908,14z","🥾 PR2 EVR — Aqueduto Prateado de Évora")</f>
        <v>🥾 PR2 EVR — Aqueduto Prateado de Évora</v>
      </c>
      <c r="L276" s="1046" t="s">
        <v>2695</v>
      </c>
    </row>
    <row r="277" spans="1:12" ht="15" customHeight="1" x14ac:dyDescent="0.35">
      <c r="A277" s="1034">
        <v>51</v>
      </c>
      <c r="B277" s="1026" t="s">
        <v>2741</v>
      </c>
      <c r="C277" s="1027" t="s">
        <v>2742</v>
      </c>
      <c r="D277" s="1028" t="s">
        <v>2283</v>
      </c>
      <c r="E277" s="1029" t="s">
        <v>2473</v>
      </c>
      <c r="F277" s="1048" t="s">
        <v>2297</v>
      </c>
      <c r="G277" s="1029" t="s">
        <v>2278</v>
      </c>
      <c r="H277" s="1031" t="s">
        <v>2743</v>
      </c>
      <c r="I277" s="1032" t="s">
        <v>2595</v>
      </c>
      <c r="J277" s="1033" t="s">
        <v>20260</v>
      </c>
      <c r="K277" s="868" t="str">
        <f>HYPERLINK("https://www.google.com/maps/search/Castelo+de+Marvao+Serra+Sao+Mamede+Aldeia+Medieval/@39.405,-7.378,14z","🥾 PR3 MVN — Marvão — Percurso do Castelo")</f>
        <v>🥾 PR3 MVN — Marvão — Percurso do Castelo</v>
      </c>
      <c r="L277" s="1035" t="s">
        <v>1434</v>
      </c>
    </row>
    <row r="278" spans="1:12" ht="15" customHeight="1" x14ac:dyDescent="0.35">
      <c r="A278" s="1045">
        <v>52</v>
      </c>
      <c r="B278" s="1036" t="s">
        <v>2744</v>
      </c>
      <c r="C278" s="1038" t="s">
        <v>2745</v>
      </c>
      <c r="D278" s="1039" t="s">
        <v>2311</v>
      </c>
      <c r="E278" s="1040" t="s">
        <v>2291</v>
      </c>
      <c r="F278" s="1049" t="s">
        <v>2589</v>
      </c>
      <c r="G278" s="1040" t="s">
        <v>2278</v>
      </c>
      <c r="H278" s="1042" t="s">
        <v>2746</v>
      </c>
      <c r="I278" s="1043" t="s">
        <v>2591</v>
      </c>
      <c r="J278" s="1044" t="s">
        <v>20261</v>
      </c>
      <c r="K278" s="1037" t="str">
        <f>HYPERLINK("https://www.google.com/maps/search/Castelo+de+Portel+Azinhais+Planicie+Alentejana/@38.305,-7.703,14z","🥾 PR4 SRP — Rota das Serras de Portel")</f>
        <v>🥾 PR4 SRP — Rota das Serras de Portel</v>
      </c>
      <c r="L278" s="1046" t="s">
        <v>2649</v>
      </c>
    </row>
    <row r="279" spans="1:12" ht="15" customHeight="1" x14ac:dyDescent="0.35">
      <c r="A279" s="1034">
        <v>53</v>
      </c>
      <c r="B279" s="1026" t="s">
        <v>2747</v>
      </c>
      <c r="C279" s="1027" t="s">
        <v>2745</v>
      </c>
      <c r="D279" s="1028" t="s">
        <v>2315</v>
      </c>
      <c r="E279" s="1029" t="s">
        <v>2369</v>
      </c>
      <c r="F279" s="1050" t="s">
        <v>2589</v>
      </c>
      <c r="G279" s="1029" t="s">
        <v>2278</v>
      </c>
      <c r="H279" s="1031" t="s">
        <v>2681</v>
      </c>
      <c r="I279" s="1032" t="s">
        <v>2611</v>
      </c>
      <c r="J279" s="1033" t="s">
        <v>20262</v>
      </c>
      <c r="K279" s="868" t="str">
        <f>HYPERLINK("https://www.google.com/maps/search/Ribeira+de+Pisoes+Lontra+Villa+Romana+Beja/@38.015,-7.875,14z","🥾 PR5 BEJ — Percurso da Ribeira de Pisões")</f>
        <v>🥾 PR5 BEJ — Percurso da Ribeira de Pisões</v>
      </c>
      <c r="L279" s="1035" t="s">
        <v>2649</v>
      </c>
    </row>
    <row r="280" spans="1:12" ht="15" customHeight="1" x14ac:dyDescent="0.35">
      <c r="A280" s="1045">
        <v>54</v>
      </c>
      <c r="B280" s="1036" t="s">
        <v>2748</v>
      </c>
      <c r="C280" s="1038" t="s">
        <v>2749</v>
      </c>
      <c r="D280" s="1039" t="s">
        <v>2290</v>
      </c>
      <c r="E280" s="1040" t="s">
        <v>2284</v>
      </c>
      <c r="F280" s="1049" t="s">
        <v>2589</v>
      </c>
      <c r="G280" s="1040" t="s">
        <v>2278</v>
      </c>
      <c r="H280" s="1042" t="s">
        <v>2750</v>
      </c>
      <c r="I280" s="1043" t="s">
        <v>2591</v>
      </c>
      <c r="J280" s="1044" t="s">
        <v>20263</v>
      </c>
      <c r="K280" s="1037" t="str">
        <f>HYPERLINK("https://www.google.com/maps/search/Antas+Menhires+Santiago+do+Cacem+Pre+Historia/@37.998,-8.695,14z","🥾 PR6 STB — Rota da Pré-História — Santiago do Cacém")</f>
        <v>🥾 PR6 STB — Rota da Pré-História — Santiago do Cacém</v>
      </c>
      <c r="L280" s="1046" t="s">
        <v>2649</v>
      </c>
    </row>
    <row r="281" spans="1:12" ht="15" customHeight="1" x14ac:dyDescent="0.35">
      <c r="A281" s="1034">
        <v>55</v>
      </c>
      <c r="B281" s="1026" t="s">
        <v>2751</v>
      </c>
      <c r="C281" s="1027" t="s">
        <v>2742</v>
      </c>
      <c r="D281" s="1028" t="s">
        <v>2302</v>
      </c>
      <c r="E281" s="1029" t="s">
        <v>2284</v>
      </c>
      <c r="F281" s="1048" t="s">
        <v>2297</v>
      </c>
      <c r="G281" s="1029" t="s">
        <v>2278</v>
      </c>
      <c r="H281" s="1031" t="s">
        <v>2510</v>
      </c>
      <c r="I281" s="1032" t="s">
        <v>2595</v>
      </c>
      <c r="J281" s="1033" t="s">
        <v>20264</v>
      </c>
      <c r="K281" s="868" t="str">
        <f>HYPERLINK("https://www.google.com/maps/search/Baluartes+Abaluartados+de+Elvas+UNESCO+Aqueduto/@38.88,-7.165,14z","🥾 PR7 ELV — Elvas — Baluartes e Aqueduto")</f>
        <v>🥾 PR7 ELV — Elvas — Baluartes e Aqueduto</v>
      </c>
      <c r="L281" s="1035" t="s">
        <v>2752</v>
      </c>
    </row>
    <row r="282" spans="1:12" ht="15" customHeight="1" x14ac:dyDescent="0.35">
      <c r="A282" s="1045">
        <v>56</v>
      </c>
      <c r="B282" s="1036" t="s">
        <v>2753</v>
      </c>
      <c r="C282" s="1038" t="s">
        <v>2754</v>
      </c>
      <c r="D282" s="1039" t="s">
        <v>2335</v>
      </c>
      <c r="E282" s="1040" t="s">
        <v>2276</v>
      </c>
      <c r="F282" s="1049" t="s">
        <v>2589</v>
      </c>
      <c r="G282" s="1040" t="s">
        <v>2270</v>
      </c>
      <c r="H282" s="1042" t="s">
        <v>2645</v>
      </c>
      <c r="I282" s="1043" t="s">
        <v>2604</v>
      </c>
      <c r="J282" s="1044" t="s">
        <v>20265</v>
      </c>
      <c r="K282" s="1037" t="str">
        <f>HYPERLINK("https://www.google.com/maps/search/Mourao+Rio+Guadiana+Monsaraz+Alqueva+Fronteira/@38.365,-7.35,14z","🥾 PR8 GRD — Rota do Guadiana — Mourão")</f>
        <v>🥾 PR8 GRD — Rota do Guadiana — Mourão</v>
      </c>
      <c r="L282" s="1046" t="s">
        <v>2649</v>
      </c>
    </row>
    <row r="283" spans="1:12" ht="15" customHeight="1" x14ac:dyDescent="0.35">
      <c r="A283" s="1034">
        <v>57</v>
      </c>
      <c r="B283" s="1026" t="s">
        <v>2755</v>
      </c>
      <c r="C283" s="1027" t="s">
        <v>2745</v>
      </c>
      <c r="D283" s="1028" t="s">
        <v>2378</v>
      </c>
      <c r="E283" s="1029" t="s">
        <v>2291</v>
      </c>
      <c r="F283" s="1048" t="s">
        <v>2297</v>
      </c>
      <c r="G283" s="1029" t="s">
        <v>2278</v>
      </c>
      <c r="H283" s="1031" t="s">
        <v>2756</v>
      </c>
      <c r="I283" s="1032" t="s">
        <v>2591</v>
      </c>
      <c r="J283" s="1033" t="s">
        <v>20266</v>
      </c>
      <c r="K283" s="868" t="str">
        <f>HYPERLINK("https://www.google.com/maps/search/Ourique+Estepe+Alentejana+Sisao+Abetarda+Batalha/@37.653,-8.223,14z","🥾 PR9 OUR — Ourique — Estepe Alentejana")</f>
        <v>🥾 PR9 OUR — Ourique — Estepe Alentejana</v>
      </c>
      <c r="L283" s="1035" t="s">
        <v>2649</v>
      </c>
    </row>
    <row r="284" spans="1:12" ht="15" customHeight="1" x14ac:dyDescent="0.35">
      <c r="A284" s="1045">
        <v>58</v>
      </c>
      <c r="B284" s="1036" t="s">
        <v>2757</v>
      </c>
      <c r="C284" s="1038" t="s">
        <v>2749</v>
      </c>
      <c r="D284" s="1039" t="s">
        <v>2296</v>
      </c>
      <c r="E284" s="1040" t="s">
        <v>2330</v>
      </c>
      <c r="F284" s="1041" t="s">
        <v>2297</v>
      </c>
      <c r="G284" s="1040" t="s">
        <v>2278</v>
      </c>
      <c r="H284" s="1042" t="s">
        <v>2758</v>
      </c>
      <c r="I284" s="1043" t="s">
        <v>2595</v>
      </c>
      <c r="J284" s="1044" t="s">
        <v>20267</v>
      </c>
      <c r="K284" s="1037" t="str">
        <f>HYPERLINK("https://www.google.com/maps/search/Castelo+Alcacer+do+Sal+Fenicio+Romano+Arabe+Sado/@38.372,-8.513,14z","🥾 PR10 ALS — Alcácer do Sal — Castelo e Estuário")</f>
        <v>🥾 PR10 ALS — Alcácer do Sal — Castelo e Estuário</v>
      </c>
      <c r="L284" s="1046" t="s">
        <v>2649</v>
      </c>
    </row>
    <row r="285" spans="1:12" ht="15" customHeight="1" x14ac:dyDescent="0.35">
      <c r="A285" s="1034">
        <v>59</v>
      </c>
      <c r="B285" s="1026" t="s">
        <v>2759</v>
      </c>
      <c r="C285" s="1027" t="s">
        <v>2745</v>
      </c>
      <c r="D285" s="1028" t="s">
        <v>2315</v>
      </c>
      <c r="E285" s="1029" t="s">
        <v>2369</v>
      </c>
      <c r="F285" s="1048" t="s">
        <v>2297</v>
      </c>
      <c r="G285" s="1029" t="s">
        <v>2278</v>
      </c>
      <c r="H285" s="1031" t="s">
        <v>2414</v>
      </c>
      <c r="I285" s="1032" t="s">
        <v>2611</v>
      </c>
      <c r="J285" s="1033" t="s">
        <v>20268</v>
      </c>
      <c r="K285" s="868" t="str">
        <f>HYPERLINK("https://www.google.com/maps/search/Azinheira+dos+Barros+Montado+Lince+Iberico/@38.08,-8.4,14z","🥾 PR11 AZM — Azinheira dos Barros — Montado")</f>
        <v>🥾 PR11 AZM — Azinheira dos Barros — Montado</v>
      </c>
      <c r="L285" s="1035" t="s">
        <v>2649</v>
      </c>
    </row>
    <row r="286" spans="1:12" ht="15" customHeight="1" x14ac:dyDescent="0.35">
      <c r="A286" s="1045">
        <v>60</v>
      </c>
      <c r="B286" s="1036" t="s">
        <v>2760</v>
      </c>
      <c r="C286" s="1038" t="s">
        <v>2745</v>
      </c>
      <c r="D286" s="1039" t="s">
        <v>2275</v>
      </c>
      <c r="E286" s="1040" t="s">
        <v>2473</v>
      </c>
      <c r="F286" s="1041" t="s">
        <v>2297</v>
      </c>
      <c r="G286" s="1040" t="s">
        <v>2278</v>
      </c>
      <c r="H286" s="1042" t="s">
        <v>2761</v>
      </c>
      <c r="I286" s="1043" t="s">
        <v>2638</v>
      </c>
      <c r="J286" s="1044" t="s">
        <v>20269</v>
      </c>
      <c r="K286" s="1037" t="str">
        <f>HYPERLINK("https://www.google.com/maps/search/Villa+Romana+Pinheiros+Vila+de+Frades+Mosaicos+Romanos/@38.185,-8.075,14z","🥾 PR12 VDI — Vila de Frades — Vilas Romanas")</f>
        <v>🥾 PR12 VDI — Vila de Frades — Vilas Romanas</v>
      </c>
      <c r="L286" s="1046" t="s">
        <v>2649</v>
      </c>
    </row>
    <row r="287" spans="1:12" ht="15" customHeight="1" x14ac:dyDescent="0.35">
      <c r="A287" s="1034">
        <v>61</v>
      </c>
      <c r="B287" s="1026" t="s">
        <v>2762</v>
      </c>
      <c r="C287" s="1027" t="s">
        <v>2742</v>
      </c>
      <c r="D287" s="1028" t="s">
        <v>2290</v>
      </c>
      <c r="E287" s="1029" t="s">
        <v>2284</v>
      </c>
      <c r="F287" s="1050" t="s">
        <v>2589</v>
      </c>
      <c r="G287" s="1029" t="s">
        <v>2278</v>
      </c>
      <c r="H287" s="1031" t="s">
        <v>2763</v>
      </c>
      <c r="I287" s="1032" t="s">
        <v>2611</v>
      </c>
      <c r="J287" s="1033" t="s">
        <v>20270</v>
      </c>
      <c r="K287" s="868" t="str">
        <f>HYPERLINK("https://www.google.com/maps/search/Nisa+Pedras+com+Buraco+Erosao+Eolica+Serra+Sao+Mamede/@39.515,-7.65,14z","🥾 PR13 NJA — Nisa — Pedras com Buraco")</f>
        <v>🥾 PR13 NJA — Nisa — Pedras com Buraco</v>
      </c>
      <c r="L287" s="1035" t="s">
        <v>2649</v>
      </c>
    </row>
    <row r="288" spans="1:12" ht="15" customHeight="1" x14ac:dyDescent="0.35">
      <c r="A288" s="1045">
        <v>62</v>
      </c>
      <c r="B288" s="1036" t="s">
        <v>2764</v>
      </c>
      <c r="C288" s="1038" t="s">
        <v>2742</v>
      </c>
      <c r="D288" s="1039" t="s">
        <v>2311</v>
      </c>
      <c r="E288" s="1040" t="s">
        <v>2291</v>
      </c>
      <c r="F288" s="1049" t="s">
        <v>2589</v>
      </c>
      <c r="G288" s="1040" t="s">
        <v>2278</v>
      </c>
      <c r="H288" s="1042" t="s">
        <v>2740</v>
      </c>
      <c r="I288" s="1043" t="s">
        <v>2604</v>
      </c>
      <c r="J288" s="1044" t="s">
        <v>20271</v>
      </c>
      <c r="K288" s="1037" t="str">
        <f>HYPERLINK("https://www.google.com/maps/search/Barragem+de+Belver+Castelo+Templario+Gaviao+Tejo/@39.465,-7.935,14z","🥾 PR14 GAV — Gavião — Vale do Tejo")</f>
        <v>🥾 PR14 GAV — Gavião — Vale do Tejo</v>
      </c>
      <c r="L288" s="1046" t="s">
        <v>2534</v>
      </c>
    </row>
    <row r="289" spans="1:12" ht="15" customHeight="1" x14ac:dyDescent="0.35">
      <c r="A289" s="1034">
        <v>63</v>
      </c>
      <c r="B289" s="1026" t="s">
        <v>2765</v>
      </c>
      <c r="C289" s="1027" t="s">
        <v>2745</v>
      </c>
      <c r="D289" s="1028" t="s">
        <v>2302</v>
      </c>
      <c r="E289" s="1029" t="s">
        <v>2284</v>
      </c>
      <c r="F289" s="1050" t="s">
        <v>2589</v>
      </c>
      <c r="G289" s="1029" t="s">
        <v>2278</v>
      </c>
      <c r="H289" s="1031" t="s">
        <v>2668</v>
      </c>
      <c r="I289" s="1032" t="s">
        <v>2591</v>
      </c>
      <c r="J289" s="1033" t="s">
        <v>20272</v>
      </c>
      <c r="K289" s="868" t="str">
        <f>HYPERLINK("https://www.google.com/maps/search/Ribeira+do+Vascao+Fronteira+Alentejo+Algarve+Anfibios/@37.48,-7.9,14z","🥾 PR15 VVR — Vale do Vascão — Ribeira Vascão")</f>
        <v>🥾 PR15 VVR — Vale do Vascão — Ribeira Vascão</v>
      </c>
      <c r="L289" s="1035" t="s">
        <v>2649</v>
      </c>
    </row>
    <row r="290" spans="1:12" ht="15" customHeight="1" x14ac:dyDescent="0.35">
      <c r="A290" s="1045">
        <v>64</v>
      </c>
      <c r="B290" s="1036" t="s">
        <v>2766</v>
      </c>
      <c r="C290" s="1038" t="s">
        <v>2754</v>
      </c>
      <c r="D290" s="1039" t="s">
        <v>2315</v>
      </c>
      <c r="E290" s="1040" t="s">
        <v>2369</v>
      </c>
      <c r="F290" s="1041" t="s">
        <v>2297</v>
      </c>
      <c r="G290" s="1040" t="s">
        <v>2278</v>
      </c>
      <c r="H290" s="1042" t="s">
        <v>2767</v>
      </c>
      <c r="I290" s="1043" t="s">
        <v>2604</v>
      </c>
      <c r="J290" s="1044" t="s">
        <v>20273</v>
      </c>
      <c r="K290" s="1037" t="str">
        <f>HYPERLINK("https://www.google.com/maps/search/Monsaraz+Starlight+Dark+Sky+Alqueva+Megaliticos/@38.443,-7.38,14z","🥾 PR16 ALQ — Monsaraz — Rota do Sol")</f>
        <v>🥾 PR16 ALQ — Monsaraz — Rota do Sol</v>
      </c>
      <c r="L290" s="1046" t="s">
        <v>2688</v>
      </c>
    </row>
    <row r="291" spans="1:12" ht="15" customHeight="1" x14ac:dyDescent="0.35">
      <c r="A291" s="1034">
        <v>65</v>
      </c>
      <c r="B291" s="1026" t="s">
        <v>2768</v>
      </c>
      <c r="C291" s="1027" t="s">
        <v>2745</v>
      </c>
      <c r="D291" s="1028" t="s">
        <v>2296</v>
      </c>
      <c r="E291" s="1029" t="s">
        <v>2330</v>
      </c>
      <c r="F291" s="1048" t="s">
        <v>2297</v>
      </c>
      <c r="G291" s="1029" t="s">
        <v>2278</v>
      </c>
      <c r="H291" s="1031" t="s">
        <v>2769</v>
      </c>
      <c r="I291" s="1032" t="s">
        <v>2595</v>
      </c>
      <c r="J291" s="1033" t="s">
        <v>20274</v>
      </c>
      <c r="K291" s="868" t="str">
        <f>HYPERLINK("https://www.google.com/maps/search/Mertola+Vila+Museu+Mesquita+Igreja+Guadiana/@37.64,-7.66,14z","🥾 PR17 MTL — Mértola — Vila Museu")</f>
        <v>🥾 PR17 MTL — Mértola — Vila Museu</v>
      </c>
      <c r="L291" s="1035" t="s">
        <v>1640</v>
      </c>
    </row>
    <row r="292" spans="1:12" ht="15" customHeight="1" x14ac:dyDescent="0.35">
      <c r="A292" s="1045">
        <v>66</v>
      </c>
      <c r="B292" s="1036" t="s">
        <v>2770</v>
      </c>
      <c r="C292" s="1038" t="s">
        <v>2742</v>
      </c>
      <c r="D292" s="1039" t="s">
        <v>2335</v>
      </c>
      <c r="E292" s="1040" t="s">
        <v>2276</v>
      </c>
      <c r="F292" s="1049" t="s">
        <v>2589</v>
      </c>
      <c r="G292" s="1040" t="s">
        <v>2278</v>
      </c>
      <c r="H292" s="1042" t="s">
        <v>2771</v>
      </c>
      <c r="I292" s="1043" t="s">
        <v>2604</v>
      </c>
      <c r="J292" s="1044" t="s">
        <v>20275</v>
      </c>
      <c r="K292" s="1037" t="str">
        <f>HYPERLINK("https://www.google.com/maps/search/Serra+de+Ossa+Marmore+Branco+Estremoz+Alentejo/@38.845,-7.595,14z","🥾 PR18 STU — Serra de Ossa — Estremoz")</f>
        <v>🥾 PR18 STU — Serra de Ossa — Estremoz</v>
      </c>
      <c r="L292" s="1046" t="s">
        <v>2649</v>
      </c>
    </row>
    <row r="293" spans="1:12" ht="15" customHeight="1" x14ac:dyDescent="0.35">
      <c r="A293" s="1034">
        <v>67</v>
      </c>
      <c r="B293" s="1026" t="s">
        <v>2772</v>
      </c>
      <c r="C293" s="1027" t="s">
        <v>2745</v>
      </c>
      <c r="D293" s="1028" t="s">
        <v>2311</v>
      </c>
      <c r="E293" s="1029" t="s">
        <v>2291</v>
      </c>
      <c r="F293" s="1050" t="s">
        <v>2589</v>
      </c>
      <c r="G293" s="1029" t="s">
        <v>2278</v>
      </c>
      <c r="H293" s="1031" t="s">
        <v>2773</v>
      </c>
      <c r="I293" s="1032" t="s">
        <v>2591</v>
      </c>
      <c r="J293" s="1033" t="s">
        <v>20276</v>
      </c>
      <c r="K293" s="868" t="str">
        <f>HYPERLINK("https://www.google.com/maps/search/Barrancos+Dehesa+Iberica+Fronteira+Lince+Iberico/@38.16,-6.965,14z","🥾 PR19 BRJ — Barrancos — Fronteira Ibérica")</f>
        <v>🥾 PR19 BRJ — Barrancos — Fronteira Ibérica</v>
      </c>
      <c r="L293" s="1035" t="s">
        <v>2649</v>
      </c>
    </row>
    <row r="294" spans="1:12" ht="15" customHeight="1" x14ac:dyDescent="0.35">
      <c r="A294" s="1045">
        <v>68</v>
      </c>
      <c r="B294" s="1036" t="s">
        <v>2774</v>
      </c>
      <c r="C294" s="1038" t="s">
        <v>2745</v>
      </c>
      <c r="D294" s="1039" t="s">
        <v>2302</v>
      </c>
      <c r="E294" s="1040" t="s">
        <v>2284</v>
      </c>
      <c r="F294" s="1041" t="s">
        <v>2297</v>
      </c>
      <c r="G294" s="1040" t="s">
        <v>2278</v>
      </c>
      <c r="H294" s="1042" t="s">
        <v>2775</v>
      </c>
      <c r="I294" s="1043" t="s">
        <v>2595</v>
      </c>
      <c r="J294" s="1044" t="s">
        <v>20277</v>
      </c>
      <c r="K294" s="1037" t="str">
        <f>HYPERLINK("https://www.google.com/maps/search/Serpa+Muralhas+Medievais+Queijo+DOP+Aqueduto/@37.945,-7.599,14z","🥾 PR20 SER — Serpa — Muralhas e Azenhas")</f>
        <v>🥾 PR20 SER — Serpa — Muralhas e Azenhas</v>
      </c>
      <c r="L294" s="1046" t="s">
        <v>2649</v>
      </c>
    </row>
    <row r="295" spans="1:12" ht="15" customHeight="1" x14ac:dyDescent="0.35">
      <c r="A295" s="1045">
        <v>69</v>
      </c>
      <c r="B295" s="1036" t="s">
        <v>20511</v>
      </c>
      <c r="C295" s="1038" t="s">
        <v>10776</v>
      </c>
      <c r="D295" s="1039" t="s">
        <v>2350</v>
      </c>
      <c r="E295" s="1040" t="s">
        <v>20512</v>
      </c>
      <c r="F295" s="1041" t="s">
        <v>2285</v>
      </c>
      <c r="G295" s="1040" t="s">
        <v>2278</v>
      </c>
      <c r="H295" s="1042" t="s">
        <v>20513</v>
      </c>
      <c r="I295" s="1043" t="s">
        <v>2536</v>
      </c>
      <c r="J295" s="1044" t="s">
        <v>20514</v>
      </c>
      <c r="K295" s="1160" t="str">
        <f>HYPERLINK("https://www.google.com/maps/search/Mora+um+Amor+para+Sempre+Alentejo/@38.944,-8.165,14z","🥾 Mora, um Amor para Sempre")</f>
        <v>🥾 Mora, um Amor para Sempre</v>
      </c>
      <c r="L295" s="1046"/>
    </row>
    <row r="296" spans="1:12" ht="15" customHeight="1" x14ac:dyDescent="0.35">
      <c r="A296" s="1045">
        <v>70</v>
      </c>
      <c r="B296" s="1036" t="s">
        <v>20515</v>
      </c>
      <c r="C296" s="1038" t="s">
        <v>10776</v>
      </c>
      <c r="D296" s="1039" t="s">
        <v>20516</v>
      </c>
      <c r="E296" s="1040" t="s">
        <v>20517</v>
      </c>
      <c r="F296" s="1041" t="s">
        <v>2285</v>
      </c>
      <c r="G296" s="1040" t="s">
        <v>2278</v>
      </c>
      <c r="H296" s="1042" t="s">
        <v>20518</v>
      </c>
      <c r="I296" s="1043" t="s">
        <v>2536</v>
      </c>
      <c r="J296" s="1044" t="s">
        <v>20519</v>
      </c>
      <c r="K296" s="1160" t="str">
        <f>HYPERLINK("https://www.google.com/maps/search/Monumental+Estremoz+TransAlentejo/@38.841,-7.585,14z","🥾 Monumental Estremoz")</f>
        <v>🥾 Monumental Estremoz</v>
      </c>
      <c r="L296" s="1046"/>
    </row>
    <row r="297" spans="1:12" ht="15" customHeight="1" x14ac:dyDescent="0.35">
      <c r="A297" s="1045">
        <v>71</v>
      </c>
      <c r="B297" s="1036" t="s">
        <v>20520</v>
      </c>
      <c r="C297" s="1038" t="s">
        <v>10776</v>
      </c>
      <c r="D297" s="1039" t="s">
        <v>20521</v>
      </c>
      <c r="E297" s="1040" t="s">
        <v>20517</v>
      </c>
      <c r="F297" s="1041" t="s">
        <v>2285</v>
      </c>
      <c r="G297" s="1040" t="s">
        <v>2278</v>
      </c>
      <c r="H297" s="1042" t="s">
        <v>20522</v>
      </c>
      <c r="I297" s="1043" t="s">
        <v>2536</v>
      </c>
      <c r="J297" s="1044" t="s">
        <v>20523</v>
      </c>
      <c r="K297" s="1160" t="str">
        <f>HYPERLINK("https://www.google.com/maps/search/Estrada+Real+Vila+Vicosa+Alentejo/@38.777,-7.416,14z","🥾 Descoberta da Estrada Real")</f>
        <v>🥾 Descoberta da Estrada Real</v>
      </c>
      <c r="L297" s="1046"/>
    </row>
    <row r="298" spans="1:12" ht="15" customHeight="1" x14ac:dyDescent="0.35">
      <c r="A298" s="1045">
        <v>72</v>
      </c>
      <c r="B298" s="1036" t="s">
        <v>20524</v>
      </c>
      <c r="C298" s="1038" t="s">
        <v>10776</v>
      </c>
      <c r="D298" s="1039" t="s">
        <v>20525</v>
      </c>
      <c r="E298" s="1040" t="s">
        <v>20517</v>
      </c>
      <c r="F298" s="1041" t="s">
        <v>2285</v>
      </c>
      <c r="G298" s="1040" t="s">
        <v>2278</v>
      </c>
      <c r="H298" s="1042" t="s">
        <v>20526</v>
      </c>
      <c r="I298" s="1043" t="s">
        <v>2536</v>
      </c>
      <c r="J298" s="1044" t="s">
        <v>20527</v>
      </c>
      <c r="K298" s="1160" t="str">
        <f>HYPERLINK("https://www.google.com/maps/search/Pontos+e+Colinas+Arraiolos+TransAlentejo/@38.722,-7.984,14z","🥾 Entre Pontos e Colinas de Arraiolos")</f>
        <v>🥾 Entre Pontos e Colinas de Arraiolos</v>
      </c>
      <c r="L298" s="1046"/>
    </row>
    <row r="299" spans="1:12" ht="15" customHeight="1" x14ac:dyDescent="0.35">
      <c r="A299" s="1045">
        <v>73</v>
      </c>
      <c r="B299" s="1036" t="s">
        <v>20528</v>
      </c>
      <c r="C299" s="1038" t="s">
        <v>10776</v>
      </c>
      <c r="D299" s="1039" t="s">
        <v>20529</v>
      </c>
      <c r="E299" s="1040" t="s">
        <v>20530</v>
      </c>
      <c r="F299" s="1041" t="s">
        <v>2285</v>
      </c>
      <c r="G299" s="1040" t="s">
        <v>2278</v>
      </c>
      <c r="H299" s="1042" t="s">
        <v>2498</v>
      </c>
      <c r="I299" s="1043" t="s">
        <v>2536</v>
      </c>
      <c r="J299" s="1044" t="s">
        <v>20531</v>
      </c>
      <c r="K299" s="1160" t="str">
        <f>HYPERLINK("https://www.google.com/maps/search/Rota+das+Bifanas+Vendas+Novas+Alentejo/@38.677,-8.455,14z","🥾 Rota das Bifanas — Vendas Novas")</f>
        <v>🥾 Rota das Bifanas — Vendas Novas</v>
      </c>
      <c r="L299" s="1046"/>
    </row>
    <row r="300" spans="1:12" ht="15" customHeight="1" x14ac:dyDescent="0.35">
      <c r="A300" s="1045">
        <v>74</v>
      </c>
      <c r="B300" s="1036" t="s">
        <v>20532</v>
      </c>
      <c r="C300" s="1038" t="s">
        <v>10776</v>
      </c>
      <c r="D300" s="1039" t="s">
        <v>20533</v>
      </c>
      <c r="E300" s="1040" t="s">
        <v>20517</v>
      </c>
      <c r="F300" s="1041" t="s">
        <v>2285</v>
      </c>
      <c r="G300" s="1040" t="s">
        <v>2278</v>
      </c>
      <c r="H300" s="1042" t="s">
        <v>20534</v>
      </c>
      <c r="I300" s="1043" t="s">
        <v>2536</v>
      </c>
      <c r="J300" s="1044" t="s">
        <v>20535</v>
      </c>
      <c r="K300" s="1160" t="str">
        <f>HYPERLINK("https://www.google.com/maps/search/Olivais+Montados+Montemor+Novo+Alentejo/@38.648,-8.215,14z","🥾 Olivais e Montados de Montemor")</f>
        <v>🥾 Olivais e Montados de Montemor</v>
      </c>
      <c r="L300" s="1046"/>
    </row>
    <row r="301" spans="1:12" ht="15" customHeight="1" x14ac:dyDescent="0.35">
      <c r="A301" s="1045">
        <v>75</v>
      </c>
      <c r="B301" s="1036" t="s">
        <v>20536</v>
      </c>
      <c r="C301" s="1038" t="s">
        <v>10776</v>
      </c>
      <c r="D301" s="1039" t="s">
        <v>20537</v>
      </c>
      <c r="E301" s="1040" t="s">
        <v>20538</v>
      </c>
      <c r="F301" s="1041" t="s">
        <v>2297</v>
      </c>
      <c r="G301" s="1040" t="s">
        <v>2278</v>
      </c>
      <c r="H301" s="1042" t="s">
        <v>20539</v>
      </c>
      <c r="I301" s="1043" t="s">
        <v>2595</v>
      </c>
      <c r="J301" s="1044" t="s">
        <v>20540</v>
      </c>
      <c r="K301" s="1160" t="str">
        <f>HYPERLINK("https://www.google.com/maps/search/Alto+de+Sao+Bento+Evora+Alentejo/@38.576,-7.914,14z","🥾 De Évora ao Alto de São Bento")</f>
        <v>🥾 De Évora ao Alto de São Bento</v>
      </c>
      <c r="L301" s="1046"/>
    </row>
    <row r="302" spans="1:12" ht="15" customHeight="1" x14ac:dyDescent="0.35">
      <c r="A302" s="1045">
        <v>76</v>
      </c>
      <c r="B302" s="1036" t="s">
        <v>20541</v>
      </c>
      <c r="C302" s="1038" t="s">
        <v>10776</v>
      </c>
      <c r="D302" s="1039" t="s">
        <v>20542</v>
      </c>
      <c r="E302" s="1040" t="s">
        <v>20517</v>
      </c>
      <c r="F302" s="1041" t="s">
        <v>2285</v>
      </c>
      <c r="G302" s="1040" t="s">
        <v>2278</v>
      </c>
      <c r="H302" s="1042" t="s">
        <v>20543</v>
      </c>
      <c r="I302" s="1043" t="s">
        <v>2536</v>
      </c>
      <c r="J302" s="1044" t="s">
        <v>20544</v>
      </c>
      <c r="K302" s="1160" t="str">
        <f>HYPERLINK("https://www.google.com/maps/search/Santuario+Nossa+Senhora+Aires+Viana+Alentejo/@38.332,-8.001,14z","🥾 Rota de Peregrinação — Nossa Sra. de Aires")</f>
        <v>🥾 Rota de Peregrinação — Nossa Sra. de Aires</v>
      </c>
      <c r="L302" s="1046"/>
    </row>
    <row r="303" spans="1:12" ht="15" customHeight="1" x14ac:dyDescent="0.35">
      <c r="A303" s="1045">
        <v>77</v>
      </c>
      <c r="B303" s="1036" t="s">
        <v>20545</v>
      </c>
      <c r="C303" s="1038" t="s">
        <v>20546</v>
      </c>
      <c r="D303" s="1039" t="s">
        <v>20547</v>
      </c>
      <c r="E303" s="1040" t="s">
        <v>20548</v>
      </c>
      <c r="F303" s="1041" t="s">
        <v>2269</v>
      </c>
      <c r="G303" s="1040" t="s">
        <v>2278</v>
      </c>
      <c r="H303" s="1042" t="s">
        <v>2569</v>
      </c>
      <c r="I303" s="1043" t="s">
        <v>2536</v>
      </c>
      <c r="J303" s="1044" t="s">
        <v>20549</v>
      </c>
      <c r="K303" s="1160" t="str">
        <f>HYPERLINK("https://www.google.com/maps/search/Fantastica+Serra+dOssa+Borba+TransAlentejo/@38.773,-7.505,14z","🥾 Fantástica Serra d'Ossa")</f>
        <v>🥾 Fantástica Serra d'Ossa</v>
      </c>
      <c r="L303" s="1046"/>
    </row>
    <row r="304" spans="1:12" ht="15" customHeight="1" x14ac:dyDescent="0.35">
      <c r="A304" s="1045">
        <v>78</v>
      </c>
      <c r="B304" s="1036" t="s">
        <v>20550</v>
      </c>
      <c r="C304" s="1038" t="s">
        <v>20546</v>
      </c>
      <c r="D304" s="1039" t="s">
        <v>2658</v>
      </c>
      <c r="E304" s="1040" t="s">
        <v>2420</v>
      </c>
      <c r="F304" s="1041" t="s">
        <v>2269</v>
      </c>
      <c r="G304" s="1040" t="s">
        <v>2278</v>
      </c>
      <c r="H304" s="1042" t="s">
        <v>2304</v>
      </c>
      <c r="I304" s="1043" t="s">
        <v>2536</v>
      </c>
      <c r="J304" s="1044" t="s">
        <v>20551</v>
      </c>
      <c r="K304" s="1160" t="str">
        <f>HYPERLINK("https://www.google.com/maps/search/Eremitas+Serra+dOssa+Redondo+Alentejo/@38.713,-7.570,14z","🥾 Eremitas da Serra d'Ossa")</f>
        <v>🥾 Eremitas da Serra d'Ossa</v>
      </c>
      <c r="L304" s="1046"/>
    </row>
    <row r="305" spans="1:12" ht="15" customHeight="1" x14ac:dyDescent="0.35">
      <c r="A305" s="1045">
        <v>79</v>
      </c>
      <c r="B305" s="1036" t="s">
        <v>20552</v>
      </c>
      <c r="C305" s="1038" t="s">
        <v>20553</v>
      </c>
      <c r="D305" s="1039" t="s">
        <v>20554</v>
      </c>
      <c r="E305" s="1040" t="s">
        <v>2291</v>
      </c>
      <c r="F305" s="1041" t="s">
        <v>2285</v>
      </c>
      <c r="G305" s="1040" t="s">
        <v>2278</v>
      </c>
      <c r="H305" s="1042" t="s">
        <v>2690</v>
      </c>
      <c r="I305" s="1043" t="s">
        <v>2536</v>
      </c>
      <c r="J305" s="1044" t="s">
        <v>20555</v>
      </c>
      <c r="K305" s="1160" t="str">
        <f>HYPERLINK("https://www.google.com/maps/search/Conquista+de+Terena+Alandroal+Alentejo/@38.620,-7.392,14z","🥾 Conquista de Terena — Alandroal")</f>
        <v>🥾 Conquista de Terena — Alandroal</v>
      </c>
      <c r="L305" s="1046"/>
    </row>
    <row r="306" spans="1:12" ht="15" customHeight="1" x14ac:dyDescent="0.35">
      <c r="A306" s="1045">
        <v>80</v>
      </c>
      <c r="B306" s="1036" t="s">
        <v>20556</v>
      </c>
      <c r="C306" s="1038" t="s">
        <v>20557</v>
      </c>
      <c r="D306" s="1039" t="s">
        <v>2378</v>
      </c>
      <c r="E306" s="1040" t="s">
        <v>20517</v>
      </c>
      <c r="F306" s="1041" t="s">
        <v>2285</v>
      </c>
      <c r="G306" s="1040" t="s">
        <v>2278</v>
      </c>
      <c r="H306" s="1042" t="s">
        <v>20558</v>
      </c>
      <c r="I306" s="1043" t="s">
        <v>2652</v>
      </c>
      <c r="J306" s="1044" t="s">
        <v>20559</v>
      </c>
      <c r="K306" s="1160" t="str">
        <f>HYPERLINK("https://www.google.com/maps/search/Monsaraz+Escritas+Pedra+Cal+Alqueva/@38.444,-7.380,14z","🥾 Escritas de Pedra e Cal — Monsaraz")</f>
        <v>🥾 Escritas de Pedra e Cal — Monsaraz</v>
      </c>
      <c r="L306" s="1046"/>
    </row>
    <row r="307" spans="1:12" ht="15" customHeight="1" x14ac:dyDescent="0.35">
      <c r="A307" s="1045">
        <v>81</v>
      </c>
      <c r="B307" s="1036" t="s">
        <v>20560</v>
      </c>
      <c r="C307" s="1038" t="s">
        <v>20561</v>
      </c>
      <c r="D307" s="1039" t="s">
        <v>2476</v>
      </c>
      <c r="E307" s="1040" t="s">
        <v>2341</v>
      </c>
      <c r="F307" s="1041" t="s">
        <v>2285</v>
      </c>
      <c r="G307" s="1040" t="s">
        <v>2270</v>
      </c>
      <c r="H307" s="1042" t="s">
        <v>2498</v>
      </c>
      <c r="I307" s="1043" t="s">
        <v>2536</v>
      </c>
      <c r="J307" s="1044" t="s">
        <v>20562</v>
      </c>
      <c r="K307" s="1160" t="str">
        <f>HYPERLINK("https://www.google.com/maps/search/Amieira+Alqueva+Lago+Portel+Alentejo/@38.215,-7.618,14z","🥾 De Amieira a Alqueva — Lago a seus Pés")</f>
        <v>🥾 De Amieira a Alqueva — Lago a seus Pés</v>
      </c>
      <c r="L307" s="1046"/>
    </row>
    <row r="308" spans="1:12" ht="15" customHeight="1" x14ac:dyDescent="0.35">
      <c r="A308" s="1045">
        <v>82</v>
      </c>
      <c r="B308" s="1036" t="s">
        <v>20563</v>
      </c>
      <c r="C308" s="1038" t="s">
        <v>20564</v>
      </c>
      <c r="D308" s="1039" t="s">
        <v>20521</v>
      </c>
      <c r="E308" s="1040" t="s">
        <v>2284</v>
      </c>
      <c r="F308" s="1041" t="s">
        <v>2297</v>
      </c>
      <c r="G308" s="1040" t="s">
        <v>2278</v>
      </c>
      <c r="H308" s="1042" t="s">
        <v>2610</v>
      </c>
      <c r="I308" s="1043" t="s">
        <v>2536</v>
      </c>
      <c r="J308" s="1044" t="s">
        <v>20565</v>
      </c>
      <c r="K308" s="1160" t="str">
        <f>HYPERLINK("https://www.google.com/maps/search/Rota+da+Agua+Moura+TransAlentejo+Alentejo/@38.130,-7.452,14z","🥾 Rota da Água de Moura")</f>
        <v>🥾 Rota da Água de Moura</v>
      </c>
      <c r="L308" s="1046"/>
    </row>
    <row r="309" spans="1:12" ht="15" customHeight="1" x14ac:dyDescent="0.35">
      <c r="A309" s="1045">
        <v>83</v>
      </c>
      <c r="B309" s="1036" t="s">
        <v>20566</v>
      </c>
      <c r="C309" s="1038" t="s">
        <v>20567</v>
      </c>
      <c r="D309" s="1039" t="s">
        <v>2378</v>
      </c>
      <c r="E309" s="1040" t="s">
        <v>20530</v>
      </c>
      <c r="F309" s="1041" t="s">
        <v>2285</v>
      </c>
      <c r="G309" s="1040" t="s">
        <v>2278</v>
      </c>
      <c r="H309" s="1042" t="s">
        <v>2569</v>
      </c>
      <c r="I309" s="1043" t="s">
        <v>2672</v>
      </c>
      <c r="J309" s="1044" t="s">
        <v>20568</v>
      </c>
      <c r="K309" s="1160" t="str">
        <f>HYPERLINK("https://www.google.com/maps/search/Serra+Colorada+Cerro+Calvario+Barrancos+Alentejo/@38.110,-6.970,14z","🥾 Da Serra Colorada ao Cerro do Calvário")</f>
        <v>🥾 Da Serra Colorada ao Cerro do Calvário</v>
      </c>
      <c r="L309" s="1046"/>
    </row>
    <row r="310" spans="1:12" ht="15" customHeight="1" x14ac:dyDescent="0.35">
      <c r="A310" s="1045">
        <v>84</v>
      </c>
      <c r="B310" s="1036" t="s">
        <v>20569</v>
      </c>
      <c r="C310" s="1038" t="s">
        <v>20570</v>
      </c>
      <c r="D310" s="1039" t="s">
        <v>2714</v>
      </c>
      <c r="E310" s="1040" t="s">
        <v>20517</v>
      </c>
      <c r="F310" s="1041" t="s">
        <v>2285</v>
      </c>
      <c r="G310" s="1040" t="s">
        <v>2278</v>
      </c>
      <c r="H310" s="1042" t="s">
        <v>2740</v>
      </c>
      <c r="I310" s="1043" t="s">
        <v>2536</v>
      </c>
      <c r="J310" s="1044" t="s">
        <v>20571</v>
      </c>
      <c r="K310" s="1160" t="str">
        <f>HYPERLINK("https://www.google.com/maps/search/Trilho+Azenha+Ordem+Serpa+Alentejo/@37.940,-7.599,14z","🥾 Trilho da Azenha da Ordem — Serpa")</f>
        <v>🥾 Trilho da Azenha da Ordem — Serpa</v>
      </c>
      <c r="L310" s="1046"/>
    </row>
    <row r="311" spans="1:12" ht="15" customHeight="1" x14ac:dyDescent="0.35">
      <c r="A311" s="1045">
        <v>85</v>
      </c>
      <c r="B311" s="1036" t="s">
        <v>20572</v>
      </c>
      <c r="C311" s="1038" t="s">
        <v>20567</v>
      </c>
      <c r="D311" s="1039" t="s">
        <v>2311</v>
      </c>
      <c r="E311" s="1040" t="s">
        <v>20573</v>
      </c>
      <c r="F311" s="1041" t="s">
        <v>2285</v>
      </c>
      <c r="G311" s="1040" t="s">
        <v>2278</v>
      </c>
      <c r="H311" s="1042" t="s">
        <v>2773</v>
      </c>
      <c r="I311" s="1043" t="s">
        <v>2672</v>
      </c>
      <c r="J311" s="1044" t="s">
        <v>20574</v>
      </c>
      <c r="K311" s="1160" t="str">
        <f>HYPERLINK("https://www.google.com/maps/search/Volta+do+Montado+Barrancos+Alentejo/@38.130,-6.980,14z","🥾 À Volta do Montado — Barrancos")</f>
        <v>🥾 À Volta do Montado — Barrancos</v>
      </c>
      <c r="L311" s="1046"/>
    </row>
    <row r="312" spans="1:12" ht="15" customHeight="1" x14ac:dyDescent="0.35">
      <c r="A312" s="1045">
        <v>86</v>
      </c>
      <c r="B312" s="1036" t="s">
        <v>20627</v>
      </c>
      <c r="C312" s="1038" t="s">
        <v>20628</v>
      </c>
      <c r="D312" s="1039" t="s">
        <v>20521</v>
      </c>
      <c r="E312" s="1040" t="s">
        <v>20517</v>
      </c>
      <c r="F312" s="1041" t="s">
        <v>2297</v>
      </c>
      <c r="G312" s="1040" t="s">
        <v>2278</v>
      </c>
      <c r="H312" s="1042" t="s">
        <v>20629</v>
      </c>
      <c r="I312" s="1043" t="s">
        <v>2536</v>
      </c>
      <c r="J312" s="1044" t="s">
        <v>20630</v>
      </c>
      <c r="K312" s="1160" t="str">
        <f>HYPERLINK("https://www.google.com/maps/search/Conhal+Arneiro+Mina+Ouro+Nisa+Tejo/@39.616,-7.705,14z","🥾 Trilho da Mina de Ouro do Conhal")</f>
        <v>🥾 Trilho da Mina de Ouro do Conhal</v>
      </c>
      <c r="L312" s="1046"/>
    </row>
    <row r="313" spans="1:12" ht="15" customHeight="1" x14ac:dyDescent="0.35">
      <c r="A313" s="1045">
        <v>87</v>
      </c>
      <c r="B313" s="1036" t="s">
        <v>20631</v>
      </c>
      <c r="C313" s="1038" t="s">
        <v>20632</v>
      </c>
      <c r="D313" s="1039" t="s">
        <v>20633</v>
      </c>
      <c r="E313" s="1040" t="s">
        <v>20517</v>
      </c>
      <c r="F313" s="1041" t="s">
        <v>2285</v>
      </c>
      <c r="G313" s="1040" t="s">
        <v>2278</v>
      </c>
      <c r="H313" s="1042" t="s">
        <v>20539</v>
      </c>
      <c r="I313" s="1043" t="s">
        <v>2536</v>
      </c>
      <c r="J313" s="1044" t="s">
        <v>20634</v>
      </c>
      <c r="K313" s="1160" t="str">
        <f>HYPERLINK("https://www.google.com/maps/search/Povoa+e+Meadas+Castelo+de+Vide+Alentejo/@39.511,-7.518,14z","🥾 Paisagens Fantásticas de Póvoa e Meadas")</f>
        <v>🥾 Paisagens Fantásticas de Póvoa e Meadas</v>
      </c>
      <c r="L313" s="1046"/>
    </row>
    <row r="314" spans="1:12" ht="15" customHeight="1" x14ac:dyDescent="0.35">
      <c r="A314" s="1045">
        <v>88</v>
      </c>
      <c r="B314" s="1036" t="s">
        <v>20635</v>
      </c>
      <c r="C314" s="1038" t="s">
        <v>20636</v>
      </c>
      <c r="D314" s="1039" t="s">
        <v>20521</v>
      </c>
      <c r="E314" s="1040" t="s">
        <v>20538</v>
      </c>
      <c r="F314" s="1041" t="s">
        <v>2285</v>
      </c>
      <c r="G314" s="1040" t="s">
        <v>2278</v>
      </c>
      <c r="H314" s="1042" t="s">
        <v>20637</v>
      </c>
      <c r="I314" s="1043" t="s">
        <v>2652</v>
      </c>
      <c r="J314" s="1044" t="s">
        <v>20638</v>
      </c>
      <c r="K314" s="1160" t="str">
        <f>HYPERLINK("https://www.google.com/maps/search/Barragem+Apartadura+Marvao+Serra+Sao+Mamede/@39.350,-7.382,14z","🥾 Fabulosa Barragem da Apartadura — Marvão")</f>
        <v>🥾 Fabulosa Barragem da Apartadura — Marvão</v>
      </c>
      <c r="L314" s="1046"/>
    </row>
    <row r="315" spans="1:12" ht="15" customHeight="1" x14ac:dyDescent="0.35">
      <c r="A315" s="1045">
        <v>89</v>
      </c>
      <c r="B315" s="1036" t="s">
        <v>20639</v>
      </c>
      <c r="C315" s="1038" t="s">
        <v>20640</v>
      </c>
      <c r="D315" s="1039" t="s">
        <v>20641</v>
      </c>
      <c r="E315" s="1040" t="s">
        <v>20621</v>
      </c>
      <c r="F315" s="1041" t="s">
        <v>2269</v>
      </c>
      <c r="G315" s="1040" t="s">
        <v>2270</v>
      </c>
      <c r="H315" s="1042" t="s">
        <v>2532</v>
      </c>
      <c r="I315" s="1043" t="s">
        <v>2536</v>
      </c>
      <c r="J315" s="1044" t="s">
        <v>20642</v>
      </c>
      <c r="K315" s="1160" t="str">
        <f>HYPERLINK("https://www.google.com/maps/search/Mosteiro+Flor+da+Rosa+Crato+Alentejo/@39.305,-7.648,14z","🥾 Rota Histórica de Flor da Rosa — Crato")</f>
        <v>🥾 Rota Histórica de Flor da Rosa — Crato</v>
      </c>
      <c r="L315" s="1046"/>
    </row>
    <row r="316" spans="1:12" ht="15" customHeight="1" x14ac:dyDescent="0.35">
      <c r="A316" s="1045">
        <v>90</v>
      </c>
      <c r="B316" s="1036" t="s">
        <v>20643</v>
      </c>
      <c r="C316" s="1038" t="s">
        <v>20644</v>
      </c>
      <c r="D316" s="1039" t="s">
        <v>2318</v>
      </c>
      <c r="E316" s="1040" t="s">
        <v>20530</v>
      </c>
      <c r="F316" s="1041" t="s">
        <v>2285</v>
      </c>
      <c r="G316" s="1040" t="s">
        <v>2270</v>
      </c>
      <c r="H316" s="1042" t="s">
        <v>20645</v>
      </c>
      <c r="I316" s="1043" t="s">
        <v>2536</v>
      </c>
      <c r="J316" s="1044" t="s">
        <v>20646</v>
      </c>
      <c r="K316" s="1160" t="str">
        <f>HYPERLINK("https://www.google.com/maps/search/Santuario+Senhor+dos+Aflitos+Portalegre+Alentejo/@39.264,-7.446,14z","🥾 Rota de Peregrinação do Senhor dos Aflitos")</f>
        <v>🥾 Rota de Peregrinação do Senhor dos Aflitos</v>
      </c>
      <c r="L316" s="1046"/>
    </row>
    <row r="317" spans="1:12" ht="15" customHeight="1" x14ac:dyDescent="0.35">
      <c r="A317" s="1045">
        <v>91</v>
      </c>
      <c r="B317" s="1036" t="s">
        <v>20647</v>
      </c>
      <c r="C317" s="1038" t="s">
        <v>20648</v>
      </c>
      <c r="D317" s="1039" t="s">
        <v>20649</v>
      </c>
      <c r="E317" s="1040" t="s">
        <v>20517</v>
      </c>
      <c r="F317" s="1041" t="s">
        <v>2297</v>
      </c>
      <c r="G317" s="1040" t="s">
        <v>2278</v>
      </c>
      <c r="H317" s="1042" t="s">
        <v>20650</v>
      </c>
      <c r="I317" s="1043" t="s">
        <v>2536</v>
      </c>
      <c r="J317" s="1044" t="s">
        <v>20651</v>
      </c>
      <c r="K317" s="1160" t="str">
        <f>HYPERLINK("https://www.google.com/maps/search/Castelo+Seda+Alter+Chao+Alentejo/@39.188,-7.785,14z","🥾 Rota do Castelo de Seda — Alter do Chão")</f>
        <v>🥾 Rota do Castelo de Seda — Alter do Chão</v>
      </c>
      <c r="L317" s="1046"/>
    </row>
    <row r="318" spans="1:12" ht="15" customHeight="1" x14ac:dyDescent="0.35">
      <c r="A318" s="1045">
        <v>92</v>
      </c>
      <c r="B318" s="1036" t="s">
        <v>20652</v>
      </c>
      <c r="C318" s="1038" t="s">
        <v>20653</v>
      </c>
      <c r="D318" s="1039" t="s">
        <v>20654</v>
      </c>
      <c r="E318" s="1040" t="s">
        <v>20538</v>
      </c>
      <c r="F318" s="1041" t="s">
        <v>2297</v>
      </c>
      <c r="G318" s="1040" t="s">
        <v>2278</v>
      </c>
      <c r="H318" s="1042" t="s">
        <v>2750</v>
      </c>
      <c r="I318" s="1043" t="s">
        <v>2595</v>
      </c>
      <c r="J318" s="1044" t="s">
        <v>20655</v>
      </c>
      <c r="K318" s="1160" t="str">
        <f>HYPERLINK("https://www.google.com/maps/search/Albufeira+de+Montargil+Ponte+de+Sor+Alentejo/@39.078,-8.173,14z","🥾 Olhar Montargil — Ponte de Sôr")</f>
        <v>🥾 Olhar Montargil — Ponte de Sôr</v>
      </c>
      <c r="L318" s="1046"/>
    </row>
    <row r="319" spans="1:12" ht="15" customHeight="1" x14ac:dyDescent="0.35">
      <c r="A319" s="1045">
        <v>93</v>
      </c>
      <c r="B319" s="1036" t="s">
        <v>20656</v>
      </c>
      <c r="C319" s="1038" t="s">
        <v>20657</v>
      </c>
      <c r="D319" s="1039" t="s">
        <v>20537</v>
      </c>
      <c r="E319" s="1040" t="s">
        <v>20538</v>
      </c>
      <c r="F319" s="1041" t="s">
        <v>2297</v>
      </c>
      <c r="G319" s="1040" t="s">
        <v>2278</v>
      </c>
      <c r="H319" s="1042" t="s">
        <v>20658</v>
      </c>
      <c r="I319" s="1043" t="s">
        <v>2595</v>
      </c>
      <c r="J319" s="1044" t="s">
        <v>20659</v>
      </c>
      <c r="K319" s="1160" t="str">
        <f>HYPERLINK("https://www.google.com/maps/search/Albufeira+Maranhao+Avis+Alentejo+Ordem/@39.027,-7.927,14z","🥾 Espelho de Água do Maranhão — Avis")</f>
        <v>🥾 Espelho de Água do Maranhão — Avis</v>
      </c>
      <c r="L319" s="1046"/>
    </row>
    <row r="320" spans="1:12" ht="15" customHeight="1" x14ac:dyDescent="0.35">
      <c r="A320" s="1045">
        <v>94</v>
      </c>
      <c r="B320" s="1036" t="s">
        <v>20660</v>
      </c>
      <c r="C320" s="1038" t="s">
        <v>20661</v>
      </c>
      <c r="D320" s="1039" t="s">
        <v>20585</v>
      </c>
      <c r="E320" s="1040" t="s">
        <v>20538</v>
      </c>
      <c r="F320" s="1041" t="s">
        <v>2285</v>
      </c>
      <c r="G320" s="1040" t="s">
        <v>2278</v>
      </c>
      <c r="H320" s="1042" t="s">
        <v>20662</v>
      </c>
      <c r="I320" s="1043" t="s">
        <v>2536</v>
      </c>
      <c r="J320" s="1044" t="s">
        <v>20663</v>
      </c>
      <c r="K320" s="1160" t="str">
        <f>HYPERLINK("https://www.google.com/maps/search/Ribeira+Grande+Fronteira+Alentejo+TransAlentejo/@39.057,-7.648,14z","🥾 À Descoberta da Ribeira Grande — Fronteira")</f>
        <v>🥾 À Descoberta da Ribeira Grande — Fronteira</v>
      </c>
      <c r="L320" s="1046"/>
    </row>
    <row r="321" spans="1:12" ht="15" customHeight="1" x14ac:dyDescent="0.35">
      <c r="A321" s="1045">
        <v>95</v>
      </c>
      <c r="B321" s="1036" t="s">
        <v>20664</v>
      </c>
      <c r="C321" s="1038" t="s">
        <v>20665</v>
      </c>
      <c r="D321" s="1039" t="s">
        <v>20666</v>
      </c>
      <c r="E321" s="1040" t="s">
        <v>20517</v>
      </c>
      <c r="F321" s="1041" t="s">
        <v>2285</v>
      </c>
      <c r="G321" s="1040" t="s">
        <v>2278</v>
      </c>
      <c r="H321" s="1042" t="s">
        <v>20667</v>
      </c>
      <c r="I321" s="1043" t="s">
        <v>2536</v>
      </c>
      <c r="J321" s="1044" t="s">
        <v>20668</v>
      </c>
      <c r="K321" s="1160" t="str">
        <f>HYPERLINK("https://www.google.com/maps/search/Serra+Sao+Miguel+Sousel+Alentejo/@38.952,-7.679,14z","🥾 Fantástica Serra de São Miguel — Sousel")</f>
        <v>🥾 Fantástica Serra de São Miguel — Sousel</v>
      </c>
      <c r="L321" s="1046"/>
    </row>
    <row r="322" spans="1:12" ht="15" customHeight="1" x14ac:dyDescent="0.35">
      <c r="A322" s="1045">
        <v>96</v>
      </c>
      <c r="B322" s="1036" t="s">
        <v>20669</v>
      </c>
      <c r="C322" s="1038" t="s">
        <v>20670</v>
      </c>
      <c r="D322" s="1039" t="s">
        <v>20671</v>
      </c>
      <c r="E322" s="1040" t="s">
        <v>20530</v>
      </c>
      <c r="F322" s="1041" t="s">
        <v>2285</v>
      </c>
      <c r="G322" s="1040" t="s">
        <v>2270</v>
      </c>
      <c r="H322" s="1042" t="s">
        <v>20672</v>
      </c>
      <c r="I322" s="1043" t="s">
        <v>2536</v>
      </c>
      <c r="J322" s="1044" t="s">
        <v>20673</v>
      </c>
      <c r="K322" s="1160" t="str">
        <f>HYPERLINK("https://www.google.com/maps/search/Antas+de+Rabuje+Monforte+Alentejo+Megalitico/@39.052,-7.440,14z","🥾 Rota das Antas de Rabuje — Monforte")</f>
        <v>🥾 Rota das Antas de Rabuje — Monforte</v>
      </c>
      <c r="L322" s="1046"/>
    </row>
    <row r="323" spans="1:12" ht="15" customHeight="1" x14ac:dyDescent="0.35">
      <c r="A323" s="1045">
        <v>97</v>
      </c>
      <c r="B323" s="1036" t="s">
        <v>20674</v>
      </c>
      <c r="C323" s="1038" t="s">
        <v>20675</v>
      </c>
      <c r="D323" s="1039" t="s">
        <v>16773</v>
      </c>
      <c r="E323" s="1040" t="s">
        <v>20538</v>
      </c>
      <c r="F323" s="1041" t="s">
        <v>2285</v>
      </c>
      <c r="G323" s="1040" t="s">
        <v>2278</v>
      </c>
      <c r="H323" s="1042" t="s">
        <v>20676</v>
      </c>
      <c r="I323" s="1043" t="s">
        <v>2595</v>
      </c>
      <c r="J323" s="1044" t="s">
        <v>20677</v>
      </c>
      <c r="K323" s="1160" t="str">
        <f>HYPERLINK("https://www.google.com/maps/search/Defesas+de+Campo+Maior+Alentejo+Fronteira/@39.013,-7.072,14z","🥾 Defesas de Campo Maior")</f>
        <v>🥾 Defesas de Campo Maior</v>
      </c>
      <c r="L323" s="1046"/>
    </row>
    <row r="324" spans="1:12" ht="20" customHeight="1" x14ac:dyDescent="0.45">
      <c r="A324" s="1461" t="s">
        <v>20510</v>
      </c>
      <c r="B324" s="1462"/>
      <c r="C324" s="1463"/>
      <c r="D324" s="1463"/>
      <c r="E324" s="1463"/>
      <c r="F324" s="1463"/>
      <c r="G324" s="1463"/>
      <c r="H324" s="1463"/>
      <c r="I324" s="1463"/>
      <c r="J324" s="1464"/>
      <c r="K324" s="1465"/>
      <c r="L324" s="1466"/>
    </row>
    <row r="325" spans="1:12" ht="15" customHeight="1" x14ac:dyDescent="0.35">
      <c r="A325" s="1059">
        <v>1</v>
      </c>
      <c r="B325" s="1051" t="s">
        <v>2776</v>
      </c>
      <c r="C325" s="1052" t="s">
        <v>2777</v>
      </c>
      <c r="D325" s="1053" t="s">
        <v>2322</v>
      </c>
      <c r="E325" s="1054" t="s">
        <v>2473</v>
      </c>
      <c r="F325" s="1055" t="s">
        <v>2297</v>
      </c>
      <c r="G325" s="1054" t="s">
        <v>2278</v>
      </c>
      <c r="H325" s="1056" t="s">
        <v>2778</v>
      </c>
      <c r="I325" s="1057" t="s">
        <v>2595</v>
      </c>
      <c r="J325" s="1058" t="s">
        <v>20278</v>
      </c>
      <c r="K325" s="749" t="str">
        <f>HYPERLINK("https://www.google.com/maps/search/Ponta+da+Piedade+Lagos+Algarve+Grutas+Calcarias/@37.085,-8.666,14z","🥾 PR1 LGS — Ponta da Piedade — Lagos")</f>
        <v>🥾 PR1 LGS — Ponta da Piedade — Lagos</v>
      </c>
      <c r="L325" s="1060" t="s">
        <v>2779</v>
      </c>
    </row>
    <row r="326" spans="1:12" ht="15" customHeight="1" x14ac:dyDescent="0.35">
      <c r="A326" s="1070">
        <v>2</v>
      </c>
      <c r="B326" s="1061" t="s">
        <v>2780</v>
      </c>
      <c r="C326" s="1063" t="s">
        <v>2781</v>
      </c>
      <c r="D326" s="1064" t="s">
        <v>2296</v>
      </c>
      <c r="E326" s="1065" t="s">
        <v>2284</v>
      </c>
      <c r="F326" s="1066" t="s">
        <v>2589</v>
      </c>
      <c r="G326" s="1065" t="s">
        <v>2278</v>
      </c>
      <c r="H326" s="1067" t="s">
        <v>2699</v>
      </c>
      <c r="I326" s="1068" t="s">
        <v>2604</v>
      </c>
      <c r="J326" s="1069" t="s">
        <v>20279</v>
      </c>
      <c r="K326" s="1062" t="str">
        <f>HYPERLINK("https://www.google.com/maps/search/Foia+Serra+de+Monchique+902m+Pico+Algarve/@37.323,-8.595,14z","🥾 PR2 MCQ — Serra de Monchique — Fóia")</f>
        <v>🥾 PR2 MCQ — Serra de Monchique — Fóia</v>
      </c>
      <c r="L326" s="1071" t="s">
        <v>2782</v>
      </c>
    </row>
    <row r="327" spans="1:12" ht="15" customHeight="1" x14ac:dyDescent="0.35">
      <c r="A327" s="1059">
        <v>3</v>
      </c>
      <c r="B327" s="1051" t="s">
        <v>2783</v>
      </c>
      <c r="C327" s="1052" t="s">
        <v>2784</v>
      </c>
      <c r="D327" s="1053" t="s">
        <v>2315</v>
      </c>
      <c r="E327" s="1054" t="s">
        <v>2369</v>
      </c>
      <c r="F327" s="1055" t="s">
        <v>2297</v>
      </c>
      <c r="G327" s="1054" t="s">
        <v>2270</v>
      </c>
      <c r="H327" s="1056" t="s">
        <v>2725</v>
      </c>
      <c r="I327" s="1057" t="s">
        <v>2611</v>
      </c>
      <c r="J327" s="1058" t="s">
        <v>20280</v>
      </c>
      <c r="K327" s="749" t="str">
        <f>HYPERLINK("https://www.google.com/maps/search/Salinas+de+Tavira+Flamingo+Ria+Formosa+Sotavento/@37.128,-7.648,14z","🥾 PR3 TVR — Tavira — Salinas e Ria Formosa")</f>
        <v>🥾 PR3 TVR — Tavira — Salinas e Ria Formosa</v>
      </c>
      <c r="L327" s="1060" t="s">
        <v>2785</v>
      </c>
    </row>
    <row r="328" spans="1:12" ht="15" customHeight="1" x14ac:dyDescent="0.35">
      <c r="A328" s="1070">
        <v>4</v>
      </c>
      <c r="B328" s="1061" t="s">
        <v>2786</v>
      </c>
      <c r="C328" s="1063" t="s">
        <v>2787</v>
      </c>
      <c r="D328" s="1064" t="s">
        <v>2594</v>
      </c>
      <c r="E328" s="1065" t="s">
        <v>2330</v>
      </c>
      <c r="F328" s="1066" t="s">
        <v>2589</v>
      </c>
      <c r="G328" s="1065" t="s">
        <v>2278</v>
      </c>
      <c r="H328" s="1067" t="s">
        <v>2712</v>
      </c>
      <c r="I328" s="1068" t="s">
        <v>2591</v>
      </c>
      <c r="J328" s="1069" t="s">
        <v>20281</v>
      </c>
      <c r="K328" s="1062" t="str">
        <f>HYPERLINK("https://www.google.com/maps/search/Rocha+da+Pena+Loule+Calcario+Orquideas+Barrocal/@37.275,-8.113,14z","🥾 PR4 LLE — Rocha da Pena — Loulé")</f>
        <v>🥾 PR4 LLE — Rocha da Pena — Loulé</v>
      </c>
      <c r="L328" s="1071" t="s">
        <v>2779</v>
      </c>
    </row>
    <row r="329" spans="1:12" ht="15" customHeight="1" x14ac:dyDescent="0.35">
      <c r="A329" s="1059">
        <v>5</v>
      </c>
      <c r="B329" s="1051" t="s">
        <v>2788</v>
      </c>
      <c r="C329" s="1052" t="s">
        <v>2789</v>
      </c>
      <c r="D329" s="1053" t="s">
        <v>2302</v>
      </c>
      <c r="E329" s="1054" t="s">
        <v>2284</v>
      </c>
      <c r="F329" s="1072" t="s">
        <v>2589</v>
      </c>
      <c r="G329" s="1054" t="s">
        <v>2270</v>
      </c>
      <c r="H329" s="1056" t="s">
        <v>2790</v>
      </c>
      <c r="I329" s="1057" t="s">
        <v>2595</v>
      </c>
      <c r="J329" s="1058" t="s">
        <v>20282</v>
      </c>
      <c r="K329" s="749" t="str">
        <f>HYPERLINK("https://www.google.com/maps/search/Cabo+de+Sao+Vicente+Sagres+Fim+do+Mundo+Farol/@37.023,-8.938,14z","🥾 PR5 SGR — Sagres — Cabo de São Vicente")</f>
        <v>🥾 PR5 SGR — Sagres — Cabo de São Vicente</v>
      </c>
      <c r="L329" s="1060" t="s">
        <v>2791</v>
      </c>
    </row>
    <row r="330" spans="1:12" ht="15" customHeight="1" x14ac:dyDescent="0.35">
      <c r="A330" s="1070">
        <v>6</v>
      </c>
      <c r="B330" s="1061" t="s">
        <v>2792</v>
      </c>
      <c r="C330" s="1063" t="s">
        <v>2789</v>
      </c>
      <c r="D330" s="1064" t="s">
        <v>2311</v>
      </c>
      <c r="E330" s="1065" t="s">
        <v>2291</v>
      </c>
      <c r="F330" s="1066" t="s">
        <v>2589</v>
      </c>
      <c r="G330" s="1065" t="s">
        <v>2270</v>
      </c>
      <c r="H330" s="1067" t="s">
        <v>2793</v>
      </c>
      <c r="I330" s="1068" t="s">
        <v>2604</v>
      </c>
      <c r="J330" s="1069" t="s">
        <v>20283</v>
      </c>
      <c r="K330" s="1062" t="str">
        <f>HYPERLINK("https://www.google.com/maps/search/Odeceixe+Aldeia+Fronteira+Algarve+Alentejo+Costa+Vicentina/@37.43,-8.773,14z","🥾 PR6 ODM — Odeceixe — Rota Vicentina")</f>
        <v>🥾 PR6 ODM — Odeceixe — Rota Vicentina</v>
      </c>
      <c r="L330" s="1071" t="s">
        <v>2794</v>
      </c>
    </row>
    <row r="331" spans="1:12" ht="15" customHeight="1" x14ac:dyDescent="0.35">
      <c r="A331" s="1059">
        <v>7</v>
      </c>
      <c r="B331" s="1051" t="s">
        <v>2795</v>
      </c>
      <c r="C331" s="1052" t="s">
        <v>2784</v>
      </c>
      <c r="D331" s="1053" t="s">
        <v>2290</v>
      </c>
      <c r="E331" s="1054" t="s">
        <v>2284</v>
      </c>
      <c r="F331" s="1055" t="s">
        <v>2297</v>
      </c>
      <c r="G331" s="1054" t="s">
        <v>2278</v>
      </c>
      <c r="H331" s="1056" t="s">
        <v>2723</v>
      </c>
      <c r="I331" s="1057" t="s">
        <v>2595</v>
      </c>
      <c r="J331" s="1058" t="s">
        <v>20284</v>
      </c>
      <c r="K331" s="749" t="str">
        <f>HYPERLINK("https://www.google.com/maps/search/Parque+Natural+Ria+Formosa+Faro+Flamingo+Ilhas/@37.023,-7.845,14z","🥾 PR7 FRM — Faro — Ria Formosa")</f>
        <v>🥾 PR7 FRM — Faro — Ria Formosa</v>
      </c>
      <c r="L331" s="1060" t="s">
        <v>2785</v>
      </c>
    </row>
    <row r="332" spans="1:12" ht="15" customHeight="1" x14ac:dyDescent="0.35">
      <c r="A332" s="1070">
        <v>8</v>
      </c>
      <c r="B332" s="1061" t="s">
        <v>2796</v>
      </c>
      <c r="C332" s="1063" t="s">
        <v>2787</v>
      </c>
      <c r="D332" s="1064" t="s">
        <v>2275</v>
      </c>
      <c r="E332" s="1065" t="s">
        <v>2330</v>
      </c>
      <c r="F332" s="1073" t="s">
        <v>2297</v>
      </c>
      <c r="G332" s="1065" t="s">
        <v>2278</v>
      </c>
      <c r="H332" s="1067" t="s">
        <v>2797</v>
      </c>
      <c r="I332" s="1068" t="s">
        <v>2611</v>
      </c>
      <c r="J332" s="1069" t="s">
        <v>20285</v>
      </c>
      <c r="K332" s="1062" t="str">
        <f>HYPERLINK("https://www.google.com/maps/search/Alte+Aldeia+Bonita+Algarve+Fontes+Ribeira/@37.25,-8.175,14z","🥾 PR8 MCQ — Percurso das Fontes — Alte")</f>
        <v>🥾 PR8 MCQ — Percurso das Fontes — Alte</v>
      </c>
      <c r="L332" s="1071" t="s">
        <v>2779</v>
      </c>
    </row>
    <row r="333" spans="1:12" ht="15" customHeight="1" x14ac:dyDescent="0.35">
      <c r="A333" s="1059">
        <v>9</v>
      </c>
      <c r="B333" s="1051" t="s">
        <v>2798</v>
      </c>
      <c r="C333" s="1052" t="s">
        <v>2777</v>
      </c>
      <c r="D333" s="1053" t="s">
        <v>2296</v>
      </c>
      <c r="E333" s="1054" t="s">
        <v>2284</v>
      </c>
      <c r="F333" s="1055" t="s">
        <v>2297</v>
      </c>
      <c r="G333" s="1054" t="s">
        <v>2278</v>
      </c>
      <c r="H333" s="1056" t="s">
        <v>2502</v>
      </c>
      <c r="I333" s="1057" t="s">
        <v>2604</v>
      </c>
      <c r="J333" s="1058" t="s">
        <v>20286</v>
      </c>
      <c r="K333" s="749" t="str">
        <f>HYPERLINK("https://www.google.com/maps/search/Barao+de+Sao+Joao+Esculturas+Bosque+Lagos+Algarve/@37.17,-8.728,14z","🥾 PR9 BCH — Barão de São João — Rota das Esculturas")</f>
        <v>🥾 PR9 BCH — Barão de São João — Rota das Esculturas</v>
      </c>
      <c r="L333" s="1060" t="s">
        <v>2779</v>
      </c>
    </row>
    <row r="334" spans="1:12" ht="15" customHeight="1" x14ac:dyDescent="0.35">
      <c r="A334" s="1070">
        <v>10</v>
      </c>
      <c r="B334" s="1061" t="s">
        <v>2799</v>
      </c>
      <c r="C334" s="1063" t="s">
        <v>2777</v>
      </c>
      <c r="D334" s="1064" t="s">
        <v>2302</v>
      </c>
      <c r="E334" s="1065" t="s">
        <v>2284</v>
      </c>
      <c r="F334" s="1066" t="s">
        <v>2589</v>
      </c>
      <c r="G334" s="1065" t="s">
        <v>2270</v>
      </c>
      <c r="H334" s="1067" t="s">
        <v>2561</v>
      </c>
      <c r="I334" s="1068" t="s">
        <v>2611</v>
      </c>
      <c r="J334" s="1069" t="s">
        <v>20287</v>
      </c>
      <c r="K334" s="1062" t="str">
        <f>HYPERLINK("https://www.google.com/maps/search/Olhos+de+Agua+Falésia+Albufeira+Arco+Natural/@37.1,-8.245,14z","🥾 PR10 ALB — Albufeira — Falésias de Olhos de Água")</f>
        <v>🥾 PR10 ALB — Albufeira — Falésias de Olhos de Água</v>
      </c>
      <c r="L334" s="1071" t="s">
        <v>2779</v>
      </c>
    </row>
    <row r="335" spans="1:12" ht="15" customHeight="1" x14ac:dyDescent="0.35">
      <c r="A335" s="1059">
        <v>11</v>
      </c>
      <c r="B335" s="1051" t="s">
        <v>2800</v>
      </c>
      <c r="C335" s="1052" t="s">
        <v>2777</v>
      </c>
      <c r="D335" s="1053" t="s">
        <v>2801</v>
      </c>
      <c r="E335" s="1054" t="s">
        <v>2473</v>
      </c>
      <c r="F335" s="1072" t="s">
        <v>2589</v>
      </c>
      <c r="G335" s="1054" t="s">
        <v>2278</v>
      </c>
      <c r="H335" s="1056" t="s">
        <v>2561</v>
      </c>
      <c r="I335" s="1057" t="s">
        <v>2595</v>
      </c>
      <c r="J335" s="1058" t="s">
        <v>20288</v>
      </c>
      <c r="K335" s="749" t="str">
        <f>HYPERLINK("https://www.google.com/maps/search/Sete+Vales+Suspensos+Benagil+Lagoa+Algarve/@37.09,-8.47,14z","🥾 PR11 LGA — Sete Vales Suspensos")</f>
        <v>🥾 PR11 LGA — Sete Vales Suspensos</v>
      </c>
      <c r="L335" s="1060" t="s">
        <v>2779</v>
      </c>
    </row>
    <row r="336" spans="1:12" ht="15" customHeight="1" x14ac:dyDescent="0.35">
      <c r="A336" s="1070">
        <v>12</v>
      </c>
      <c r="B336" s="1061" t="s">
        <v>2802</v>
      </c>
      <c r="C336" s="1063" t="s">
        <v>2787</v>
      </c>
      <c r="D336" s="1064" t="s">
        <v>2275</v>
      </c>
      <c r="E336" s="1065" t="s">
        <v>2330</v>
      </c>
      <c r="F336" s="1073" t="s">
        <v>2297</v>
      </c>
      <c r="G336" s="1065" t="s">
        <v>2278</v>
      </c>
      <c r="H336" s="1067" t="s">
        <v>2659</v>
      </c>
      <c r="I336" s="1068" t="s">
        <v>2595</v>
      </c>
      <c r="J336" s="1069" t="s">
        <v>20289</v>
      </c>
      <c r="K336" s="1062" t="str">
        <f>HYPERLINK("https://www.google.com/maps/search/Fonte+Benemola+Loule+Algarve+Lontra+Ribeira/@37.25,-8.02,14z","🥾 PR12 LLE — Fonte Benémola — Loulé")</f>
        <v>🥾 PR12 LLE — Fonte Benémola — Loulé</v>
      </c>
      <c r="L336" s="1071" t="s">
        <v>2779</v>
      </c>
    </row>
    <row r="337" spans="1:12" ht="15" customHeight="1" x14ac:dyDescent="0.35">
      <c r="A337" s="1059">
        <v>13</v>
      </c>
      <c r="B337" s="1051" t="s">
        <v>2803</v>
      </c>
      <c r="C337" s="1052" t="s">
        <v>2789</v>
      </c>
      <c r="D337" s="1053" t="s">
        <v>2335</v>
      </c>
      <c r="E337" s="1054" t="s">
        <v>2276</v>
      </c>
      <c r="F337" s="1074" t="s">
        <v>2269</v>
      </c>
      <c r="G337" s="1054" t="s">
        <v>2270</v>
      </c>
      <c r="H337" s="1056" t="s">
        <v>2804</v>
      </c>
      <c r="I337" s="1057" t="s">
        <v>2604</v>
      </c>
      <c r="J337" s="1058" t="s">
        <v>20290</v>
      </c>
      <c r="K337" s="749" t="str">
        <f>HYPERLINK("https://www.google.com/maps/search/Aljezur+Costa+Vicentina+Dunas+Fosseis+Castelo+Arabe/@37.323,-8.805,14z","🥾 PR13 ALJ — Aljezur — Costa Vicentina")</f>
        <v>🥾 PR13 ALJ — Aljezur — Costa Vicentina</v>
      </c>
      <c r="L337" s="1060" t="s">
        <v>2794</v>
      </c>
    </row>
    <row r="338" spans="1:12" ht="15" customHeight="1" x14ac:dyDescent="0.35">
      <c r="A338" s="1070">
        <v>14</v>
      </c>
      <c r="B338" s="1061" t="s">
        <v>2805</v>
      </c>
      <c r="C338" s="1063" t="s">
        <v>2787</v>
      </c>
      <c r="D338" s="1064" t="s">
        <v>2290</v>
      </c>
      <c r="E338" s="1065" t="s">
        <v>2369</v>
      </c>
      <c r="F338" s="1066" t="s">
        <v>2589</v>
      </c>
      <c r="G338" s="1065" t="s">
        <v>2278</v>
      </c>
      <c r="H338" s="1067" t="s">
        <v>2610</v>
      </c>
      <c r="I338" s="1068" t="s">
        <v>2591</v>
      </c>
      <c r="J338" s="1069" t="s">
        <v>20291</v>
      </c>
      <c r="K338" s="1062" t="str">
        <f>HYPERLINK("https://www.google.com/maps/search/Ribeira+de+Cobres+Mertola+Guadiana+Algarve+Alentejo/@37.64,-7.66,14z","🥾 PR14 MRT — Mértola — Ribeira de Cobres")</f>
        <v>🥾 PR14 MRT — Mértola — Ribeira de Cobres</v>
      </c>
      <c r="L338" s="1071" t="s">
        <v>1640</v>
      </c>
    </row>
    <row r="339" spans="1:12" ht="15" customHeight="1" x14ac:dyDescent="0.35">
      <c r="A339" s="1059">
        <v>15</v>
      </c>
      <c r="B339" s="1051" t="s">
        <v>2806</v>
      </c>
      <c r="C339" s="1052" t="s">
        <v>2784</v>
      </c>
      <c r="D339" s="1053" t="s">
        <v>2275</v>
      </c>
      <c r="E339" s="1054" t="s">
        <v>2473</v>
      </c>
      <c r="F339" s="1055" t="s">
        <v>2297</v>
      </c>
      <c r="G339" s="1054" t="s">
        <v>2278</v>
      </c>
      <c r="H339" s="1056" t="s">
        <v>2721</v>
      </c>
      <c r="I339" s="1057" t="s">
        <v>2595</v>
      </c>
      <c r="J339" s="1058" t="s">
        <v>20292</v>
      </c>
      <c r="K339" s="749" t="str">
        <f>HYPERLINK("https://www.google.com/maps/search/Cacela+Velha+Ria+Formosa+Aldeias+Pescadores+Algarve/@37.16,-7.535,14z","🥾 PR15 CTM — Cacela Velha — Contrabandistas")</f>
        <v>🥾 PR15 CTM — Cacela Velha — Contrabandistas</v>
      </c>
      <c r="L339" s="1060" t="s">
        <v>2779</v>
      </c>
    </row>
    <row r="340" spans="1:12" ht="15" customHeight="1" x14ac:dyDescent="0.35">
      <c r="A340" s="1070">
        <v>16</v>
      </c>
      <c r="B340" s="1061" t="s">
        <v>2807</v>
      </c>
      <c r="C340" s="1063" t="s">
        <v>2784</v>
      </c>
      <c r="D340" s="1064" t="s">
        <v>2296</v>
      </c>
      <c r="E340" s="1065" t="s">
        <v>2330</v>
      </c>
      <c r="F340" s="1073" t="s">
        <v>2297</v>
      </c>
      <c r="G340" s="1065" t="s">
        <v>2278</v>
      </c>
      <c r="H340" s="1067" t="s">
        <v>2808</v>
      </c>
      <c r="I340" s="1068" t="s">
        <v>2595</v>
      </c>
      <c r="J340" s="1069" t="s">
        <v>20293</v>
      </c>
      <c r="K340" s="1062" t="str">
        <f>HYPERLINK("https://www.google.com/maps/search/Ilha+da+Culatra+Ria+Formosa+Piscatoria/@37.01,-7.87,14z","🥾 PR16 FRM — Ilhas da Ria Formosa — Culatra")</f>
        <v>🥾 PR16 FRM — Ilhas da Ria Formosa — Culatra</v>
      </c>
      <c r="L340" s="1071" t="s">
        <v>2785</v>
      </c>
    </row>
    <row r="341" spans="1:12" ht="15" customHeight="1" x14ac:dyDescent="0.35">
      <c r="A341" s="1059">
        <v>17</v>
      </c>
      <c r="B341" s="1051" t="s">
        <v>2809</v>
      </c>
      <c r="C341" s="1052" t="s">
        <v>2781</v>
      </c>
      <c r="D341" s="1053" t="s">
        <v>2302</v>
      </c>
      <c r="E341" s="1054" t="s">
        <v>2284</v>
      </c>
      <c r="F341" s="1072" t="s">
        <v>2589</v>
      </c>
      <c r="G341" s="1054" t="s">
        <v>2278</v>
      </c>
      <c r="H341" s="1056" t="s">
        <v>2358</v>
      </c>
      <c r="I341" s="1057" t="s">
        <v>2611</v>
      </c>
      <c r="J341" s="1058" t="s">
        <v>20294</v>
      </c>
      <c r="K341" s="749" t="str">
        <f>HYPERLINK("https://www.google.com/maps/search/Monchique+Levadas+Historicas+Fetos+Arboreos+Serra/@37.315,-8.57,14z","🥾 PR17 MCQ — Monchique — Percurso das Levadas")</f>
        <v>🥾 PR17 MCQ — Monchique — Percurso das Levadas</v>
      </c>
      <c r="L341" s="1060" t="s">
        <v>2782</v>
      </c>
    </row>
    <row r="342" spans="1:12" ht="15" customHeight="1" x14ac:dyDescent="0.35">
      <c r="A342" s="1070">
        <v>18</v>
      </c>
      <c r="B342" s="1061" t="s">
        <v>2810</v>
      </c>
      <c r="C342" s="1063" t="s">
        <v>2789</v>
      </c>
      <c r="D342" s="1064" t="s">
        <v>2315</v>
      </c>
      <c r="E342" s="1065" t="s">
        <v>2369</v>
      </c>
      <c r="F342" s="1066" t="s">
        <v>2589</v>
      </c>
      <c r="G342" s="1065" t="s">
        <v>2278</v>
      </c>
      <c r="H342" s="1067" t="s">
        <v>2586</v>
      </c>
      <c r="I342" s="1068" t="s">
        <v>2604</v>
      </c>
      <c r="J342" s="1069" t="s">
        <v>20295</v>
      </c>
      <c r="K342" s="1062" t="str">
        <f>HYPERLINK("https://www.google.com/maps/search/Vila+do+Bispo+Raposeira+Sagres+Henrique+Navegador/@37.085,-8.9,14z","🥾 PR18 VBS — Vila do Bispo — Raposeira")</f>
        <v>🥾 PR18 VBS — Vila do Bispo — Raposeira</v>
      </c>
      <c r="L342" s="1071" t="s">
        <v>2779</v>
      </c>
    </row>
    <row r="343" spans="1:12" ht="15" customHeight="1" x14ac:dyDescent="0.35">
      <c r="A343" s="1059">
        <v>19</v>
      </c>
      <c r="B343" s="1051" t="s">
        <v>2811</v>
      </c>
      <c r="C343" s="1052" t="s">
        <v>2777</v>
      </c>
      <c r="D343" s="1053" t="s">
        <v>2296</v>
      </c>
      <c r="E343" s="1054" t="s">
        <v>2330</v>
      </c>
      <c r="F343" s="1055" t="s">
        <v>2297</v>
      </c>
      <c r="G343" s="1054" t="s">
        <v>2278</v>
      </c>
      <c r="H343" s="1056" t="s">
        <v>2725</v>
      </c>
      <c r="I343" s="1057" t="s">
        <v>2595</v>
      </c>
      <c r="J343" s="1058" t="s">
        <v>20296</v>
      </c>
      <c r="K343" s="749" t="str">
        <f>HYPERLINK("https://www.google.com/maps/search/Ruinas+Romanas+Cerro+da+Vila+Vilamoura+Mosaicos/@37.07,-8.1,14z","🥾 PR19 QTR — Quarteira — Vilamoura Romana")</f>
        <v>🥾 PR19 QTR — Quarteira — Vilamoura Romana</v>
      </c>
      <c r="L343" s="1060" t="s">
        <v>2779</v>
      </c>
    </row>
    <row r="344" spans="1:12" ht="15" customHeight="1" x14ac:dyDescent="0.35">
      <c r="A344" s="1070">
        <v>20</v>
      </c>
      <c r="B344" s="1061" t="s">
        <v>2812</v>
      </c>
      <c r="C344" s="1063" t="s">
        <v>2777</v>
      </c>
      <c r="D344" s="1064" t="s">
        <v>2283</v>
      </c>
      <c r="E344" s="1065" t="s">
        <v>2473</v>
      </c>
      <c r="F344" s="1066" t="s">
        <v>2589</v>
      </c>
      <c r="G344" s="1065" t="s">
        <v>2278</v>
      </c>
      <c r="H344" s="1067" t="s">
        <v>2778</v>
      </c>
      <c r="I344" s="1068" t="s">
        <v>2611</v>
      </c>
      <c r="J344" s="1069" t="s">
        <v>20297</v>
      </c>
      <c r="K344" s="1062" t="str">
        <f>HYPERLINK("https://www.google.com/maps/search/Algar+de+Benagil+Gruta+Cupula+Natural+Lagoa+Algarve/@37.087,-8.425,14z","🥾 PR20 LGA — Benagil — Gruta do Algar de Benagil")</f>
        <v>🥾 PR20 LGA — Benagil — Gruta do Algar de Benagil</v>
      </c>
      <c r="L344" s="1071" t="s">
        <v>2779</v>
      </c>
    </row>
    <row r="345" spans="1:12" ht="15" customHeight="1" x14ac:dyDescent="0.35">
      <c r="A345" s="1070">
        <v>21</v>
      </c>
      <c r="B345" s="1061" t="s">
        <v>20403</v>
      </c>
      <c r="C345" s="1063" t="s">
        <v>2789</v>
      </c>
      <c r="D345" s="1064" t="s">
        <v>20404</v>
      </c>
      <c r="E345" s="1065" t="s">
        <v>20405</v>
      </c>
      <c r="F345" s="1066" t="s">
        <v>2285</v>
      </c>
      <c r="G345" s="1065" t="s">
        <v>2278</v>
      </c>
      <c r="H345" s="1067" t="s">
        <v>20406</v>
      </c>
      <c r="I345" s="1068" t="s">
        <v>2595</v>
      </c>
      <c r="J345" s="1069" t="s">
        <v>20407</v>
      </c>
      <c r="K345" s="1159" t="str">
        <f>HYPERLINK("https://www.google.com/maps/search/Cerros+da+Carrapateira+Costa+Vicentina+Rota+Vicentina/@37.185,-8.904,14z","🥾 Cerros da Carrapateira")</f>
        <v>🥾 Cerros da Carrapateira</v>
      </c>
      <c r="L345" s="1071"/>
    </row>
    <row r="346" spans="1:12" ht="15" customHeight="1" x14ac:dyDescent="0.35">
      <c r="A346" s="1070">
        <v>22</v>
      </c>
      <c r="B346" s="1061" t="s">
        <v>20408</v>
      </c>
      <c r="C346" s="1063" t="s">
        <v>2789</v>
      </c>
      <c r="D346" s="1064" t="s">
        <v>20409</v>
      </c>
      <c r="E346" s="1065" t="s">
        <v>20410</v>
      </c>
      <c r="F346" s="1066" t="s">
        <v>2285</v>
      </c>
      <c r="G346" s="1065" t="s">
        <v>2278</v>
      </c>
      <c r="H346" s="1067" t="s">
        <v>20411</v>
      </c>
      <c r="I346" s="1068" t="s">
        <v>2595</v>
      </c>
      <c r="J346" s="1069" t="s">
        <v>20412</v>
      </c>
      <c r="K346" s="1062" t="str">
        <f>HYPERLINK("https://www.google.com/maps/search/Bordeira+Costa+Vicentina+Trilho+Rota+Vicentina/@37.196,-8.886,14z","🥾 Da Bordeira até ao Mar")</f>
        <v>🥾 Da Bordeira até ao Mar</v>
      </c>
      <c r="L346" s="1071"/>
    </row>
    <row r="347" spans="1:12" ht="15" customHeight="1" x14ac:dyDescent="0.35">
      <c r="A347" s="1070">
        <v>23</v>
      </c>
      <c r="B347" s="1061" t="s">
        <v>20413</v>
      </c>
      <c r="C347" s="1063" t="s">
        <v>2789</v>
      </c>
      <c r="D347" s="1064" t="s">
        <v>2340</v>
      </c>
      <c r="E347" s="1065" t="s">
        <v>2308</v>
      </c>
      <c r="F347" s="1066" t="s">
        <v>2285</v>
      </c>
      <c r="G347" s="1065" t="s">
        <v>2278</v>
      </c>
      <c r="H347" s="1067" t="s">
        <v>20414</v>
      </c>
      <c r="I347" s="1068" t="s">
        <v>2595</v>
      </c>
      <c r="J347" s="1069" t="s">
        <v>20415</v>
      </c>
      <c r="K347" s="1062" t="str">
        <f>HYPERLINK("https://www.google.com/maps/search/Samouqueira+Bordeira+Lagos+Escondidos+Costa+Vicentina/@37.196,-8.886,14z","🥾 Endiabrada e os Lagos Escondidos")</f>
        <v>🥾 Endiabrada e os Lagos Escondidos</v>
      </c>
      <c r="L347" s="1071"/>
    </row>
    <row r="348" spans="1:12" ht="15" customHeight="1" x14ac:dyDescent="0.35">
      <c r="A348" s="1070">
        <v>24</v>
      </c>
      <c r="B348" s="1061" t="s">
        <v>20416</v>
      </c>
      <c r="C348" s="1063" t="s">
        <v>2789</v>
      </c>
      <c r="D348" s="1064" t="s">
        <v>20417</v>
      </c>
      <c r="E348" s="1065" t="s">
        <v>20418</v>
      </c>
      <c r="F348" s="1066" t="s">
        <v>2297</v>
      </c>
      <c r="G348" s="1065" t="s">
        <v>2278</v>
      </c>
      <c r="H348" s="1067" t="s">
        <v>20419</v>
      </c>
      <c r="I348" s="1068" t="s">
        <v>2595</v>
      </c>
      <c r="J348" s="1069" t="s">
        <v>20420</v>
      </c>
      <c r="K348" s="1062" t="str">
        <f>HYPERLINK("https://www.google.com/maps/search/Castelo+de+Aljezur+Costa+Vicentina+Percurso/@37.316,-8.798,14z","🥾 Circuito Cultural e Ambiental de Aljezur")</f>
        <v>🥾 Circuito Cultural e Ambiental de Aljezur</v>
      </c>
      <c r="L348" s="1071"/>
    </row>
    <row r="349" spans="1:12" ht="15" customHeight="1" x14ac:dyDescent="0.35">
      <c r="A349" s="1070">
        <v>25</v>
      </c>
      <c r="B349" s="1061" t="s">
        <v>20421</v>
      </c>
      <c r="C349" s="1063" t="s">
        <v>2789</v>
      </c>
      <c r="D349" s="1064" t="s">
        <v>20422</v>
      </c>
      <c r="E349" s="1065" t="s">
        <v>20423</v>
      </c>
      <c r="F349" s="1066" t="s">
        <v>2297</v>
      </c>
      <c r="G349" s="1065" t="s">
        <v>2278</v>
      </c>
      <c r="H349" s="1067" t="s">
        <v>20424</v>
      </c>
      <c r="I349" s="1068" t="s">
        <v>2595</v>
      </c>
      <c r="J349" s="1069" t="s">
        <v>20425</v>
      </c>
      <c r="K349" s="1062" t="str">
        <f>HYPERLINK("https://www.google.com/maps/search/Praia+do+Castelejo+Vila+do+Bispo+Algarve/@37.103,-8.904,14z","🥾 Trilho Ambiental do Castelejo")</f>
        <v>🥾 Trilho Ambiental do Castelejo</v>
      </c>
      <c r="L349" s="1071"/>
    </row>
    <row r="350" spans="1:12" ht="15" customHeight="1" x14ac:dyDescent="0.35">
      <c r="A350" s="1070">
        <v>26</v>
      </c>
      <c r="B350" s="1061" t="s">
        <v>20426</v>
      </c>
      <c r="C350" s="1063" t="s">
        <v>2777</v>
      </c>
      <c r="D350" s="1064" t="s">
        <v>20427</v>
      </c>
      <c r="E350" s="1065" t="s">
        <v>2330</v>
      </c>
      <c r="F350" s="1066" t="s">
        <v>2297</v>
      </c>
      <c r="G350" s="1065" t="s">
        <v>2278</v>
      </c>
      <c r="H350" s="1067" t="s">
        <v>20428</v>
      </c>
      <c r="I350" s="1068" t="s">
        <v>2595</v>
      </c>
      <c r="J350" s="1069" t="s">
        <v>20429</v>
      </c>
      <c r="K350" s="1062" t="str">
        <f>HYPERLINK("https://www.google.com/maps/search/A+Rocha+Quinta+da+Rocha+Ria+de+Alvor+Portimao/@37.156,-8.606,14z","🥾 A Rocha Delicada")</f>
        <v>🥾 A Rocha Delicada</v>
      </c>
      <c r="L350" s="1071"/>
    </row>
    <row r="351" spans="1:12" ht="15" customHeight="1" x14ac:dyDescent="0.35">
      <c r="A351" s="1070">
        <v>27</v>
      </c>
      <c r="B351" s="1061" t="s">
        <v>20430</v>
      </c>
      <c r="C351" s="1063" t="s">
        <v>2777</v>
      </c>
      <c r="D351" s="1064" t="s">
        <v>20431</v>
      </c>
      <c r="E351" s="1065" t="s">
        <v>2473</v>
      </c>
      <c r="F351" s="1066" t="s">
        <v>2297</v>
      </c>
      <c r="G351" s="1065" t="s">
        <v>2278</v>
      </c>
      <c r="H351" s="1067" t="s">
        <v>20432</v>
      </c>
      <c r="I351" s="1068" t="s">
        <v>2595</v>
      </c>
      <c r="J351" s="1069" t="s">
        <v>20433</v>
      </c>
      <c r="K351" s="1062" t="str">
        <f>HYPERLINK("https://www.google.com/maps/search/Praia+de+Alvor+Ria+de+Alvor+Portimao+Passadico/@37.127,-8.582,14z","🥾 Ao Sabor da Maré")</f>
        <v>🥾 Ao Sabor da Maré</v>
      </c>
      <c r="L351" s="1071"/>
    </row>
    <row r="352" spans="1:12" ht="15" customHeight="1" x14ac:dyDescent="0.35">
      <c r="A352" s="1070">
        <v>28</v>
      </c>
      <c r="B352" s="1061" t="s">
        <v>20434</v>
      </c>
      <c r="C352" s="1063" t="s">
        <v>2777</v>
      </c>
      <c r="D352" s="1064" t="s">
        <v>20435</v>
      </c>
      <c r="E352" s="1065" t="s">
        <v>20436</v>
      </c>
      <c r="F352" s="1066" t="s">
        <v>2285</v>
      </c>
      <c r="G352" s="1065" t="s">
        <v>2270</v>
      </c>
      <c r="H352" s="1067" t="s">
        <v>20437</v>
      </c>
      <c r="I352" s="1068" t="s">
        <v>20438</v>
      </c>
      <c r="J352" s="1069" t="s">
        <v>20439</v>
      </c>
      <c r="K352" s="1062" t="str">
        <f>HYPERLINK("https://www.google.com/maps/search/Praia+do+Molhe+Ferragudo+Lagoa+Algarve+Caminho+Promotórios/@37.131,-8.513,14z","🥾 Caminho dos Promontórios")</f>
        <v>🥾 Caminho dos Promontórios</v>
      </c>
      <c r="L352" s="1071"/>
    </row>
    <row r="353" spans="1:12" ht="15" customHeight="1" x14ac:dyDescent="0.35">
      <c r="A353" s="1070">
        <v>29</v>
      </c>
      <c r="B353" s="1061" t="s">
        <v>20440</v>
      </c>
      <c r="C353" s="1063" t="s">
        <v>20441</v>
      </c>
      <c r="D353" s="1064" t="s">
        <v>20442</v>
      </c>
      <c r="E353" s="1065" t="s">
        <v>2473</v>
      </c>
      <c r="F353" s="1066" t="s">
        <v>2297</v>
      </c>
      <c r="G353" s="1065" t="s">
        <v>2270</v>
      </c>
      <c r="H353" s="1067" t="s">
        <v>20443</v>
      </c>
      <c r="I353" s="1068" t="s">
        <v>2595</v>
      </c>
      <c r="J353" s="1069" t="s">
        <v>20444</v>
      </c>
      <c r="K353" s="1062" t="str">
        <f>HYPERLINK("https://www.google.com/maps/search/Lagoa+dos+Salgados+Pera+Silves+Algarve+Ave/@37.117,-8.384,14z","🥾 Percurso de Interpretação da Praia Grande")</f>
        <v>🥾 Percurso de Interpretação da Praia Grande</v>
      </c>
      <c r="L353" s="1071"/>
    </row>
    <row r="354" spans="1:12" ht="15" customHeight="1" x14ac:dyDescent="0.35">
      <c r="A354" s="1070">
        <v>30</v>
      </c>
      <c r="B354" s="1061" t="s">
        <v>20445</v>
      </c>
      <c r="C354" s="1063" t="s">
        <v>20441</v>
      </c>
      <c r="D354" s="1064" t="s">
        <v>20446</v>
      </c>
      <c r="E354" s="1065" t="s">
        <v>2869</v>
      </c>
      <c r="F354" s="1066" t="s">
        <v>2297</v>
      </c>
      <c r="G354" s="1065" t="s">
        <v>2270</v>
      </c>
      <c r="H354" s="1067" t="s">
        <v>20447</v>
      </c>
      <c r="I354" s="1068" t="s">
        <v>2595</v>
      </c>
      <c r="J354" s="1069" t="s">
        <v>20448</v>
      </c>
      <c r="K354" s="1062" t="str">
        <f>HYPERLINK("https://www.google.com/maps/search/Quinta+do+Lago+Trilho+Sao+Lourenco+Ria+Formosa/@37.025,-8.016,14z","🥾 Trilho de São Lourenço")</f>
        <v>🥾 Trilho de São Lourenço</v>
      </c>
      <c r="L354" s="1071"/>
    </row>
    <row r="355" spans="1:12" ht="15" customHeight="1" x14ac:dyDescent="0.35">
      <c r="A355" s="1070">
        <v>31</v>
      </c>
      <c r="B355" s="1061" t="s">
        <v>20449</v>
      </c>
      <c r="C355" s="1063" t="s">
        <v>20441</v>
      </c>
      <c r="D355" s="1064" t="s">
        <v>20450</v>
      </c>
      <c r="E355" s="1065" t="s">
        <v>20451</v>
      </c>
      <c r="F355" s="1066" t="s">
        <v>2297</v>
      </c>
      <c r="G355" s="1065" t="s">
        <v>2270</v>
      </c>
      <c r="H355" s="1067" t="s">
        <v>20452</v>
      </c>
      <c r="I355" s="1068" t="s">
        <v>2595</v>
      </c>
      <c r="J355" s="1069" t="s">
        <v>20453</v>
      </c>
      <c r="K355" s="1062" t="str">
        <f>HYPERLINK("https://www.google.com/maps/search/Ludo+Ria+Formosa+Faro+Trilho+Pedestre/@37.04,-7.99,14z","🥾 Percursos do Ludo")</f>
        <v>🥾 Percursos do Ludo</v>
      </c>
      <c r="L355" s="1071"/>
    </row>
    <row r="356" spans="1:12" ht="15" customHeight="1" x14ac:dyDescent="0.35">
      <c r="A356" s="1070">
        <v>32</v>
      </c>
      <c r="B356" s="1061" t="s">
        <v>20454</v>
      </c>
      <c r="C356" s="1063" t="s">
        <v>2784</v>
      </c>
      <c r="D356" s="1064" t="s">
        <v>20455</v>
      </c>
      <c r="E356" s="1065" t="s">
        <v>2473</v>
      </c>
      <c r="F356" s="1066" t="s">
        <v>2297</v>
      </c>
      <c r="G356" s="1065" t="s">
        <v>2270</v>
      </c>
      <c r="H356" s="1067" t="s">
        <v>20456</v>
      </c>
      <c r="I356" s="1068" t="s">
        <v>2595</v>
      </c>
      <c r="J356" s="1069" t="s">
        <v>20457</v>
      </c>
      <c r="K356" s="1062" t="str">
        <f>HYPERLINK("https://www.google.com/maps/search/Praia+do+Barril+Pedras+El+Rei+Tavira+Cemiterio+Ancoras/@37.1,-7.65,14z","🥾 Trilho da Praia do Barril")</f>
        <v>🥾 Trilho da Praia do Barril</v>
      </c>
      <c r="L356" s="1071"/>
    </row>
    <row r="357" spans="1:12" ht="15" customHeight="1" x14ac:dyDescent="0.35">
      <c r="A357" s="1070">
        <v>33</v>
      </c>
      <c r="B357" s="1061" t="s">
        <v>20458</v>
      </c>
      <c r="C357" s="1063" t="s">
        <v>20441</v>
      </c>
      <c r="D357" s="1064" t="s">
        <v>20459</v>
      </c>
      <c r="E357" s="1065" t="s">
        <v>20423</v>
      </c>
      <c r="F357" s="1066" t="s">
        <v>2297</v>
      </c>
      <c r="G357" s="1065" t="s">
        <v>2278</v>
      </c>
      <c r="H357" s="1067" t="s">
        <v>20432</v>
      </c>
      <c r="I357" s="1068" t="s">
        <v>2595</v>
      </c>
      <c r="J357" s="1069" t="s">
        <v>20460</v>
      </c>
      <c r="K357" s="1062" t="str">
        <f>HYPERLINK("https://www.google.com/maps/search/Parque+Municipal+Sitio+das+Fontes+Estombar+Lagoa/@37.19,-8.465,14z","🥾 Percurso do Parque Municipal do Sítio das Fontes")</f>
        <v>🥾 Percurso do Parque Municipal do Sítio das Fontes</v>
      </c>
      <c r="L357" s="1071"/>
    </row>
    <row r="358" spans="1:12" ht="15" customHeight="1" x14ac:dyDescent="0.35">
      <c r="A358" s="1070">
        <v>34</v>
      </c>
      <c r="B358" s="1061" t="s">
        <v>20461</v>
      </c>
      <c r="C358" s="1063" t="s">
        <v>2787</v>
      </c>
      <c r="D358" s="1064" t="s">
        <v>20442</v>
      </c>
      <c r="E358" s="1065" t="s">
        <v>2473</v>
      </c>
      <c r="F358" s="1066" t="s">
        <v>2297</v>
      </c>
      <c r="G358" s="1065" t="s">
        <v>2278</v>
      </c>
      <c r="H358" s="1067" t="s">
        <v>20462</v>
      </c>
      <c r="I358" s="1068" t="s">
        <v>20438</v>
      </c>
      <c r="J358" s="1069" t="s">
        <v>20463</v>
      </c>
      <c r="K358" s="1062" t="str">
        <f>HYPERLINK("https://www.google.com/maps/search/Tor+Ribeira+do+Algibre+Loule+Barrocal+Algarve/@37.205,-8.092,14z","🥾 Percurso da Tôr")</f>
        <v>🥾 Percurso da Tôr</v>
      </c>
      <c r="L358" s="1071"/>
    </row>
    <row r="359" spans="1:12" ht="15" customHeight="1" x14ac:dyDescent="0.35">
      <c r="A359" s="1070">
        <v>35</v>
      </c>
      <c r="B359" s="1061" t="s">
        <v>20464</v>
      </c>
      <c r="C359" s="1063" t="s">
        <v>2787</v>
      </c>
      <c r="D359" s="1064" t="s">
        <v>20450</v>
      </c>
      <c r="E359" s="1065" t="s">
        <v>2284</v>
      </c>
      <c r="F359" s="1066" t="s">
        <v>2285</v>
      </c>
      <c r="G359" s="1065" t="s">
        <v>2278</v>
      </c>
      <c r="H359" s="1067" t="s">
        <v>20465</v>
      </c>
      <c r="I359" s="1068" t="s">
        <v>20438</v>
      </c>
      <c r="J359" s="1069" t="s">
        <v>20466</v>
      </c>
      <c r="K359" s="1062" t="str">
        <f>HYPERLINK("https://www.google.com/maps/search/Fonte+da+Mesquita+Sao+Bras+de+Alportel+Barrocal/@37.153,-7.888,14z","🥾 Caminhos e Encruzilhadas de ir à Fonte")</f>
        <v>🥾 Caminhos e Encruzilhadas de ir à Fonte</v>
      </c>
      <c r="L359" s="1071"/>
    </row>
    <row r="360" spans="1:12" ht="15" customHeight="1" x14ac:dyDescent="0.35">
      <c r="A360" s="1070">
        <v>36</v>
      </c>
      <c r="B360" s="1061" t="s">
        <v>20467</v>
      </c>
      <c r="C360" s="1063" t="s">
        <v>2697</v>
      </c>
      <c r="D360" s="1064" t="s">
        <v>20468</v>
      </c>
      <c r="E360" s="1065" t="s">
        <v>2308</v>
      </c>
      <c r="F360" s="1066" t="s">
        <v>2269</v>
      </c>
      <c r="G360" s="1065" t="s">
        <v>2278</v>
      </c>
      <c r="H360" s="1067" t="s">
        <v>20469</v>
      </c>
      <c r="I360" s="1068" t="s">
        <v>20438</v>
      </c>
      <c r="J360" s="1069" t="s">
        <v>20470</v>
      </c>
      <c r="K360" s="1062" t="str">
        <f>HYPERLINK("https://www.google.com/maps/search/Cascatas+de+Monchique+Serra+Trilho+Pedestre/@37.315,-8.57,14z","🥾 Trilho das Cascatas")</f>
        <v>🥾 Trilho das Cascatas</v>
      </c>
      <c r="L360" s="1071"/>
    </row>
    <row r="361" spans="1:12" ht="15" customHeight="1" x14ac:dyDescent="0.35">
      <c r="A361" s="1070">
        <v>37</v>
      </c>
      <c r="B361" s="1061" t="s">
        <v>20471</v>
      </c>
      <c r="C361" s="1063" t="s">
        <v>2697</v>
      </c>
      <c r="D361" s="1064" t="s">
        <v>20472</v>
      </c>
      <c r="E361" s="1065" t="s">
        <v>2284</v>
      </c>
      <c r="F361" s="1066" t="s">
        <v>2285</v>
      </c>
      <c r="G361" s="1065" t="s">
        <v>2278</v>
      </c>
      <c r="H361" s="1067" t="s">
        <v>20473</v>
      </c>
      <c r="I361" s="1068" t="s">
        <v>2595</v>
      </c>
      <c r="J361" s="1069" t="s">
        <v>20474</v>
      </c>
      <c r="K361" s="1062" t="str">
        <f>HYPERLINK("https://www.google.com/maps/search/Monchique+Trilho+dos+Moinhos+Barranco+Pisoes/@37.32,-8.575,14z","🥾 Trilho dos Moinhos")</f>
        <v>🥾 Trilho dos Moinhos</v>
      </c>
      <c r="L361" s="1071"/>
    </row>
    <row r="362" spans="1:12" ht="15" customHeight="1" x14ac:dyDescent="0.35">
      <c r="A362" s="1070">
        <v>38</v>
      </c>
      <c r="B362" s="1061" t="s">
        <v>20475</v>
      </c>
      <c r="C362" s="1063" t="s">
        <v>12708</v>
      </c>
      <c r="D362" s="1064" t="s">
        <v>2296</v>
      </c>
      <c r="E362" s="1065" t="s">
        <v>2330</v>
      </c>
      <c r="F362" s="1066" t="s">
        <v>2285</v>
      </c>
      <c r="G362" s="1065" t="s">
        <v>2278</v>
      </c>
      <c r="H362" s="1067" t="s">
        <v>20476</v>
      </c>
      <c r="I362" s="1068" t="s">
        <v>20438</v>
      </c>
      <c r="J362" s="1069" t="s">
        <v>20477</v>
      </c>
      <c r="K362" s="1062" t="str">
        <f>HYPERLINK("https://www.google.com/maps/search/Sao+Marcos+da+Serra+Ribeira+de+Odelouca+Silves/@37.52,-8.33,14z","🥾 Percurso do Lagoão")</f>
        <v>🥾 Percurso do Lagoão</v>
      </c>
      <c r="L362" s="1071"/>
    </row>
    <row r="363" spans="1:12" ht="15" customHeight="1" x14ac:dyDescent="0.35">
      <c r="A363" s="1070">
        <v>39</v>
      </c>
      <c r="B363" s="1061" t="s">
        <v>20478</v>
      </c>
      <c r="C363" s="1063" t="s">
        <v>12708</v>
      </c>
      <c r="D363" s="1064" t="s">
        <v>2283</v>
      </c>
      <c r="E363" s="1065" t="s">
        <v>2330</v>
      </c>
      <c r="F363" s="1066" t="s">
        <v>2285</v>
      </c>
      <c r="G363" s="1065" t="s">
        <v>2278</v>
      </c>
      <c r="H363" s="1067" t="s">
        <v>20479</v>
      </c>
      <c r="I363" s="1068" t="s">
        <v>2595</v>
      </c>
      <c r="J363" s="1069" t="s">
        <v>20480</v>
      </c>
      <c r="K363" s="1062" t="str">
        <f>HYPERLINK("https://www.google.com/maps/search/Vale+Fuzeiros+Vilarinha+Sao+Bartolomeu+de+Messines+Silves/@37.257,-8.33,14z","🥾 Circuito Arqueológico da Vilarinha – Vale Fuzeiros")</f>
        <v>🥾 Circuito Arqueológico da Vilarinha – Vale Fuzeiros</v>
      </c>
      <c r="L363" s="1071"/>
    </row>
    <row r="364" spans="1:12" ht="15" customHeight="1" x14ac:dyDescent="0.35">
      <c r="A364" s="1070">
        <v>40</v>
      </c>
      <c r="B364" s="1061" t="s">
        <v>20481</v>
      </c>
      <c r="C364" s="1063" t="s">
        <v>12708</v>
      </c>
      <c r="D364" s="1064" t="s">
        <v>20482</v>
      </c>
      <c r="E364" s="1065" t="s">
        <v>2473</v>
      </c>
      <c r="F364" s="1066" t="s">
        <v>2297</v>
      </c>
      <c r="G364" s="1065" t="s">
        <v>2278</v>
      </c>
      <c r="H364" s="1067" t="s">
        <v>20483</v>
      </c>
      <c r="I364" s="1068" t="s">
        <v>2595</v>
      </c>
      <c r="J364" s="1069" t="s">
        <v>20484</v>
      </c>
      <c r="K364" s="1062" t="str">
        <f>HYPERLINK("https://www.google.com/maps/search/Ameixial+Aldeia+Serra+Loule+Algarve/@37.267,-7.962,14z","🥾 Percurso Pedestre Ameixial")</f>
        <v>🥾 Percurso Pedestre Ameixial</v>
      </c>
      <c r="L364" s="1071"/>
    </row>
    <row r="365" spans="1:12" ht="15" customHeight="1" x14ac:dyDescent="0.35">
      <c r="A365" s="1070">
        <v>41</v>
      </c>
      <c r="B365" s="1061" t="s">
        <v>20485</v>
      </c>
      <c r="C365" s="1063" t="s">
        <v>12708</v>
      </c>
      <c r="D365" s="1064" t="s">
        <v>2378</v>
      </c>
      <c r="E365" s="1065" t="s">
        <v>20486</v>
      </c>
      <c r="F365" s="1066" t="s">
        <v>2285</v>
      </c>
      <c r="G365" s="1065" t="s">
        <v>2278</v>
      </c>
      <c r="H365" s="1067" t="s">
        <v>20487</v>
      </c>
      <c r="I365" s="1068" t="s">
        <v>20438</v>
      </c>
      <c r="J365" s="1069" t="s">
        <v>20488</v>
      </c>
      <c r="K365" s="1062" t="str">
        <f>HYPERLINK("https://www.google.com/maps/search/Revezes+Ameixial+Ribeira+Vascao+Loule+Serra/@37.245,-7.93,14z","🥾 Percurso Pedestre Revezes")</f>
        <v>🥾 Percurso Pedestre Revezes</v>
      </c>
      <c r="L365" s="1071"/>
    </row>
    <row r="366" spans="1:12" ht="15" customHeight="1" x14ac:dyDescent="0.35">
      <c r="A366" s="1070">
        <v>42</v>
      </c>
      <c r="B366" s="1061" t="s">
        <v>20489</v>
      </c>
      <c r="C366" s="1063" t="s">
        <v>12708</v>
      </c>
      <c r="D366" s="1064" t="s">
        <v>20490</v>
      </c>
      <c r="E366" s="1065" t="s">
        <v>20486</v>
      </c>
      <c r="F366" s="1066" t="s">
        <v>2285</v>
      </c>
      <c r="G366" s="1065" t="s">
        <v>2278</v>
      </c>
      <c r="H366" s="1067" t="s">
        <v>20491</v>
      </c>
      <c r="I366" s="1068" t="s">
        <v>20438</v>
      </c>
      <c r="J366" s="1069" t="s">
        <v>20492</v>
      </c>
      <c r="K366" s="1062" t="str">
        <f>HYPERLINK("https://www.google.com/maps/search/Alportel+Ribeira+do+Alportel+Sao+Bras+de+Alportel/@37.175,-7.86,14z","🥾 Trilho da Ribeira de Alportel")</f>
        <v>🥾 Trilho da Ribeira de Alportel</v>
      </c>
      <c r="L366" s="1071"/>
    </row>
    <row r="367" spans="1:12" ht="15" customHeight="1" x14ac:dyDescent="0.35">
      <c r="A367" s="1070">
        <v>43</v>
      </c>
      <c r="B367" s="1061" t="s">
        <v>20493</v>
      </c>
      <c r="C367" s="1063" t="s">
        <v>852</v>
      </c>
      <c r="D367" s="1064" t="s">
        <v>2335</v>
      </c>
      <c r="E367" s="1065" t="s">
        <v>2308</v>
      </c>
      <c r="F367" s="1066" t="s">
        <v>2285</v>
      </c>
      <c r="G367" s="1065" t="s">
        <v>2278</v>
      </c>
      <c r="H367" s="1067" t="s">
        <v>20494</v>
      </c>
      <c r="I367" s="1068" t="s">
        <v>20438</v>
      </c>
      <c r="J367" s="1069" t="s">
        <v>20495</v>
      </c>
      <c r="K367" s="1062" t="str">
        <f>HYPERLINK("https://www.google.com/maps/search/Martim+Longo+Alcoutim+Guadiana+Trilho+Pedestre/@37.407,-7.632,14z","🥾 Memória Viva")</f>
        <v>🥾 Memória Viva</v>
      </c>
      <c r="L367" s="1071"/>
    </row>
    <row r="368" spans="1:12" ht="15" customHeight="1" x14ac:dyDescent="0.35">
      <c r="A368" s="1070">
        <v>44</v>
      </c>
      <c r="B368" s="1061" t="s">
        <v>20496</v>
      </c>
      <c r="C368" s="1063" t="s">
        <v>852</v>
      </c>
      <c r="D368" s="1064" t="s">
        <v>20497</v>
      </c>
      <c r="E368" s="1065" t="s">
        <v>2291</v>
      </c>
      <c r="F368" s="1066" t="s">
        <v>2285</v>
      </c>
      <c r="G368" s="1065" t="s">
        <v>2278</v>
      </c>
      <c r="H368" s="1067" t="s">
        <v>20498</v>
      </c>
      <c r="I368" s="1068" t="s">
        <v>20438</v>
      </c>
      <c r="J368" s="1069" t="s">
        <v>20499</v>
      </c>
      <c r="K368" s="1062" t="str">
        <f>HYPERLINK("https://www.google.com/maps/search/Vaqueiros+Alcoutim+Ribeira+Foupana+Via+Algarviana/@37.347,-7.732,14z","🥾 Cerro acima, cerro abaixo")</f>
        <v>🥾 Cerro acima, cerro abaixo</v>
      </c>
      <c r="L368" s="1071"/>
    </row>
    <row r="369" spans="1:12" ht="15" customHeight="1" x14ac:dyDescent="0.35">
      <c r="A369" s="1070">
        <v>45</v>
      </c>
      <c r="B369" s="1061" t="s">
        <v>20500</v>
      </c>
      <c r="C369" s="1063" t="s">
        <v>852</v>
      </c>
      <c r="D369" s="1064" t="s">
        <v>2311</v>
      </c>
      <c r="E369" s="1065" t="s">
        <v>2291</v>
      </c>
      <c r="F369" s="1066" t="s">
        <v>2285</v>
      </c>
      <c r="G369" s="1065" t="s">
        <v>2278</v>
      </c>
      <c r="H369" s="1067" t="s">
        <v>20501</v>
      </c>
      <c r="I369" s="1068" t="s">
        <v>20438</v>
      </c>
      <c r="J369" s="1069" t="s">
        <v>20502</v>
      </c>
      <c r="K369" s="1062" t="str">
        <f>HYPERLINK("https://www.google.com/maps/search/Mata+Nacional+Terras+da+Ordem+Odeleite+Castro+Marim/@37.278,-7.527,14z","🥾 Terras da Ordem")</f>
        <v>🥾 Terras da Ordem</v>
      </c>
      <c r="L369" s="1071"/>
    </row>
    <row r="370" spans="1:12" ht="15" customHeight="1" x14ac:dyDescent="0.35">
      <c r="A370" s="1070">
        <v>46</v>
      </c>
      <c r="B370" s="1061" t="s">
        <v>20503</v>
      </c>
      <c r="C370" s="1063" t="s">
        <v>2784</v>
      </c>
      <c r="D370" s="1064" t="s">
        <v>20504</v>
      </c>
      <c r="E370" s="1065" t="s">
        <v>2473</v>
      </c>
      <c r="F370" s="1066" t="s">
        <v>2297</v>
      </c>
      <c r="G370" s="1065" t="s">
        <v>2270</v>
      </c>
      <c r="H370" s="1067" t="s">
        <v>20505</v>
      </c>
      <c r="I370" s="1068" t="s">
        <v>2595</v>
      </c>
      <c r="J370" s="1069" t="s">
        <v>20506</v>
      </c>
      <c r="K370" s="1062" t="str">
        <f>HYPERLINK("https://www.google.com/maps/search/Reserva+Natural+Sapal+Castro+Marim+Vila+Real+Santo+Antonio/@37.226,-7.449,14z","🥾 Sapal de Venta Moinhos")</f>
        <v>🥾 Sapal de Venta Moinhos</v>
      </c>
      <c r="L370" s="1071"/>
    </row>
    <row r="371" spans="1:12" ht="15" customHeight="1" x14ac:dyDescent="0.35">
      <c r="A371" s="1070">
        <v>47</v>
      </c>
      <c r="B371" s="1061" t="s">
        <v>20507</v>
      </c>
      <c r="C371" s="1063" t="s">
        <v>2784</v>
      </c>
      <c r="D371" s="1064" t="s">
        <v>16580</v>
      </c>
      <c r="E371" s="1065" t="s">
        <v>20423</v>
      </c>
      <c r="F371" s="1066" t="s">
        <v>2297</v>
      </c>
      <c r="G371" s="1065" t="s">
        <v>2278</v>
      </c>
      <c r="H371" s="1067" t="s">
        <v>20508</v>
      </c>
      <c r="I371" s="1068" t="s">
        <v>2595</v>
      </c>
      <c r="J371" s="1069" t="s">
        <v>20509</v>
      </c>
      <c r="K371" s="1062" t="str">
        <f>HYPERLINK("https://www.google.com/maps/search/Vila+Real+de+Santo+Antonio+Cidade+Pombalina+Passeio+Ribeirinho/@37.195,-7.41,14z","🥾 Passeio Pombalino")</f>
        <v>🥾 Passeio Pombalino</v>
      </c>
      <c r="L371" s="1071"/>
    </row>
    <row r="372" spans="1:12" ht="20" customHeight="1" x14ac:dyDescent="0.45">
      <c r="A372" s="1455" t="s">
        <v>2813</v>
      </c>
      <c r="B372" s="1456"/>
      <c r="C372" s="1457"/>
      <c r="D372" s="1457"/>
      <c r="E372" s="1457"/>
      <c r="F372" s="1457"/>
      <c r="G372" s="1457"/>
      <c r="H372" s="1457"/>
      <c r="I372" s="1457"/>
      <c r="J372" s="1458"/>
      <c r="K372" s="1459"/>
      <c r="L372" s="1460"/>
    </row>
    <row r="373" spans="1:12" ht="15" customHeight="1" x14ac:dyDescent="0.35">
      <c r="A373" s="1083">
        <v>1</v>
      </c>
      <c r="B373" s="1075" t="s">
        <v>2814</v>
      </c>
      <c r="C373" s="1076" t="s">
        <v>2815</v>
      </c>
      <c r="D373" s="1077" t="s">
        <v>2311</v>
      </c>
      <c r="E373" s="1078" t="s">
        <v>2291</v>
      </c>
      <c r="F373" s="1079" t="s">
        <v>2589</v>
      </c>
      <c r="G373" s="1078" t="s">
        <v>2278</v>
      </c>
      <c r="H373" s="1080" t="s">
        <v>2816</v>
      </c>
      <c r="I373" s="1081" t="s">
        <v>2817</v>
      </c>
      <c r="J373" s="1082" t="s">
        <v>20298</v>
      </c>
      <c r="K373" s="750" t="str">
        <f>HYPERLINK("https://www.google.com/maps/search/Sete+Cidades+Lagoa+Azul+Verde+Sao+Miguel+Acores/@37.858,-25.785,14z","🥾 PR1 — Sete Cidades — Lagoa Azul e Verde")</f>
        <v>🥾 PR1 — Sete Cidades — Lagoa Azul e Verde</v>
      </c>
      <c r="L373" s="1084" t="s">
        <v>2818</v>
      </c>
    </row>
    <row r="374" spans="1:12" ht="15" customHeight="1" x14ac:dyDescent="0.35">
      <c r="A374" s="1092">
        <v>2</v>
      </c>
      <c r="B374" s="1085" t="s">
        <v>2819</v>
      </c>
      <c r="C374" s="1086" t="s">
        <v>2815</v>
      </c>
      <c r="D374" s="1087" t="s">
        <v>2275</v>
      </c>
      <c r="E374" s="1088" t="s">
        <v>2284</v>
      </c>
      <c r="F374" s="1092" t="s">
        <v>2589</v>
      </c>
      <c r="G374" s="1088" t="s">
        <v>2278</v>
      </c>
      <c r="H374" s="1089" t="s">
        <v>2820</v>
      </c>
      <c r="I374" s="1090" t="s">
        <v>2595</v>
      </c>
      <c r="J374" s="1091" t="s">
        <v>20299</v>
      </c>
      <c r="K374" s="751" t="str">
        <f>HYPERLINK("https://www.google.com/maps/search/Lagoa+do+Fogo+Sao+Miguel+Acores+Caldeira/@37.743,-25.468,14z","🥾 PR2 — Lagoa do Fogo")</f>
        <v>🥾 PR2 — Lagoa do Fogo</v>
      </c>
      <c r="L374" s="1093" t="s">
        <v>2821</v>
      </c>
    </row>
    <row r="375" spans="1:12" ht="15" customHeight="1" x14ac:dyDescent="0.35">
      <c r="A375" s="1083">
        <v>3</v>
      </c>
      <c r="B375" s="1075" t="s">
        <v>2822</v>
      </c>
      <c r="C375" s="1076" t="s">
        <v>2823</v>
      </c>
      <c r="D375" s="1077" t="s">
        <v>2296</v>
      </c>
      <c r="E375" s="1078" t="s">
        <v>2284</v>
      </c>
      <c r="F375" s="1079" t="s">
        <v>2589</v>
      </c>
      <c r="G375" s="1078" t="s">
        <v>2278</v>
      </c>
      <c r="H375" s="1080" t="s">
        <v>2824</v>
      </c>
      <c r="I375" s="1081" t="s">
        <v>2825</v>
      </c>
      <c r="J375" s="1082" t="s">
        <v>20300</v>
      </c>
      <c r="K375" s="750" t="str">
        <f>HYPERLINK("https://www.google.com/maps/search/Caldeira+do+Faial+Acores+Flora+Endemica/@38.57,-28.718,14z","🥾 PR3 — Caldeira do Faial")</f>
        <v>🥾 PR3 — Caldeira do Faial</v>
      </c>
      <c r="L375" s="1084" t="s">
        <v>2826</v>
      </c>
    </row>
    <row r="376" spans="1:12" ht="15" customHeight="1" x14ac:dyDescent="0.35">
      <c r="A376" s="1092">
        <v>4</v>
      </c>
      <c r="B376" s="1085" t="s">
        <v>2827</v>
      </c>
      <c r="C376" s="1086" t="s">
        <v>2828</v>
      </c>
      <c r="D376" s="1087" t="s">
        <v>2378</v>
      </c>
      <c r="E376" s="1088" t="s">
        <v>2667</v>
      </c>
      <c r="F376" s="1092" t="s">
        <v>2829</v>
      </c>
      <c r="G376" s="1088" t="s">
        <v>2270</v>
      </c>
      <c r="H376" s="1089" t="s">
        <v>2830</v>
      </c>
      <c r="I376" s="1090" t="s">
        <v>2831</v>
      </c>
      <c r="J376" s="1091" t="s">
        <v>20301</v>
      </c>
      <c r="K376" s="751" t="str">
        <f>HYPERLINK("https://www.google.com/maps/search/Montanha+do+Pico+2351m+Mais+Alto+Portugal+Acores/@38.47,-28.4,14z","🥾 PR4 — Pico — Montanha do Pico")</f>
        <v>🥾 PR4 — Pico — Montanha do Pico</v>
      </c>
      <c r="L376" s="1093" t="s">
        <v>2252</v>
      </c>
    </row>
    <row r="377" spans="1:12" ht="15" customHeight="1" x14ac:dyDescent="0.35">
      <c r="A377" s="1083">
        <v>5</v>
      </c>
      <c r="B377" s="1075" t="s">
        <v>2832</v>
      </c>
      <c r="C377" s="1076" t="s">
        <v>2833</v>
      </c>
      <c r="D377" s="1077" t="s">
        <v>2302</v>
      </c>
      <c r="E377" s="1078" t="s">
        <v>2369</v>
      </c>
      <c r="F377" s="1079" t="s">
        <v>2589</v>
      </c>
      <c r="G377" s="1078" t="s">
        <v>2278</v>
      </c>
      <c r="H377" s="1080" t="s">
        <v>2834</v>
      </c>
      <c r="I377" s="1081" t="s">
        <v>2825</v>
      </c>
      <c r="J377" s="1082" t="s">
        <v>20302</v>
      </c>
      <c r="K377" s="750" t="str">
        <f>HYPERLINK("https://www.google.com/maps/search/Poco+da+Alagoinha+Flores+Acores+Cascatas/@39.45,-31.185,14z","🥾 PR5 — Flores — Poço da Alagoinha")</f>
        <v>🥾 PR5 — Flores — Poço da Alagoinha</v>
      </c>
      <c r="L377" s="1084" t="s">
        <v>2835</v>
      </c>
    </row>
    <row r="378" spans="1:12" ht="15" customHeight="1" x14ac:dyDescent="0.35">
      <c r="A378" s="1092">
        <v>6</v>
      </c>
      <c r="B378" s="1085" t="s">
        <v>2836</v>
      </c>
      <c r="C378" s="1086" t="s">
        <v>2837</v>
      </c>
      <c r="D378" s="1087" t="s">
        <v>2315</v>
      </c>
      <c r="E378" s="1088" t="s">
        <v>2369</v>
      </c>
      <c r="F378" s="1094" t="s">
        <v>2297</v>
      </c>
      <c r="G378" s="1088" t="s">
        <v>2278</v>
      </c>
      <c r="H378" s="1089" t="s">
        <v>2838</v>
      </c>
      <c r="I378" s="1090" t="s">
        <v>2595</v>
      </c>
      <c r="J378" s="1091" t="s">
        <v>20303</v>
      </c>
      <c r="K378" s="751" t="str">
        <f>HYPERLINK("https://www.google.com/maps/search/Graciosa+Serra+Branca+Moinhos+Vento+Acores/@39.055,-28,14z","🥾 PR6 — Graciosa — Serra Branca")</f>
        <v>🥾 PR6 — Graciosa — Serra Branca</v>
      </c>
      <c r="L378" s="1093" t="s">
        <v>2839</v>
      </c>
    </row>
    <row r="379" spans="1:12" ht="15" customHeight="1" x14ac:dyDescent="0.35">
      <c r="A379" s="1083">
        <v>7</v>
      </c>
      <c r="B379" s="1075" t="s">
        <v>2840</v>
      </c>
      <c r="C379" s="1076" t="s">
        <v>2841</v>
      </c>
      <c r="D379" s="1077" t="s">
        <v>2290</v>
      </c>
      <c r="E379" s="1078" t="s">
        <v>2291</v>
      </c>
      <c r="F379" s="1079" t="s">
        <v>2589</v>
      </c>
      <c r="G379" s="1078" t="s">
        <v>2278</v>
      </c>
      <c r="H379" s="1080" t="s">
        <v>2842</v>
      </c>
      <c r="I379" s="1081" t="s">
        <v>2825</v>
      </c>
      <c r="J379" s="1082" t="s">
        <v>20304</v>
      </c>
      <c r="K379" s="750" t="str">
        <f>HYPERLINK("https://www.google.com/maps/search/Serra+Santa+Barbara+Terceira+Acores+Priolo/@38.72,-27.295,14z","🥾 PR7 — Terceira — Serra de Santa Bárbara")</f>
        <v>🥾 PR7 — Terceira — Serra de Santa Bárbara</v>
      </c>
      <c r="L379" s="1084" t="s">
        <v>2481</v>
      </c>
    </row>
    <row r="380" spans="1:12" ht="15" customHeight="1" x14ac:dyDescent="0.35">
      <c r="A380" s="1092">
        <v>8</v>
      </c>
      <c r="B380" s="1085" t="s">
        <v>2843</v>
      </c>
      <c r="C380" s="1086" t="s">
        <v>2844</v>
      </c>
      <c r="D380" s="1087" t="s">
        <v>2845</v>
      </c>
      <c r="E380" s="1088" t="s">
        <v>2473</v>
      </c>
      <c r="F380" s="1092" t="s">
        <v>2589</v>
      </c>
      <c r="G380" s="1088" t="s">
        <v>2278</v>
      </c>
      <c r="H380" s="1089" t="s">
        <v>2846</v>
      </c>
      <c r="I380" s="1090" t="s">
        <v>2825</v>
      </c>
      <c r="J380" s="1091" t="s">
        <v>20305</v>
      </c>
      <c r="K380" s="751" t="str">
        <f>HYPERLINK("https://www.google.com/maps/search/Caldeirao+Corvo+Acores+Menor+Ilha/@39.705,-31.1,14z","🥾 PR8 — Corvo — Caldeião")</f>
        <v>🥾 PR8 — Corvo — Caldeião</v>
      </c>
      <c r="L380" s="1093" t="s">
        <v>2429</v>
      </c>
    </row>
    <row r="381" spans="1:12" ht="15" customHeight="1" x14ac:dyDescent="0.35">
      <c r="A381" s="1083">
        <v>9</v>
      </c>
      <c r="B381" s="1075" t="s">
        <v>2847</v>
      </c>
      <c r="C381" s="1076" t="s">
        <v>2848</v>
      </c>
      <c r="D381" s="1077" t="s">
        <v>2296</v>
      </c>
      <c r="E381" s="1078" t="s">
        <v>2284</v>
      </c>
      <c r="F381" s="1079" t="s">
        <v>2589</v>
      </c>
      <c r="G381" s="1078" t="s">
        <v>2270</v>
      </c>
      <c r="H381" s="1080" t="s">
        <v>2336</v>
      </c>
      <c r="I381" s="1081" t="s">
        <v>2595</v>
      </c>
      <c r="J381" s="1082" t="s">
        <v>20306</v>
      </c>
      <c r="K381" s="750" t="str">
        <f>HYPERLINK("https://www.google.com/maps/search/Faja+dos+Cubres+Sao+Jorge+Acores+Lagoa/@38.662,-28.105,14z","🥾 PR9 — São Jorge — Fajã dos Cubres")</f>
        <v>🥾 PR9 — São Jorge — Fajã dos Cubres</v>
      </c>
      <c r="L381" s="1084" t="s">
        <v>2821</v>
      </c>
    </row>
    <row r="382" spans="1:12" ht="15" customHeight="1" x14ac:dyDescent="0.35">
      <c r="A382" s="1092">
        <v>10</v>
      </c>
      <c r="B382" s="1085" t="s">
        <v>2849</v>
      </c>
      <c r="C382" s="1086" t="s">
        <v>2850</v>
      </c>
      <c r="D382" s="1087" t="s">
        <v>2311</v>
      </c>
      <c r="E382" s="1088" t="s">
        <v>2291</v>
      </c>
      <c r="F382" s="1092" t="s">
        <v>2589</v>
      </c>
      <c r="G382" s="1088" t="s">
        <v>2278</v>
      </c>
      <c r="H382" s="1089" t="s">
        <v>2851</v>
      </c>
      <c r="I382" s="1090" t="s">
        <v>2595</v>
      </c>
      <c r="J382" s="1091" t="s">
        <v>20307</v>
      </c>
      <c r="K382" s="751" t="str">
        <f>HYPERLINK("https://www.google.com/maps/search/Pico+Alto+Santa+Maria+Acores+Geologia/@36.998,-25.17,14z","🥾 PR10 — Santa Maria — Pico Alto")</f>
        <v>🥾 PR10 — Santa Maria — Pico Alto</v>
      </c>
      <c r="L382" s="1093" t="s">
        <v>2252</v>
      </c>
    </row>
    <row r="383" spans="1:12" ht="15" customHeight="1" x14ac:dyDescent="0.35">
      <c r="A383" s="1083">
        <v>11</v>
      </c>
      <c r="B383" s="1075" t="s">
        <v>2852</v>
      </c>
      <c r="C383" s="1076" t="s">
        <v>2815</v>
      </c>
      <c r="D383" s="1077" t="s">
        <v>2275</v>
      </c>
      <c r="E383" s="1078" t="s">
        <v>2330</v>
      </c>
      <c r="F383" s="1095" t="s">
        <v>2297</v>
      </c>
      <c r="G383" s="1078" t="s">
        <v>2278</v>
      </c>
      <c r="H383" s="1080" t="s">
        <v>2668</v>
      </c>
      <c r="I383" s="1081" t="s">
        <v>2595</v>
      </c>
      <c r="J383" s="1082" t="s">
        <v>20308</v>
      </c>
      <c r="K383" s="750" t="str">
        <f>HYPERLINK("https://www.google.com/maps/search/Furnas+Sao+Miguel+Pocas+Dona+Beija+Geotermia+Acores/@37.773,-25.318,14z","🥾 PR11 — São Miguel — Furnas e Poça da Dona Beija")</f>
        <v>🥾 PR11 — São Miguel — Furnas e Poça da Dona Beija</v>
      </c>
      <c r="L383" s="1084" t="s">
        <v>2853</v>
      </c>
    </row>
    <row r="384" spans="1:12" ht="15" customHeight="1" x14ac:dyDescent="0.35">
      <c r="A384" s="1092">
        <v>12</v>
      </c>
      <c r="B384" s="1085" t="s">
        <v>2854</v>
      </c>
      <c r="C384" s="1086" t="s">
        <v>2828</v>
      </c>
      <c r="D384" s="1087" t="s">
        <v>2283</v>
      </c>
      <c r="E384" s="1088" t="s">
        <v>2473</v>
      </c>
      <c r="F384" s="1094" t="s">
        <v>2297</v>
      </c>
      <c r="G384" s="1088" t="s">
        <v>2278</v>
      </c>
      <c r="H384" s="1089" t="s">
        <v>2411</v>
      </c>
      <c r="I384" s="1090" t="s">
        <v>2595</v>
      </c>
      <c r="J384" s="1091" t="s">
        <v>20309</v>
      </c>
      <c r="K384" s="751" t="str">
        <f>HYPERLINK("https://www.google.com/maps/search/Biscoitos+Pico+Acores+Vinha+UNESCO+Basalto/@38.535,-28.333,14z","🥾 PR12 — Pico — Biscoitos de Lava")</f>
        <v>🥾 PR12 — Pico — Biscoitos de Lava</v>
      </c>
      <c r="L384" s="1093" t="s">
        <v>2252</v>
      </c>
    </row>
    <row r="385" spans="1:12" ht="15" customHeight="1" x14ac:dyDescent="0.35">
      <c r="A385" s="1083">
        <v>13</v>
      </c>
      <c r="B385" s="1075" t="s">
        <v>2855</v>
      </c>
      <c r="C385" s="1076" t="s">
        <v>2823</v>
      </c>
      <c r="D385" s="1077" t="s">
        <v>2302</v>
      </c>
      <c r="E385" s="1078" t="s">
        <v>2284</v>
      </c>
      <c r="F385" s="1079" t="s">
        <v>2589</v>
      </c>
      <c r="G385" s="1078" t="s">
        <v>2278</v>
      </c>
      <c r="H385" s="1080" t="s">
        <v>2502</v>
      </c>
      <c r="I385" s="1081" t="s">
        <v>2595</v>
      </c>
      <c r="J385" s="1082" t="s">
        <v>20310</v>
      </c>
      <c r="K385" s="750" t="str">
        <f>HYPERLINK("https://www.google.com/maps/search/Capelinhos+Faial+Acores+Vulcao+1957+Farol/@38.605,-28.853,14z","🥾 PR13 — Faial — Capelinhos e Vulcão de 1957")</f>
        <v>🥾 PR13 — Faial — Capelinhos e Vulcão de 1957</v>
      </c>
      <c r="L385" s="1084" t="s">
        <v>2821</v>
      </c>
    </row>
    <row r="386" spans="1:12" ht="15" customHeight="1" x14ac:dyDescent="0.35">
      <c r="A386" s="1092">
        <v>14</v>
      </c>
      <c r="B386" s="1085" t="s">
        <v>2856</v>
      </c>
      <c r="C386" s="1086" t="s">
        <v>2815</v>
      </c>
      <c r="D386" s="1087" t="s">
        <v>2296</v>
      </c>
      <c r="E386" s="1088" t="s">
        <v>2284</v>
      </c>
      <c r="F386" s="1092" t="s">
        <v>2589</v>
      </c>
      <c r="G386" s="1088" t="s">
        <v>2278</v>
      </c>
      <c r="H386" s="1089" t="s">
        <v>2816</v>
      </c>
      <c r="I386" s="1090" t="s">
        <v>2595</v>
      </c>
      <c r="J386" s="1091" t="s">
        <v>20311</v>
      </c>
      <c r="K386" s="751" t="str">
        <f>HYPERLINK("https://www.google.com/maps/search/Sete+Cidades+Lagoa+Norte+Sao+Miguel+Acores/@37.858,-25.785,14z","🥾 PR14 — São Miguel — Lagoas das Sete Cidades Norte")</f>
        <v>🥾 PR14 — São Miguel — Lagoas das Sete Cidades Norte</v>
      </c>
      <c r="L386" s="1093" t="s">
        <v>2818</v>
      </c>
    </row>
    <row r="387" spans="1:12" ht="15" customHeight="1" x14ac:dyDescent="0.35">
      <c r="A387" s="1083">
        <v>15</v>
      </c>
      <c r="B387" s="1075" t="s">
        <v>2857</v>
      </c>
      <c r="C387" s="1076" t="s">
        <v>2841</v>
      </c>
      <c r="D387" s="1077" t="s">
        <v>2283</v>
      </c>
      <c r="E387" s="1078" t="s">
        <v>2473</v>
      </c>
      <c r="F387" s="1095" t="s">
        <v>2297</v>
      </c>
      <c r="G387" s="1078" t="s">
        <v>2278</v>
      </c>
      <c r="H387" s="1080" t="s">
        <v>2622</v>
      </c>
      <c r="I387" s="1081" t="s">
        <v>2595</v>
      </c>
      <c r="J387" s="1082" t="s">
        <v>20312</v>
      </c>
      <c r="K387" s="750" t="str">
        <f>HYPERLINK("https://www.google.com/maps/search/Biscoitos+Terceira+Acores+Piscinas+Naturais+Lava/@38.79,-27.15,14z","🥾 PR15 — Terceira — Biscoitos — Costa de Lava")</f>
        <v>🥾 PR15 — Terceira — Biscoitos — Costa de Lava</v>
      </c>
      <c r="L387" s="1084" t="s">
        <v>2481</v>
      </c>
    </row>
    <row r="388" spans="1:12" ht="20" customHeight="1" x14ac:dyDescent="0.45">
      <c r="A388" s="1425" t="s">
        <v>20399</v>
      </c>
      <c r="B388" s="1426"/>
      <c r="C388" s="1427"/>
      <c r="D388" s="1427"/>
      <c r="E388" s="1427"/>
      <c r="F388" s="1427"/>
      <c r="G388" s="1427"/>
      <c r="H388" s="1427"/>
      <c r="I388" s="1427"/>
      <c r="J388" s="1428"/>
      <c r="K388" s="1429"/>
      <c r="L388" s="1430"/>
    </row>
    <row r="389" spans="1:12" ht="15" customHeight="1" x14ac:dyDescent="0.35">
      <c r="A389" s="1104">
        <v>1</v>
      </c>
      <c r="B389" s="1096" t="s">
        <v>2858</v>
      </c>
      <c r="C389" s="1097" t="s">
        <v>524</v>
      </c>
      <c r="D389" s="1098" t="s">
        <v>2296</v>
      </c>
      <c r="E389" s="1099" t="s">
        <v>2291</v>
      </c>
      <c r="F389" s="1100" t="s">
        <v>2589</v>
      </c>
      <c r="G389" s="1099" t="s">
        <v>2270</v>
      </c>
      <c r="H389" s="1101" t="s">
        <v>2859</v>
      </c>
      <c r="I389" s="1102" t="s">
        <v>2595</v>
      </c>
      <c r="J389" s="1103" t="s">
        <v>20313</v>
      </c>
      <c r="K389" s="1157" t="str">
        <f>HYPERLINK("https://www.google.com/maps/search/Levada+do+Caldeirão+Verde+Madeira/@32.778,-16.893,14z","🥾 PR1 — Levada do Caldeirão Verde")</f>
        <v>🥾 PR1 — Levada do Caldeirão Verde</v>
      </c>
      <c r="L389" s="1105" t="s">
        <v>2382</v>
      </c>
    </row>
    <row r="390" spans="1:12" ht="15" customHeight="1" x14ac:dyDescent="0.35">
      <c r="A390" s="1114">
        <v>2</v>
      </c>
      <c r="B390" s="1106" t="s">
        <v>2860</v>
      </c>
      <c r="C390" s="1107" t="s">
        <v>524</v>
      </c>
      <c r="D390" s="1108" t="s">
        <v>2326</v>
      </c>
      <c r="E390" s="1109" t="s">
        <v>2284</v>
      </c>
      <c r="F390" s="1110" t="s">
        <v>2297</v>
      </c>
      <c r="G390" s="1109" t="s">
        <v>2270</v>
      </c>
      <c r="H390" s="1111" t="s">
        <v>2861</v>
      </c>
      <c r="I390" s="1112" t="s">
        <v>2595</v>
      </c>
      <c r="J390" s="1113" t="s">
        <v>20314</v>
      </c>
      <c r="K390" s="1158" t="str">
        <f>HYPERLINK("https://www.google.com/maps/search/Levada+das+25+Fontes+Madeira/@32.745,-17.065,14z","🥾 PR6 — Levada das 25 Fontes")</f>
        <v>🥾 PR6 — Levada das 25 Fontes</v>
      </c>
      <c r="L390" s="1115" t="s">
        <v>2382</v>
      </c>
    </row>
    <row r="391" spans="1:12" ht="15" customHeight="1" x14ac:dyDescent="0.35">
      <c r="A391" s="1104">
        <v>3</v>
      </c>
      <c r="B391" s="1096" t="s">
        <v>2862</v>
      </c>
      <c r="C391" s="1097" t="s">
        <v>524</v>
      </c>
      <c r="D391" s="1098" t="s">
        <v>2326</v>
      </c>
      <c r="E391" s="1099" t="s">
        <v>2284</v>
      </c>
      <c r="F391" s="1116" t="s">
        <v>2269</v>
      </c>
      <c r="G391" s="1099" t="s">
        <v>2270</v>
      </c>
      <c r="H391" s="1101" t="s">
        <v>2863</v>
      </c>
      <c r="I391" s="1102" t="s">
        <v>2817</v>
      </c>
      <c r="J391" s="1103" t="s">
        <v>20315</v>
      </c>
      <c r="K391" s="1157" t="str">
        <f>HYPERLINK("https://www.google.com/maps/search/Pico+Ruivo+Madeira/@32.753,-16.92,14z","🥾 PR4 — Pico Ruivo")</f>
        <v>🥾 PR4 — Pico Ruivo</v>
      </c>
      <c r="L391" s="1105" t="s">
        <v>2252</v>
      </c>
    </row>
    <row r="392" spans="1:12" ht="15" customHeight="1" x14ac:dyDescent="0.35">
      <c r="A392" s="1114">
        <v>4</v>
      </c>
      <c r="B392" s="1106" t="s">
        <v>2864</v>
      </c>
      <c r="C392" s="1107" t="s">
        <v>524</v>
      </c>
      <c r="D392" s="1108" t="s">
        <v>2302</v>
      </c>
      <c r="E392" s="1109" t="s">
        <v>2369</v>
      </c>
      <c r="F392" s="1117" t="s">
        <v>2589</v>
      </c>
      <c r="G392" s="1109" t="s">
        <v>2270</v>
      </c>
      <c r="H392" s="1111" t="s">
        <v>2498</v>
      </c>
      <c r="I392" s="1112" t="s">
        <v>2595</v>
      </c>
      <c r="J392" s="1113" t="s">
        <v>20316</v>
      </c>
      <c r="K392" s="1158" t="str">
        <f>HYPERLINK("https://www.google.com/maps/search/Vereda+da+Ponta+de+São+Lourenço+Madeira/@32.737,-16.7,14z","🥾 PR13 — Vereda da Ponta de São Lourenço")</f>
        <v>🥾 PR13 — Vereda da Ponta de São Lourenço</v>
      </c>
      <c r="L392" s="1115" t="s">
        <v>1759</v>
      </c>
    </row>
    <row r="393" spans="1:12" ht="15" customHeight="1" x14ac:dyDescent="0.35">
      <c r="A393" s="1104">
        <v>5</v>
      </c>
      <c r="B393" s="1096" t="s">
        <v>2865</v>
      </c>
      <c r="C393" s="1097" t="s">
        <v>524</v>
      </c>
      <c r="D393" s="1098" t="s">
        <v>2275</v>
      </c>
      <c r="E393" s="1099" t="s">
        <v>2284</v>
      </c>
      <c r="F393" s="1100" t="s">
        <v>2589</v>
      </c>
      <c r="G393" s="1099" t="s">
        <v>2270</v>
      </c>
      <c r="H393" s="1101" t="s">
        <v>2866</v>
      </c>
      <c r="I393" s="1102" t="s">
        <v>2595</v>
      </c>
      <c r="J393" s="1103" t="s">
        <v>20317</v>
      </c>
      <c r="K393" s="1157" t="str">
        <f>HYPERLINK("https://www.google.com/maps/search/Levada+do+Rei+Madeira/@32.78,-16.898,14z","🥾 PR11 — Levada do Rei")</f>
        <v>🥾 PR11 — Levada do Rei</v>
      </c>
      <c r="L393" s="1105" t="s">
        <v>2382</v>
      </c>
    </row>
    <row r="394" spans="1:12" ht="15" customHeight="1" x14ac:dyDescent="0.35">
      <c r="A394" s="1114">
        <v>6</v>
      </c>
      <c r="B394" s="1106" t="s">
        <v>2867</v>
      </c>
      <c r="C394" s="1107" t="s">
        <v>524</v>
      </c>
      <c r="D394" s="1108" t="s">
        <v>2868</v>
      </c>
      <c r="E394" s="1109" t="s">
        <v>2869</v>
      </c>
      <c r="F394" s="1110" t="s">
        <v>2297</v>
      </c>
      <c r="G394" s="1109" t="s">
        <v>2278</v>
      </c>
      <c r="H394" s="1111" t="s">
        <v>2870</v>
      </c>
      <c r="I394" s="1112" t="s">
        <v>2595</v>
      </c>
      <c r="J394" s="1113" t="s">
        <v>20318</v>
      </c>
      <c r="K394" s="1158" t="str">
        <f>HYPERLINK("https://www.google.com/maps/search/Cabo+Girão+Skywalk+Madeira/@32.6497,-17.009,15z","🥾 PR16 — Cabo Girão Skywalk")</f>
        <v>🥾 PR16 — Cabo Girão Skywalk</v>
      </c>
      <c r="L394" s="1115" t="s">
        <v>779</v>
      </c>
    </row>
    <row r="395" spans="1:12" ht="15" customHeight="1" x14ac:dyDescent="0.35">
      <c r="A395" s="1104">
        <v>7</v>
      </c>
      <c r="B395" s="1096" t="s">
        <v>2871</v>
      </c>
      <c r="C395" s="1097" t="s">
        <v>524</v>
      </c>
      <c r="D395" s="1098" t="s">
        <v>2290</v>
      </c>
      <c r="E395" s="1099" t="s">
        <v>2369</v>
      </c>
      <c r="F395" s="1118" t="s">
        <v>2297</v>
      </c>
      <c r="G395" s="1099" t="s">
        <v>2270</v>
      </c>
      <c r="H395" s="1101" t="s">
        <v>2866</v>
      </c>
      <c r="I395" s="1102" t="s">
        <v>2595</v>
      </c>
      <c r="J395" s="1103" t="s">
        <v>20319</v>
      </c>
      <c r="K395" s="1157" t="str">
        <f>HYPERLINK("https://www.google.com/maps/search/Levada+do+Norte+Madeira/@32.745,-17.0,14z","🥾 PR18 — Levada do Norte")</f>
        <v>🥾 PR18 — Levada do Norte</v>
      </c>
      <c r="L395" s="1105" t="s">
        <v>2382</v>
      </c>
    </row>
    <row r="396" spans="1:12" ht="15" customHeight="1" x14ac:dyDescent="0.35">
      <c r="A396" s="1114">
        <v>8</v>
      </c>
      <c r="B396" s="1106" t="s">
        <v>2872</v>
      </c>
      <c r="C396" s="1107" t="s">
        <v>524</v>
      </c>
      <c r="D396" s="1108" t="s">
        <v>2302</v>
      </c>
      <c r="E396" s="1109" t="s">
        <v>2308</v>
      </c>
      <c r="F396" s="1119" t="s">
        <v>2269</v>
      </c>
      <c r="G396" s="1109" t="s">
        <v>2270</v>
      </c>
      <c r="H396" s="1111" t="s">
        <v>2863</v>
      </c>
      <c r="I396" s="1112" t="s">
        <v>2825</v>
      </c>
      <c r="J396" s="1113" t="s">
        <v>20320</v>
      </c>
      <c r="K396" s="1158" t="str">
        <f>HYPERLINK("https://www.google.com/maps/search/Pico+do+Arieiro+Madeira/@32.731,-16.928,14z","🥾 PR9 — Pico do Arieiro a Pico Ruivo")</f>
        <v>🥾 PR9 — Pico do Arieiro a Pico Ruivo</v>
      </c>
      <c r="L396" s="1115" t="s">
        <v>2252</v>
      </c>
    </row>
    <row r="397" spans="1:12" ht="15" customHeight="1" x14ac:dyDescent="0.35">
      <c r="A397" s="1104">
        <v>9</v>
      </c>
      <c r="B397" s="1096" t="s">
        <v>2873</v>
      </c>
      <c r="C397" s="1097" t="s">
        <v>524</v>
      </c>
      <c r="D397" s="1098" t="s">
        <v>2315</v>
      </c>
      <c r="E397" s="1099" t="s">
        <v>2291</v>
      </c>
      <c r="F397" s="1118" t="s">
        <v>2297</v>
      </c>
      <c r="G397" s="1099" t="s">
        <v>2270</v>
      </c>
      <c r="H397" s="1101" t="s">
        <v>2866</v>
      </c>
      <c r="I397" s="1102" t="s">
        <v>2595</v>
      </c>
      <c r="J397" s="1103" t="s">
        <v>20321</v>
      </c>
      <c r="K397" s="1157" t="str">
        <f>HYPERLINK("https://www.google.com/maps/search/Levada+do+Furado+Ribeiro+Frio+Madeira/@32.748,-16.886,14z","🥾 PR2 — Levada do Furado (Ribeiro Frio)")</f>
        <v>🥾 PR2 — Levada do Furado (Ribeiro Frio)</v>
      </c>
      <c r="L397" s="1105" t="s">
        <v>2382</v>
      </c>
    </row>
    <row r="398" spans="1:12" ht="15" customHeight="1" x14ac:dyDescent="0.35">
      <c r="A398" s="1114">
        <v>10</v>
      </c>
      <c r="B398" s="1106" t="s">
        <v>2874</v>
      </c>
      <c r="C398" s="1107" t="s">
        <v>524</v>
      </c>
      <c r="D398" s="1108" t="s">
        <v>2302</v>
      </c>
      <c r="E398" s="1109" t="s">
        <v>2369</v>
      </c>
      <c r="F398" s="1117" t="s">
        <v>2589</v>
      </c>
      <c r="G398" s="1109" t="s">
        <v>2270</v>
      </c>
      <c r="H398" s="1111" t="s">
        <v>2312</v>
      </c>
      <c r="I398" s="1112" t="s">
        <v>2595</v>
      </c>
      <c r="J398" s="1113" t="s">
        <v>20322</v>
      </c>
      <c r="K398" s="1158" t="str">
        <f>HYPERLINK("https://www.google.com/maps/search/Vereda+do+Larano+Madeira/@32.785,-16.778,14z","🥾 PR17 — Vereda do Larano")</f>
        <v>🥾 PR17 — Vereda do Larano</v>
      </c>
      <c r="L398" s="1115" t="s">
        <v>1759</v>
      </c>
    </row>
    <row r="399" spans="1:12" ht="15" customHeight="1" x14ac:dyDescent="0.35">
      <c r="A399" s="1104">
        <v>11</v>
      </c>
      <c r="B399" s="1096" t="s">
        <v>2875</v>
      </c>
      <c r="C399" s="1097" t="s">
        <v>524</v>
      </c>
      <c r="D399" s="1098" t="s">
        <v>2876</v>
      </c>
      <c r="E399" s="1099" t="s">
        <v>2869</v>
      </c>
      <c r="F399" s="1118" t="s">
        <v>2297</v>
      </c>
      <c r="G399" s="1099" t="s">
        <v>2270</v>
      </c>
      <c r="H399" s="1101" t="s">
        <v>2877</v>
      </c>
      <c r="I399" s="1102" t="s">
        <v>2595</v>
      </c>
      <c r="J399" s="1103" t="s">
        <v>20323</v>
      </c>
      <c r="K399" s="1157" t="str">
        <f>HYPERLINK("https://www.google.com/maps/search/Miradouro+dos+Balcões+Madeira/@32.748,-16.886,14z","🥾 PR8 — Vereda dos Balcões")</f>
        <v>🥾 PR8 — Vereda dos Balcões</v>
      </c>
      <c r="L399" s="1105" t="s">
        <v>1759</v>
      </c>
    </row>
    <row r="400" spans="1:12" ht="15" customHeight="1" x14ac:dyDescent="0.35">
      <c r="A400" s="1114">
        <v>12</v>
      </c>
      <c r="B400" s="1106" t="s">
        <v>2878</v>
      </c>
      <c r="C400" s="1107" t="s">
        <v>524</v>
      </c>
      <c r="D400" s="1108" t="s">
        <v>2296</v>
      </c>
      <c r="E400" s="1109" t="s">
        <v>2284</v>
      </c>
      <c r="F400" s="1110" t="s">
        <v>2297</v>
      </c>
      <c r="G400" s="1109" t="s">
        <v>2270</v>
      </c>
      <c r="H400" s="1111" t="s">
        <v>2312</v>
      </c>
      <c r="I400" s="1112" t="s">
        <v>2879</v>
      </c>
      <c r="J400" s="1113" t="s">
        <v>20324</v>
      </c>
      <c r="K400" s="1158" t="str">
        <f>HYPERLINK("https://www.google.com/maps/search/Trilho+Bica+da+Cana+Pináculo+Madeira/@32.745,-17.065,14z","🥾 PR17 — Trilho Bica da Cana — Pináculo")</f>
        <v>🥾 PR17 — Trilho Bica da Cana — Pináculo</v>
      </c>
      <c r="L400" s="1115" t="s">
        <v>2835</v>
      </c>
    </row>
    <row r="401" spans="1:12" ht="15" customHeight="1" x14ac:dyDescent="0.35">
      <c r="A401" s="1104">
        <v>13</v>
      </c>
      <c r="B401" s="1096" t="s">
        <v>20400</v>
      </c>
      <c r="C401" s="1097" t="s">
        <v>524</v>
      </c>
      <c r="D401" s="1098" t="s">
        <v>2311</v>
      </c>
      <c r="E401" s="1099" t="s">
        <v>2291</v>
      </c>
      <c r="F401" s="1100" t="s">
        <v>2589</v>
      </c>
      <c r="G401" s="1099" t="s">
        <v>2278</v>
      </c>
      <c r="H401" s="1101" t="s">
        <v>20401</v>
      </c>
      <c r="I401" s="1102" t="s">
        <v>2825</v>
      </c>
      <c r="J401" s="1103" t="s">
        <v>20402</v>
      </c>
      <c r="K401" s="1157" t="str">
        <f>HYPERLINK("https://www.google.com/maps/search/Trilho+Bica+da+Cana+Pináculo+Madeira/@32.745,-17.065,14z","🥾 PR17 — Trilho Bica da Cana — Pináculo")</f>
        <v>🥾 PR17 — Trilho Bica da Cana — Pináculo</v>
      </c>
      <c r="L401" s="1105" t="s">
        <v>20360</v>
      </c>
    </row>
    <row r="402" spans="1:12" ht="15" customHeight="1" x14ac:dyDescent="0.35">
      <c r="A402" s="1114">
        <v>14</v>
      </c>
      <c r="B402" s="1106" t="s">
        <v>2880</v>
      </c>
      <c r="C402" s="1107" t="s">
        <v>524</v>
      </c>
      <c r="D402" s="1108" t="s">
        <v>2283</v>
      </c>
      <c r="E402" s="1109" t="s">
        <v>2330</v>
      </c>
      <c r="F402" s="1110" t="s">
        <v>2297</v>
      </c>
      <c r="G402" s="1109" t="s">
        <v>2270</v>
      </c>
      <c r="H402" s="1111" t="s">
        <v>2498</v>
      </c>
      <c r="I402" s="1112" t="s">
        <v>2595</v>
      </c>
      <c r="J402" s="1113" t="s">
        <v>20325</v>
      </c>
      <c r="K402" s="1158" t="str">
        <f>HYPERLINK("https://www.google.com/maps/search/Levada+do+Caniçal+Madeira/@32.748,-16.886,14z","🥾 PR22 — Levada do Caniçal")</f>
        <v>🥾 PR22 — Levada do Caniçal</v>
      </c>
      <c r="L402" s="1115" t="s">
        <v>2382</v>
      </c>
    </row>
    <row r="403" spans="1:12" ht="15" customHeight="1" x14ac:dyDescent="0.35">
      <c r="A403" s="1104">
        <v>15</v>
      </c>
      <c r="B403" s="1096" t="s">
        <v>2881</v>
      </c>
      <c r="C403" s="1097" t="s">
        <v>524</v>
      </c>
      <c r="D403" s="1098" t="s">
        <v>2296</v>
      </c>
      <c r="E403" s="1099" t="s">
        <v>2291</v>
      </c>
      <c r="F403" s="1116" t="s">
        <v>2269</v>
      </c>
      <c r="G403" s="1099" t="s">
        <v>2270</v>
      </c>
      <c r="H403" s="1101" t="s">
        <v>2882</v>
      </c>
      <c r="I403" s="1102" t="s">
        <v>2825</v>
      </c>
      <c r="J403" s="1103" t="s">
        <v>20326</v>
      </c>
      <c r="K403" s="1157" t="str">
        <f>HYPERLINK("https://www.google.com/maps/search/Encumeada+Madeira/@32.738,-17.005,14z","🥾 Vereda da Encumeada a Pico Grande")</f>
        <v>🥾 Vereda da Encumeada a Pico Grande</v>
      </c>
      <c r="L403" s="1105" t="s">
        <v>2252</v>
      </c>
    </row>
    <row r="404" spans="1:12" ht="15" customHeight="1" x14ac:dyDescent="0.45">
      <c r="A404" s="1122"/>
      <c r="B404" s="1126"/>
      <c r="C404" s="1120"/>
      <c r="D404" s="1120"/>
      <c r="E404" s="1120"/>
      <c r="F404" s="1120"/>
      <c r="G404" s="1120"/>
      <c r="H404" s="1120"/>
      <c r="I404" s="1120"/>
      <c r="J404" s="1125"/>
      <c r="K404" s="1123"/>
      <c r="L404" s="1124"/>
    </row>
    <row r="405" spans="1:12" ht="15" customHeight="1" x14ac:dyDescent="0.45">
      <c r="A405" s="1128">
        <v>16</v>
      </c>
      <c r="B405" s="1129" t="s">
        <v>20327</v>
      </c>
      <c r="C405" s="1130" t="s">
        <v>524</v>
      </c>
      <c r="D405" s="1131" t="s">
        <v>2311</v>
      </c>
      <c r="E405" s="1132" t="s">
        <v>2276</v>
      </c>
      <c r="F405" s="1133" t="s">
        <v>2589</v>
      </c>
      <c r="G405" s="1132" t="s">
        <v>2270</v>
      </c>
      <c r="H405" s="1134" t="s">
        <v>20328</v>
      </c>
      <c r="I405" s="1135" t="s">
        <v>2595</v>
      </c>
      <c r="J405" s="1136" t="s">
        <v>20329</v>
      </c>
      <c r="K405" s="1137" t="str">
        <f>HYPERLINK("https://www.google.com/maps/search/Pico+do+Arieiro+Madeira/@32.731,-16.928,14z","🥾 PR1 — Vereda do Areeiro")</f>
        <v>🥾 PR1 — Vereda do Areeiro</v>
      </c>
      <c r="L405" s="1138" t="s">
        <v>1759</v>
      </c>
    </row>
    <row r="406" spans="1:12" ht="15" customHeight="1" x14ac:dyDescent="0.45">
      <c r="A406" s="1139">
        <v>17</v>
      </c>
      <c r="B406" s="1140" t="s">
        <v>20330</v>
      </c>
      <c r="C406" s="1141" t="s">
        <v>524</v>
      </c>
      <c r="D406" s="1142" t="s">
        <v>2302</v>
      </c>
      <c r="E406" s="1121" t="s">
        <v>2369</v>
      </c>
      <c r="F406" s="1143" t="s">
        <v>2589</v>
      </c>
      <c r="G406" s="1121" t="s">
        <v>2270</v>
      </c>
      <c r="H406" s="1144" t="s">
        <v>20328</v>
      </c>
      <c r="I406" s="1145" t="s">
        <v>2595</v>
      </c>
      <c r="J406" s="1146" t="s">
        <v>20331</v>
      </c>
      <c r="K406" s="1147" t="str">
        <f>HYPERLINK("https://www.google.com/maps/search/Pico+do+Arieiro+Madeira/@32.731,-16.928,14z","🥾 PR1.1 — Vereda da Ilha")</f>
        <v>🥾 PR1.1 — Vereda da Ilha</v>
      </c>
      <c r="L406" s="1148" t="s">
        <v>1759</v>
      </c>
    </row>
    <row r="407" spans="1:12" ht="15" customHeight="1" x14ac:dyDescent="0.45">
      <c r="A407" s="1128">
        <v>18</v>
      </c>
      <c r="B407" s="1129" t="s">
        <v>20332</v>
      </c>
      <c r="C407" s="1130" t="s">
        <v>524</v>
      </c>
      <c r="D407" s="1131" t="s">
        <v>2326</v>
      </c>
      <c r="E407" s="1132" t="s">
        <v>2473</v>
      </c>
      <c r="F407" s="1133" t="s">
        <v>2589</v>
      </c>
      <c r="G407" s="1132" t="s">
        <v>2270</v>
      </c>
      <c r="H407" s="1134" t="s">
        <v>2863</v>
      </c>
      <c r="I407" s="1135" t="s">
        <v>2817</v>
      </c>
      <c r="J407" s="1136" t="s">
        <v>20333</v>
      </c>
      <c r="K407" s="1137" t="str">
        <f>HYPERLINK("https://www.google.com/maps/search/Pico+Ruivo+Madeira/@32.753,-16.924,14z","🥾 PR1.2 — Vereda do Pico Ruivo")</f>
        <v>🥾 PR1.2 — Vereda do Pico Ruivo</v>
      </c>
      <c r="L407" s="1138" t="s">
        <v>20334</v>
      </c>
    </row>
    <row r="408" spans="1:12" ht="15" customHeight="1" x14ac:dyDescent="0.45">
      <c r="A408" s="1139">
        <v>19</v>
      </c>
      <c r="B408" s="1140" t="s">
        <v>20335</v>
      </c>
      <c r="C408" s="1141" t="s">
        <v>524</v>
      </c>
      <c r="D408" s="1142" t="s">
        <v>2275</v>
      </c>
      <c r="E408" s="1121" t="s">
        <v>2284</v>
      </c>
      <c r="F408" s="1149" t="s">
        <v>2269</v>
      </c>
      <c r="G408" s="1121" t="s">
        <v>2270</v>
      </c>
      <c r="H408" s="1144" t="s">
        <v>2863</v>
      </c>
      <c r="I408" s="1145" t="s">
        <v>2825</v>
      </c>
      <c r="J408" s="1146" t="s">
        <v>20336</v>
      </c>
      <c r="K408" s="1147" t="str">
        <f>HYPERLINK("https://www.google.com/maps/search/Encumeada+Madeira/@32.738,-17.005,14z","🥾 PR1.3 — Vereda da Encumeada")</f>
        <v>🥾 PR1.3 — Vereda da Encumeada</v>
      </c>
      <c r="L408" s="1148" t="s">
        <v>20337</v>
      </c>
    </row>
    <row r="409" spans="1:12" ht="15" customHeight="1" x14ac:dyDescent="0.45">
      <c r="A409" s="1128">
        <v>20</v>
      </c>
      <c r="B409" s="1129" t="s">
        <v>20338</v>
      </c>
      <c r="C409" s="1130" t="s">
        <v>524</v>
      </c>
      <c r="D409" s="1131" t="s">
        <v>2315</v>
      </c>
      <c r="E409" s="1132" t="s">
        <v>2291</v>
      </c>
      <c r="F409" s="1133" t="s">
        <v>2589</v>
      </c>
      <c r="G409" s="1132" t="s">
        <v>2278</v>
      </c>
      <c r="H409" s="1134" t="s">
        <v>2363</v>
      </c>
      <c r="I409" s="1135" t="s">
        <v>2595</v>
      </c>
      <c r="J409" s="1136" t="s">
        <v>20339</v>
      </c>
      <c r="K409" s="1137" t="str">
        <f>HYPERLINK("https://www.google.com/maps/search/Vereda+do+Urzal+Madeira/@32.76,-16.95,14z","🥾 PR2 — Vereda do Urzal")</f>
        <v>🥾 PR2 — Vereda do Urzal</v>
      </c>
      <c r="L409" s="1138" t="s">
        <v>779</v>
      </c>
    </row>
    <row r="410" spans="1:12" ht="15" customHeight="1" x14ac:dyDescent="0.45">
      <c r="A410" s="1139">
        <v>21</v>
      </c>
      <c r="B410" s="1140" t="s">
        <v>20340</v>
      </c>
      <c r="C410" s="1141" t="s">
        <v>524</v>
      </c>
      <c r="D410" s="1142" t="s">
        <v>2302</v>
      </c>
      <c r="E410" s="1121" t="s">
        <v>2369</v>
      </c>
      <c r="F410" s="1143" t="s">
        <v>2589</v>
      </c>
      <c r="G410" s="1121" t="s">
        <v>2270</v>
      </c>
      <c r="H410" s="1144" t="s">
        <v>2293</v>
      </c>
      <c r="I410" s="1145" t="s">
        <v>2595</v>
      </c>
      <c r="J410" s="1146" t="s">
        <v>20341</v>
      </c>
      <c r="K410" s="1147" t="str">
        <f>HYPERLINK("https://www.google.com/maps/search/Vereda+do+Burro+Madeira/@32.765,-16.945,14z","🥾 PR3 — Vereda do Burro")</f>
        <v>🥾 PR3 — Vereda do Burro</v>
      </c>
      <c r="L410" s="1148" t="s">
        <v>6699</v>
      </c>
    </row>
    <row r="411" spans="1:12" ht="15" customHeight="1" x14ac:dyDescent="0.45">
      <c r="A411" s="1128">
        <v>22</v>
      </c>
      <c r="B411" s="1129" t="s">
        <v>20342</v>
      </c>
      <c r="C411" s="1130" t="s">
        <v>524</v>
      </c>
      <c r="D411" s="1131" t="s">
        <v>2275</v>
      </c>
      <c r="E411" s="1132" t="s">
        <v>2330</v>
      </c>
      <c r="F411" s="1133" t="s">
        <v>2589</v>
      </c>
      <c r="G411" s="1132" t="s">
        <v>2270</v>
      </c>
      <c r="H411" s="1134" t="s">
        <v>2442</v>
      </c>
      <c r="I411" s="1135" t="s">
        <v>2595</v>
      </c>
      <c r="J411" s="1136" t="s">
        <v>20343</v>
      </c>
      <c r="K411" s="1137" t="str">
        <f>HYPERLINK("https://www.google.com/maps/search/Caminho+Real+do+Monte+Funchal+Madeira/@32.673,-16.903,14z","🥾 PR3.1 — Caminho Real do Monte")</f>
        <v>🥾 PR3.1 — Caminho Real do Monte</v>
      </c>
      <c r="L411" s="1138" t="s">
        <v>20344</v>
      </c>
    </row>
    <row r="412" spans="1:12" ht="15" customHeight="1" x14ac:dyDescent="0.45">
      <c r="A412" s="1139">
        <v>23</v>
      </c>
      <c r="B412" s="1140" t="s">
        <v>20345</v>
      </c>
      <c r="C412" s="1141" t="s">
        <v>524</v>
      </c>
      <c r="D412" s="1142" t="s">
        <v>2302</v>
      </c>
      <c r="E412" s="1121" t="s">
        <v>2284</v>
      </c>
      <c r="F412" s="1150" t="s">
        <v>2297</v>
      </c>
      <c r="G412" s="1121" t="s">
        <v>2270</v>
      </c>
      <c r="H412" s="1144" t="s">
        <v>2336</v>
      </c>
      <c r="I412" s="1145" t="s">
        <v>2595</v>
      </c>
      <c r="J412" s="1146" t="s">
        <v>20346</v>
      </c>
      <c r="K412" s="1147" t="str">
        <f>HYPERLINK("https://www.google.com/maps/search/Levada+do+Barreiro+Madeira/@32.78,-17.01,14z","🥾 PR4 — Levada do Barreiro")</f>
        <v>🥾 PR4 — Levada do Barreiro</v>
      </c>
      <c r="L412" s="1148" t="s">
        <v>6699</v>
      </c>
    </row>
    <row r="413" spans="1:12" ht="15" customHeight="1" x14ac:dyDescent="0.45">
      <c r="A413" s="1128">
        <v>24</v>
      </c>
      <c r="B413" s="1129" t="s">
        <v>20347</v>
      </c>
      <c r="C413" s="1130" t="s">
        <v>524</v>
      </c>
      <c r="D413" s="1131" t="s">
        <v>2296</v>
      </c>
      <c r="E413" s="1132" t="s">
        <v>2369</v>
      </c>
      <c r="F413" s="1133" t="s">
        <v>2589</v>
      </c>
      <c r="G413" s="1132" t="s">
        <v>2278</v>
      </c>
      <c r="H413" s="1134" t="s">
        <v>2319</v>
      </c>
      <c r="I413" s="1135" t="s">
        <v>2595</v>
      </c>
      <c r="J413" s="1136" t="s">
        <v>20348</v>
      </c>
      <c r="K413" s="1137" t="str">
        <f>HYPERLINK("https://www.google.com/maps/search/Vereda+das+Funduras+Madeira/@32.77,-16.89,14z","🥾 PR5 — Vereda das Funduras")</f>
        <v>🥾 PR5 — Vereda das Funduras</v>
      </c>
      <c r="L413" s="1138" t="s">
        <v>5687</v>
      </c>
    </row>
    <row r="414" spans="1:12" ht="15" customHeight="1" x14ac:dyDescent="0.45">
      <c r="A414" s="1139">
        <v>25</v>
      </c>
      <c r="B414" s="1140" t="s">
        <v>20349</v>
      </c>
      <c r="C414" s="1141" t="s">
        <v>524</v>
      </c>
      <c r="D414" s="1142" t="s">
        <v>2845</v>
      </c>
      <c r="E414" s="1121" t="s">
        <v>2869</v>
      </c>
      <c r="F414" s="1150" t="s">
        <v>2297</v>
      </c>
      <c r="G414" s="1121" t="s">
        <v>2270</v>
      </c>
      <c r="H414" s="1144" t="s">
        <v>2861</v>
      </c>
      <c r="I414" s="1145" t="s">
        <v>2595</v>
      </c>
      <c r="J414" s="1146" t="s">
        <v>20350</v>
      </c>
      <c r="K414" s="1147" t="str">
        <f>HYPERLINK("https://www.google.com/maps/search/Levada+do+Risco+Rabaçal+Madeira/@32.748,-17.07,14z","🥾 PR6.1 — Levada do Risco")</f>
        <v>🥾 PR6.1 — Levada do Risco</v>
      </c>
      <c r="L414" s="1148" t="s">
        <v>20351</v>
      </c>
    </row>
    <row r="415" spans="1:12" ht="15" customHeight="1" x14ac:dyDescent="0.45">
      <c r="A415" s="1128">
        <v>26</v>
      </c>
      <c r="B415" s="1129" t="s">
        <v>20352</v>
      </c>
      <c r="C415" s="1130" t="s">
        <v>524</v>
      </c>
      <c r="D415" s="1131" t="s">
        <v>2283</v>
      </c>
      <c r="E415" s="1132" t="s">
        <v>2473</v>
      </c>
      <c r="F415" s="1151" t="s">
        <v>2297</v>
      </c>
      <c r="G415" s="1132" t="s">
        <v>2270</v>
      </c>
      <c r="H415" s="1134" t="s">
        <v>2355</v>
      </c>
      <c r="I415" s="1135" t="s">
        <v>2595</v>
      </c>
      <c r="J415" s="1136" t="s">
        <v>20353</v>
      </c>
      <c r="K415" s="1137" t="str">
        <f>HYPERLINK("https://www.google.com/maps/search/Levada+Velha+Rabaçal+Madeira/@32.748,-17.07,14z","🥾 PR6.4 — Levada Velha do Rabaçal")</f>
        <v>🥾 PR6.4 — Levada Velha do Rabaçal</v>
      </c>
      <c r="L415" s="1138" t="s">
        <v>20351</v>
      </c>
    </row>
    <row r="416" spans="1:12" ht="15" customHeight="1" x14ac:dyDescent="0.45">
      <c r="A416" s="1139">
        <v>27</v>
      </c>
      <c r="B416" s="1140" t="s">
        <v>20354</v>
      </c>
      <c r="C416" s="1141" t="s">
        <v>524</v>
      </c>
      <c r="D416" s="1142" t="s">
        <v>2326</v>
      </c>
      <c r="E416" s="1121" t="s">
        <v>2330</v>
      </c>
      <c r="F416" s="1143" t="s">
        <v>2589</v>
      </c>
      <c r="G416" s="1121" t="s">
        <v>2270</v>
      </c>
      <c r="H416" s="1144" t="s">
        <v>2363</v>
      </c>
      <c r="I416" s="1145" t="s">
        <v>2595</v>
      </c>
      <c r="J416" s="1146" t="s">
        <v>20355</v>
      </c>
      <c r="K416" s="1147" t="str">
        <f>HYPERLINK("https://www.google.com/maps/search/Rabaçal+Madeira/@32.75,-17.065,14z","🥾 PR6.5 — Vereda do Pico Fernandes")</f>
        <v>🥾 PR6.5 — Vereda do Pico Fernandes</v>
      </c>
      <c r="L416" s="1148" t="s">
        <v>20351</v>
      </c>
    </row>
    <row r="417" spans="1:12" ht="15" customHeight="1" x14ac:dyDescent="0.45">
      <c r="A417" s="1128">
        <v>28</v>
      </c>
      <c r="B417" s="1129" t="s">
        <v>20356</v>
      </c>
      <c r="C417" s="1130" t="s">
        <v>524</v>
      </c>
      <c r="D417" s="1131" t="s">
        <v>2283</v>
      </c>
      <c r="E417" s="1132" t="s">
        <v>2330</v>
      </c>
      <c r="F417" s="1151" t="s">
        <v>2297</v>
      </c>
      <c r="G417" s="1132" t="s">
        <v>2270</v>
      </c>
      <c r="H417" s="1134" t="s">
        <v>2861</v>
      </c>
      <c r="I417" s="1135" t="s">
        <v>2595</v>
      </c>
      <c r="J417" s="1136" t="s">
        <v>20357</v>
      </c>
      <c r="K417" s="1137" t="str">
        <f>HYPERLINK("https://www.google.com/maps/search/Rabaçal+Madeira/@32.748,-17.07,14z","🥾 PR6.6 — Vereda do Túnel do Cavalo")</f>
        <v>🥾 PR6.6 — Vereda do Túnel do Cavalo</v>
      </c>
      <c r="L417" s="1138" t="s">
        <v>20351</v>
      </c>
    </row>
    <row r="418" spans="1:12" ht="15" customHeight="1" x14ac:dyDescent="0.45">
      <c r="A418" s="1139">
        <v>29</v>
      </c>
      <c r="B418" s="1140" t="s">
        <v>20358</v>
      </c>
      <c r="C418" s="1141" t="s">
        <v>524</v>
      </c>
      <c r="D418" s="1142" t="s">
        <v>2845</v>
      </c>
      <c r="E418" s="1121" t="s">
        <v>2869</v>
      </c>
      <c r="F418" s="1150" t="s">
        <v>2297</v>
      </c>
      <c r="G418" s="1121" t="s">
        <v>2270</v>
      </c>
      <c r="H418" s="1144" t="s">
        <v>2861</v>
      </c>
      <c r="I418" s="1145" t="s">
        <v>2595</v>
      </c>
      <c r="J418" s="1146" t="s">
        <v>20359</v>
      </c>
      <c r="K418" s="1147" t="str">
        <f>HYPERLINK("https://www.google.com/maps/search/Paul+da+Serra+Madeira/@32.745,-17.065,14z","🥾 PR6.8 — Levada do Paul II")</f>
        <v>🥾 PR6.8 — Levada do Paul II</v>
      </c>
      <c r="L418" s="1148" t="s">
        <v>20360</v>
      </c>
    </row>
    <row r="419" spans="1:12" ht="15" customHeight="1" x14ac:dyDescent="0.45">
      <c r="A419" s="1128">
        <v>30</v>
      </c>
      <c r="B419" s="1129" t="s">
        <v>20361</v>
      </c>
      <c r="C419" s="1130" t="s">
        <v>524</v>
      </c>
      <c r="D419" s="1131" t="s">
        <v>2290</v>
      </c>
      <c r="E419" s="1132" t="s">
        <v>2291</v>
      </c>
      <c r="F419" s="1151" t="s">
        <v>2297</v>
      </c>
      <c r="G419" s="1132" t="s">
        <v>2270</v>
      </c>
      <c r="H419" s="1134" t="s">
        <v>2336</v>
      </c>
      <c r="I419" s="1135" t="s">
        <v>2595</v>
      </c>
      <c r="J419" s="1136" t="s">
        <v>20362</v>
      </c>
      <c r="K419" s="1137" t="str">
        <f>HYPERLINK("https://www.google.com/maps/search/Levada+do+Moinho+Porto+Moniz+Madeira/@32.795,-17.12,14z","🥾 PR7 — Levada do Moinho")</f>
        <v>🥾 PR7 — Levada do Moinho</v>
      </c>
      <c r="L419" s="1138" t="s">
        <v>6705</v>
      </c>
    </row>
    <row r="420" spans="1:12" ht="15" customHeight="1" x14ac:dyDescent="0.45">
      <c r="A420" s="1139">
        <v>31</v>
      </c>
      <c r="B420" s="1140" t="s">
        <v>20363</v>
      </c>
      <c r="C420" s="1141" t="s">
        <v>524</v>
      </c>
      <c r="D420" s="1142" t="s">
        <v>2315</v>
      </c>
      <c r="E420" s="1121" t="s">
        <v>2291</v>
      </c>
      <c r="F420" s="1150" t="s">
        <v>2297</v>
      </c>
      <c r="G420" s="1121" t="s">
        <v>2270</v>
      </c>
      <c r="H420" s="1144" t="s">
        <v>2866</v>
      </c>
      <c r="I420" s="1145" t="s">
        <v>2595</v>
      </c>
      <c r="J420" s="1146" t="s">
        <v>20364</v>
      </c>
      <c r="K420" s="1147" t="str">
        <f>HYPERLINK("https://www.google.com/maps/search/Levada+do+Furado+Ribeiro+Frio+Madeira/@32.748,-16.886,14z","🥾 PR10 — Levada do Furado")</f>
        <v>🥾 PR10 — Levada do Furado</v>
      </c>
      <c r="L420" s="1148" t="s">
        <v>2382</v>
      </c>
    </row>
    <row r="421" spans="1:12" ht="15" customHeight="1" x14ac:dyDescent="0.45">
      <c r="A421" s="1128">
        <v>32</v>
      </c>
      <c r="B421" s="1129" t="s">
        <v>20365</v>
      </c>
      <c r="C421" s="1130" t="s">
        <v>524</v>
      </c>
      <c r="D421" s="1131" t="s">
        <v>2296</v>
      </c>
      <c r="E421" s="1132" t="s">
        <v>2284</v>
      </c>
      <c r="F421" s="1133" t="s">
        <v>2589</v>
      </c>
      <c r="G421" s="1132" t="s">
        <v>2270</v>
      </c>
      <c r="H421" s="1134" t="s">
        <v>20366</v>
      </c>
      <c r="I421" s="1135" t="s">
        <v>2595</v>
      </c>
      <c r="J421" s="1136" t="s">
        <v>20367</v>
      </c>
      <c r="K421" s="1137" t="str">
        <f>HYPERLINK("https://www.google.com/maps/search/Encumeada+Madeira/@32.738,-17.005,14z","🥾 PR12 — Caminho Real da Encumeada")</f>
        <v>🥾 PR12 — Caminho Real da Encumeada</v>
      </c>
      <c r="L421" s="1138" t="s">
        <v>20337</v>
      </c>
    </row>
    <row r="422" spans="1:12" ht="15" customHeight="1" x14ac:dyDescent="0.45">
      <c r="A422" s="1139">
        <v>33</v>
      </c>
      <c r="B422" s="1140" t="s">
        <v>20368</v>
      </c>
      <c r="C422" s="1141" t="s">
        <v>524</v>
      </c>
      <c r="D422" s="1142" t="s">
        <v>2296</v>
      </c>
      <c r="E422" s="1121" t="s">
        <v>2284</v>
      </c>
      <c r="F422" s="1150" t="s">
        <v>2297</v>
      </c>
      <c r="G422" s="1121" t="s">
        <v>2278</v>
      </c>
      <c r="H422" s="1144" t="s">
        <v>20369</v>
      </c>
      <c r="I422" s="1145" t="s">
        <v>2595</v>
      </c>
      <c r="J422" s="1146" t="s">
        <v>20370</v>
      </c>
      <c r="K422" s="1147" t="str">
        <f>HYPERLINK("https://www.google.com/maps/search/Fanal+Madeira/@32.798,-17.13,14z","🥾 PR13 — Vereda do Fanal")</f>
        <v>🥾 PR13 — Vereda do Fanal</v>
      </c>
      <c r="L422" s="1148" t="s">
        <v>20371</v>
      </c>
    </row>
    <row r="423" spans="1:12" ht="15" customHeight="1" x14ac:dyDescent="0.45">
      <c r="A423" s="1128">
        <v>34</v>
      </c>
      <c r="B423" s="1129" t="s">
        <v>20372</v>
      </c>
      <c r="C423" s="1130" t="s">
        <v>524</v>
      </c>
      <c r="D423" s="1131" t="s">
        <v>2326</v>
      </c>
      <c r="E423" s="1132" t="s">
        <v>2473</v>
      </c>
      <c r="F423" s="1151" t="s">
        <v>2297</v>
      </c>
      <c r="G423" s="1132" t="s">
        <v>2270</v>
      </c>
      <c r="H423" s="1134" t="s">
        <v>2363</v>
      </c>
      <c r="I423" s="1135" t="s">
        <v>2595</v>
      </c>
      <c r="J423" s="1136" t="s">
        <v>20373</v>
      </c>
      <c r="K423" s="1137" t="str">
        <f>HYPERLINK("https://www.google.com/maps/search/Fanal+Madeira/@32.797,-17.128,14z","🥾 PR13.1 — Vereda da Palha Carga")</f>
        <v>🥾 PR13.1 — Vereda da Palha Carga</v>
      </c>
      <c r="L423" s="1138" t="s">
        <v>20371</v>
      </c>
    </row>
    <row r="424" spans="1:12" ht="15" customHeight="1" x14ac:dyDescent="0.45">
      <c r="A424" s="1139">
        <v>35</v>
      </c>
      <c r="B424" s="1140" t="s">
        <v>20374</v>
      </c>
      <c r="C424" s="1141" t="s">
        <v>524</v>
      </c>
      <c r="D424" s="1142" t="s">
        <v>2378</v>
      </c>
      <c r="E424" s="1121" t="s">
        <v>2276</v>
      </c>
      <c r="F424" s="1143" t="s">
        <v>2589</v>
      </c>
      <c r="G424" s="1121" t="s">
        <v>2270</v>
      </c>
      <c r="H424" s="1144" t="s">
        <v>2363</v>
      </c>
      <c r="I424" s="1145" t="s">
        <v>2595</v>
      </c>
      <c r="J424" s="1146" t="s">
        <v>20375</v>
      </c>
      <c r="K424" s="1147" t="str">
        <f>HYPERLINK("https://www.google.com/maps/search/Levada+dos+Cedros+Porto+Moniz+Madeira/@32.795,-17.13,14z","🥾 PR14 — Levada dos Cedros")</f>
        <v>🥾 PR14 — Levada dos Cedros</v>
      </c>
      <c r="L424" s="1148" t="s">
        <v>6705</v>
      </c>
    </row>
    <row r="425" spans="1:12" ht="15" customHeight="1" x14ac:dyDescent="0.45">
      <c r="A425" s="1128">
        <v>36</v>
      </c>
      <c r="B425" s="1129" t="s">
        <v>20376</v>
      </c>
      <c r="C425" s="1130" t="s">
        <v>524</v>
      </c>
      <c r="D425" s="1131" t="s">
        <v>2302</v>
      </c>
      <c r="E425" s="1132" t="s">
        <v>2369</v>
      </c>
      <c r="F425" s="1133" t="s">
        <v>2589</v>
      </c>
      <c r="G425" s="1132" t="s">
        <v>2270</v>
      </c>
      <c r="H425" s="1134" t="s">
        <v>2319</v>
      </c>
      <c r="I425" s="1135" t="s">
        <v>2595</v>
      </c>
      <c r="J425" s="1136" t="s">
        <v>20377</v>
      </c>
      <c r="K425" s="1137" t="str">
        <f>HYPERLINK("https://www.google.com/maps/search/Ribeira+da+Janela+Porto+Moniz+Madeira/@32.795,-17.12,14z","🥾 PR15 — Vereda da Ribeira da Janela")</f>
        <v>🥾 PR15 — Vereda da Ribeira da Janela</v>
      </c>
      <c r="L425" s="1138" t="s">
        <v>6705</v>
      </c>
    </row>
    <row r="426" spans="1:12" ht="15" customHeight="1" x14ac:dyDescent="0.45">
      <c r="A426" s="1139">
        <v>37</v>
      </c>
      <c r="B426" s="1140" t="s">
        <v>20378</v>
      </c>
      <c r="C426" s="1141" t="s">
        <v>524</v>
      </c>
      <c r="D426" s="1142" t="s">
        <v>2283</v>
      </c>
      <c r="E426" s="1121" t="s">
        <v>2330</v>
      </c>
      <c r="F426" s="1143" t="s">
        <v>2589</v>
      </c>
      <c r="G426" s="1121" t="s">
        <v>2270</v>
      </c>
      <c r="H426" s="1144" t="s">
        <v>2298</v>
      </c>
      <c r="I426" s="1145" t="s">
        <v>2595</v>
      </c>
      <c r="J426" s="1146" t="s">
        <v>20379</v>
      </c>
      <c r="K426" s="1147" t="str">
        <f>HYPERLINK("https://www.google.com/maps/search/Paul+do+Mar+Madeira/@32.758,-17.222,14z","🥾 PR19 — Caminho Real do Paul do Mar")</f>
        <v>🥾 PR19 — Caminho Real do Paul do Mar</v>
      </c>
      <c r="L426" s="1148" t="s">
        <v>20380</v>
      </c>
    </row>
    <row r="427" spans="1:12" ht="15" customHeight="1" x14ac:dyDescent="0.45">
      <c r="A427" s="1128">
        <v>38</v>
      </c>
      <c r="B427" s="1129" t="s">
        <v>20381</v>
      </c>
      <c r="C427" s="1130" t="s">
        <v>524</v>
      </c>
      <c r="D427" s="1131" t="s">
        <v>2326</v>
      </c>
      <c r="E427" s="1132" t="s">
        <v>2473</v>
      </c>
      <c r="F427" s="1151" t="s">
        <v>2297</v>
      </c>
      <c r="G427" s="1132" t="s">
        <v>2270</v>
      </c>
      <c r="H427" s="1134" t="s">
        <v>2431</v>
      </c>
      <c r="I427" s="1135" t="s">
        <v>2595</v>
      </c>
      <c r="J427" s="1136" t="s">
        <v>20382</v>
      </c>
      <c r="K427" s="1137" t="str">
        <f>HYPERLINK("https://www.google.com/maps/search/Jardim+do+Mar+Madeira/@32.762,-17.232,14z","🥾 PR20 — Vereda do Jardim do Mar")</f>
        <v>🥾 PR20 — Vereda do Jardim do Mar</v>
      </c>
      <c r="L427" s="1138" t="s">
        <v>20383</v>
      </c>
    </row>
    <row r="428" spans="1:12" ht="15" customHeight="1" x14ac:dyDescent="0.45">
      <c r="A428" s="1139">
        <v>39</v>
      </c>
      <c r="B428" s="1140" t="s">
        <v>20384</v>
      </c>
      <c r="C428" s="1141" t="s">
        <v>524</v>
      </c>
      <c r="D428" s="1142" t="s">
        <v>2335</v>
      </c>
      <c r="E428" s="1121" t="s">
        <v>2308</v>
      </c>
      <c r="F428" s="1143" t="s">
        <v>2589</v>
      </c>
      <c r="G428" s="1121" t="s">
        <v>2270</v>
      </c>
      <c r="H428" s="1144" t="s">
        <v>2442</v>
      </c>
      <c r="I428" s="1145" t="s">
        <v>2595</v>
      </c>
      <c r="J428" s="1146" t="s">
        <v>20385</v>
      </c>
      <c r="K428" s="1147" t="str">
        <f>HYPERLINK("https://www.google.com/maps/search/São+Vicente+Madeira/@32.78,-17.01,14z","🥾 PR21 — Caminho do Norte")</f>
        <v>🥾 PR21 — Caminho do Norte</v>
      </c>
      <c r="L428" s="1148" t="s">
        <v>6699</v>
      </c>
    </row>
    <row r="429" spans="1:12" ht="15" customHeight="1" x14ac:dyDescent="0.45">
      <c r="A429" s="1128">
        <v>40</v>
      </c>
      <c r="B429" s="1129" t="s">
        <v>20386</v>
      </c>
      <c r="C429" s="1130" t="s">
        <v>524</v>
      </c>
      <c r="D429" s="1131" t="s">
        <v>2296</v>
      </c>
      <c r="E429" s="1132" t="s">
        <v>2284</v>
      </c>
      <c r="F429" s="1151" t="s">
        <v>2297</v>
      </c>
      <c r="G429" s="1132" t="s">
        <v>2270</v>
      </c>
      <c r="H429" s="1134" t="s">
        <v>2298</v>
      </c>
      <c r="I429" s="1135" t="s">
        <v>2595</v>
      </c>
      <c r="J429" s="1136" t="s">
        <v>20387</v>
      </c>
      <c r="K429" s="1137" t="str">
        <f>HYPERLINK("https://www.google.com/maps/search/Levada+da+Azenha+Madeira/@32.67,-16.89,14z","🥾 PR23 — Levada da Azenha")</f>
        <v>🥾 PR23 — Levada da Azenha</v>
      </c>
      <c r="L429" s="1138" t="s">
        <v>779</v>
      </c>
    </row>
    <row r="430" spans="1:12" ht="15" customHeight="1" x14ac:dyDescent="0.45">
      <c r="A430" s="1139">
        <v>41</v>
      </c>
      <c r="B430" s="1140" t="s">
        <v>20388</v>
      </c>
      <c r="C430" s="1141" t="s">
        <v>524</v>
      </c>
      <c r="D430" s="1142" t="s">
        <v>2290</v>
      </c>
      <c r="E430" s="1121" t="s">
        <v>2291</v>
      </c>
      <c r="F430" s="1143" t="s">
        <v>2589</v>
      </c>
      <c r="G430" s="1121" t="s">
        <v>2278</v>
      </c>
      <c r="H430" s="1144" t="s">
        <v>2449</v>
      </c>
      <c r="I430" s="1145" t="s">
        <v>2825</v>
      </c>
      <c r="J430" s="1146" t="s">
        <v>20389</v>
      </c>
      <c r="K430" s="1147" t="str">
        <f>HYPERLINK("https://www.google.com/maps/search/Paul+da+Serra+Madeira/@32.745,-17.065,14z","🥾 PR27 — Glaciar de Planalto")</f>
        <v>🥾 PR27 — Glaciar de Planalto</v>
      </c>
      <c r="L430" s="1148" t="s">
        <v>20360</v>
      </c>
    </row>
    <row r="431" spans="1:12" ht="15" customHeight="1" x14ac:dyDescent="0.45">
      <c r="A431" s="1128">
        <v>42</v>
      </c>
      <c r="B431" s="1129" t="s">
        <v>20390</v>
      </c>
      <c r="C431" s="1130" t="s">
        <v>524</v>
      </c>
      <c r="D431" s="1131" t="s">
        <v>2275</v>
      </c>
      <c r="E431" s="1132" t="s">
        <v>2330</v>
      </c>
      <c r="F431" s="1151" t="s">
        <v>2297</v>
      </c>
      <c r="G431" s="1132" t="s">
        <v>2270</v>
      </c>
      <c r="H431" s="1134" t="s">
        <v>2336</v>
      </c>
      <c r="I431" s="1135" t="s">
        <v>2595</v>
      </c>
      <c r="J431" s="1136" t="s">
        <v>20391</v>
      </c>
      <c r="K431" s="1137" t="str">
        <f>HYPERLINK("https://www.google.com/maps/search/Levada+da+Rocha+Vermelha+Madeira/@32.68,-16.87,14z","🥾 PR28 — Levada da Rocha Vermelha")</f>
        <v>🥾 PR28 — Levada da Rocha Vermelha</v>
      </c>
      <c r="L431" s="1138" t="s">
        <v>779</v>
      </c>
    </row>
    <row r="432" spans="1:12" ht="15" customHeight="1" x14ac:dyDescent="0.45">
      <c r="A432" s="1152"/>
      <c r="B432" s="1153" t="s">
        <v>20392</v>
      </c>
      <c r="C432" s="1154"/>
      <c r="D432" s="1154"/>
      <c r="E432" s="1154"/>
      <c r="F432" s="1154"/>
      <c r="G432" s="1154"/>
      <c r="H432" s="1154"/>
      <c r="I432" s="1154"/>
      <c r="J432" s="1155"/>
      <c r="K432" s="1127"/>
      <c r="L432" s="1156"/>
    </row>
    <row r="433" spans="1:12" ht="15" customHeight="1" x14ac:dyDescent="0.45">
      <c r="A433" s="1139">
        <v>1</v>
      </c>
      <c r="B433" s="1140" t="s">
        <v>20393</v>
      </c>
      <c r="C433" s="1141" t="s">
        <v>7530</v>
      </c>
      <c r="D433" s="1142" t="s">
        <v>2315</v>
      </c>
      <c r="E433" s="1121" t="s">
        <v>2291</v>
      </c>
      <c r="F433" s="1143" t="s">
        <v>2589</v>
      </c>
      <c r="G433" s="1121" t="s">
        <v>2278</v>
      </c>
      <c r="H433" s="1144" t="s">
        <v>20394</v>
      </c>
      <c r="I433" s="1145" t="s">
        <v>2595</v>
      </c>
      <c r="J433" s="1146" t="s">
        <v>20395</v>
      </c>
      <c r="K433" s="1147" t="str">
        <f>HYPERLINK("https://www.google.com/maps/search/Pico+Branco+Porto+Santo/@33.073,-16.32,13z","🥾 PR1 Porto Santo — Pico Branco")</f>
        <v>🥾 PR1 Porto Santo — Pico Branco</v>
      </c>
      <c r="L433" s="1148" t="s">
        <v>3680</v>
      </c>
    </row>
    <row r="434" spans="1:12" ht="15" customHeight="1" x14ac:dyDescent="0.45">
      <c r="A434" s="1128">
        <v>2</v>
      </c>
      <c r="B434" s="1129" t="s">
        <v>20396</v>
      </c>
      <c r="C434" s="1130" t="s">
        <v>7530</v>
      </c>
      <c r="D434" s="1131" t="s">
        <v>2275</v>
      </c>
      <c r="E434" s="1132" t="s">
        <v>2330</v>
      </c>
      <c r="F434" s="1151" t="s">
        <v>2297</v>
      </c>
      <c r="G434" s="1132" t="s">
        <v>2278</v>
      </c>
      <c r="H434" s="1134" t="s">
        <v>20397</v>
      </c>
      <c r="I434" s="1135" t="s">
        <v>2595</v>
      </c>
      <c r="J434" s="1136" t="s">
        <v>20398</v>
      </c>
      <c r="K434" s="1137" t="str">
        <f>HYPERLINK("https://www.google.com/maps/search/Pico+do+Castelo+Porto+Santo/@33.065,-16.328,13z","🥾 PR2 Porto Santo — Pico do Castelo")</f>
        <v>🥾 PR2 Porto Santo — Pico do Castelo</v>
      </c>
      <c r="L434" s="1138" t="s">
        <v>3680</v>
      </c>
    </row>
    <row r="435" spans="1:12" ht="20" customHeight="1" x14ac:dyDescent="0.45">
      <c r="A435" s="1438">
        <v>3</v>
      </c>
      <c r="B435" s="1439"/>
      <c r="C435" s="1440"/>
      <c r="D435" s="1441"/>
      <c r="E435" s="1442"/>
      <c r="F435" s="1443"/>
      <c r="G435" s="1442"/>
      <c r="H435" s="1444"/>
      <c r="I435" s="1445"/>
      <c r="J435" s="1446"/>
      <c r="K435" s="1447"/>
      <c r="L435" s="1448"/>
    </row>
  </sheetData>
  <mergeCells count="10">
    <mergeCell ref="A2:L2"/>
    <mergeCell ref="A388:L388"/>
    <mergeCell ref="A179:L179"/>
    <mergeCell ref="A1:L1"/>
    <mergeCell ref="A435:L435"/>
    <mergeCell ref="A91:L91"/>
    <mergeCell ref="A372:L372"/>
    <mergeCell ref="A324:L324"/>
    <mergeCell ref="A226:L226"/>
    <mergeCell ref="A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3"/>
  <sheetViews>
    <sheetView workbookViewId="0">
      <pane ySplit="3" topLeftCell="A31" activePane="bottomLeft" state="frozen"/>
      <selection pane="bottomLeft" activeCell="J35" sqref="J35"/>
    </sheetView>
  </sheetViews>
  <sheetFormatPr defaultRowHeight="14.5" x14ac:dyDescent="0.35"/>
  <cols>
    <col min="1" max="1" width="4" customWidth="1"/>
    <col min="2" max="2" width="36" customWidth="1"/>
    <col min="3" max="3" width="12" customWidth="1"/>
    <col min="4" max="4" width="22" customWidth="1"/>
    <col min="5" max="5" width="34" customWidth="1"/>
    <col min="6" max="6" width="16" customWidth="1"/>
    <col min="7" max="7" width="12" customWidth="1"/>
    <col min="8" max="8" width="36" customWidth="1"/>
    <col min="9" max="9" width="52" customWidth="1"/>
    <col min="10" max="10" width="58" customWidth="1"/>
  </cols>
  <sheetData>
    <row r="1" spans="1:10" ht="32" customHeight="1" x14ac:dyDescent="0.35">
      <c r="A1" s="1476" t="s">
        <v>2883</v>
      </c>
      <c r="B1" s="1313"/>
      <c r="C1" s="1313"/>
      <c r="D1" s="1313"/>
      <c r="E1" s="1313"/>
      <c r="F1" s="1313"/>
      <c r="G1" s="1313"/>
      <c r="H1" s="1313"/>
      <c r="I1" s="1313"/>
    </row>
    <row r="2" spans="1:10" ht="16" customHeight="1" x14ac:dyDescent="0.35">
      <c r="A2" s="1365" t="s">
        <v>2884</v>
      </c>
      <c r="B2" s="1313"/>
      <c r="C2" s="1313"/>
      <c r="D2" s="1313"/>
      <c r="E2" s="1313"/>
      <c r="F2" s="1313"/>
      <c r="G2" s="1313"/>
      <c r="H2" s="1313"/>
      <c r="I2" s="1313"/>
    </row>
    <row r="3" spans="1:10" ht="24" customHeight="1" x14ac:dyDescent="0.35">
      <c r="A3" s="238" t="s">
        <v>141</v>
      </c>
      <c r="B3" s="238" t="s">
        <v>2885</v>
      </c>
      <c r="C3" s="238" t="s">
        <v>619</v>
      </c>
      <c r="D3" s="238" t="s">
        <v>2886</v>
      </c>
      <c r="E3" s="238" t="s">
        <v>906</v>
      </c>
      <c r="F3" s="238" t="s">
        <v>909</v>
      </c>
      <c r="G3" s="238" t="s">
        <v>1327</v>
      </c>
      <c r="H3" s="238" t="s">
        <v>1326</v>
      </c>
      <c r="I3" s="303" t="s">
        <v>8</v>
      </c>
      <c r="J3" s="238" t="s">
        <v>789</v>
      </c>
    </row>
    <row r="4" spans="1:10" ht="22" customHeight="1" x14ac:dyDescent="0.35">
      <c r="A4" s="1479" t="s">
        <v>2887</v>
      </c>
      <c r="B4" s="1313"/>
      <c r="C4" s="1313"/>
      <c r="D4" s="1313"/>
      <c r="E4" s="1313"/>
      <c r="F4" s="1313"/>
      <c r="G4" s="1313"/>
      <c r="H4" s="1313"/>
      <c r="I4" s="1313"/>
    </row>
    <row r="5" spans="1:10" ht="110" customHeight="1" x14ac:dyDescent="0.35">
      <c r="A5" s="338">
        <v>1</v>
      </c>
      <c r="B5" s="239" t="s">
        <v>2888</v>
      </c>
      <c r="C5" s="240" t="s">
        <v>792</v>
      </c>
      <c r="D5" s="239" t="s">
        <v>2889</v>
      </c>
      <c r="E5" s="239" t="s">
        <v>2890</v>
      </c>
      <c r="F5" s="239" t="s">
        <v>2891</v>
      </c>
      <c r="G5" s="239" t="s">
        <v>1336</v>
      </c>
      <c r="H5" s="241" t="s">
        <v>2892</v>
      </c>
      <c r="I5" s="304" t="s">
        <v>2893</v>
      </c>
      <c r="J5" s="257" t="str">
        <f>HYPERLINK("https://www.google.com/maps/search/Entran%C3%A7ados%20de%20Palha%20de%20Centeio%20%E2%80%94%20Gol%C3%A3es%20Norte%20Portugal/@41.4531,-8.1938,17z","🎨 Entrançados de Palha de Cen…")</f>
        <v>🎨 Entrançados de Palha de Cen…</v>
      </c>
    </row>
    <row r="6" spans="1:10" ht="110" customHeight="1" x14ac:dyDescent="0.35">
      <c r="A6" s="336">
        <v>2</v>
      </c>
      <c r="B6" s="242" t="s">
        <v>2894</v>
      </c>
      <c r="C6" s="243" t="s">
        <v>792</v>
      </c>
      <c r="D6" s="242" t="s">
        <v>2889</v>
      </c>
      <c r="E6" s="242" t="s">
        <v>2895</v>
      </c>
      <c r="F6" s="242" t="s">
        <v>2891</v>
      </c>
      <c r="G6" s="242" t="s">
        <v>1336</v>
      </c>
      <c r="H6" s="244" t="s">
        <v>2896</v>
      </c>
      <c r="I6" s="305" t="s">
        <v>2893</v>
      </c>
      <c r="J6" s="258" t="str">
        <f>HYPERLINK("https://www.google.com/maps/search/Posto%20de%20Turismo%20de%20Fafe%20%E2%80%94%20Of%C3%ADcios%20Tradicionais%20Norte%20Portugal/@41.4515,-8.1746,17z","🎨 Posto de Turismo de Fafe — …")</f>
        <v>🎨 Posto de Turismo de Fafe — …</v>
      </c>
    </row>
    <row r="7" spans="1:10" ht="110" customHeight="1" x14ac:dyDescent="0.35">
      <c r="A7" s="338">
        <v>3</v>
      </c>
      <c r="B7" s="239" t="s">
        <v>2897</v>
      </c>
      <c r="C7" s="240" t="s">
        <v>792</v>
      </c>
      <c r="D7" s="239" t="s">
        <v>2898</v>
      </c>
      <c r="E7" s="239" t="s">
        <v>2899</v>
      </c>
      <c r="F7" s="239" t="s">
        <v>2891</v>
      </c>
      <c r="G7" s="239" t="s">
        <v>1392</v>
      </c>
      <c r="H7" s="241" t="s">
        <v>2900</v>
      </c>
      <c r="I7" s="304" t="s">
        <v>2901</v>
      </c>
      <c r="J7" s="257" t="str">
        <f>HYPERLINK("https://www.google.com/maps/search/Aldeia%20de%20Bisalh%C3%A3es%20%E2%80%94%20Olaria%20de%20Barro%20Preto%20Norte%20Portugal/@41.3291,-7.7802,17z","🎨 Aldeia de Bisalhães — Olari…")</f>
        <v>🎨 Aldeia de Bisalhães — Olari…</v>
      </c>
    </row>
    <row r="8" spans="1:10" ht="110" customHeight="1" x14ac:dyDescent="0.35">
      <c r="A8" s="336">
        <v>4</v>
      </c>
      <c r="B8" s="242" t="s">
        <v>2902</v>
      </c>
      <c r="C8" s="243" t="s">
        <v>792</v>
      </c>
      <c r="D8" s="242" t="s">
        <v>2903</v>
      </c>
      <c r="E8" s="242" t="s">
        <v>2904</v>
      </c>
      <c r="F8" s="242" t="s">
        <v>2891</v>
      </c>
      <c r="G8" s="242" t="s">
        <v>1336</v>
      </c>
      <c r="H8" s="244" t="s">
        <v>2905</v>
      </c>
      <c r="I8" s="305" t="s">
        <v>2906</v>
      </c>
      <c r="J8" s="258" t="str">
        <f>HYPERLINK("https://www.google.com/maps/search/Museu%20de%20Arqueologia%20e%20Numism%C3%A1tica%20de%20Vila%20Real%20Norte%20Portugal/@41.2973,-7.7455,17z","🎨 Museu de Arqueologia e Numi…")</f>
        <v>🎨 Museu de Arqueologia e Numi…</v>
      </c>
    </row>
    <row r="9" spans="1:10" ht="110" customHeight="1" x14ac:dyDescent="0.35">
      <c r="A9" s="338">
        <v>5</v>
      </c>
      <c r="B9" s="239" t="s">
        <v>2907</v>
      </c>
      <c r="C9" s="240" t="s">
        <v>792</v>
      </c>
      <c r="D9" s="239" t="s">
        <v>2908</v>
      </c>
      <c r="E9" s="239" t="s">
        <v>2909</v>
      </c>
      <c r="F9" s="239" t="s">
        <v>2910</v>
      </c>
      <c r="G9" s="239" t="s">
        <v>1392</v>
      </c>
      <c r="H9" s="241" t="s">
        <v>2911</v>
      </c>
      <c r="I9" s="304" t="s">
        <v>2912</v>
      </c>
      <c r="J9" s="257" t="str">
        <f>HYPERLINK("https://www.google.com/maps/search/Maraus%20Hat%20Atelier%20%E2%80%94%20Chapelaria%20Artesanal%20%28S%C3%A3o%20Jo%C3%A3o%20da%20Madeira%29%20Norte%20Portugal/@40.8988,-8.4902,17z","🎨 Maraus Hat Atelier — Chapel…")</f>
        <v>🎨 Maraus Hat Atelier — Chapel…</v>
      </c>
    </row>
    <row r="10" spans="1:10" ht="22" customHeight="1" x14ac:dyDescent="0.35">
      <c r="A10" s="1475" t="s">
        <v>2913</v>
      </c>
      <c r="B10" s="1313"/>
      <c r="C10" s="1313"/>
      <c r="D10" s="1313"/>
      <c r="E10" s="1313"/>
      <c r="F10" s="1313"/>
      <c r="G10" s="1313"/>
      <c r="H10" s="1313"/>
      <c r="I10" s="1313"/>
    </row>
    <row r="11" spans="1:10" ht="110" customHeight="1" x14ac:dyDescent="0.35">
      <c r="A11" s="358">
        <v>1</v>
      </c>
      <c r="B11" s="259" t="s">
        <v>2914</v>
      </c>
      <c r="C11" s="260" t="s">
        <v>836</v>
      </c>
      <c r="D11" s="259" t="s">
        <v>2903</v>
      </c>
      <c r="E11" s="259" t="s">
        <v>2915</v>
      </c>
      <c r="F11" s="259" t="s">
        <v>2916</v>
      </c>
      <c r="G11" s="259" t="s">
        <v>1336</v>
      </c>
      <c r="H11" s="261" t="s">
        <v>2917</v>
      </c>
      <c r="I11" s="305" t="s">
        <v>2918</v>
      </c>
      <c r="J11" s="286" t="str">
        <f>HYPERLINK("https://www.google.com/maps/search/Museu%20do%20Linho%20de%20Vilar%20Seco%20%E2%80%94%20Viseu%20Centro%20Portugal/@40.7672,-7.8578,17z","🎨 Museu do Linho de Vilar Sec…")</f>
        <v>🎨 Museu do Linho de Vilar Sec…</v>
      </c>
    </row>
    <row r="12" spans="1:10" ht="110" customHeight="1" x14ac:dyDescent="0.35">
      <c r="A12" s="352">
        <v>2</v>
      </c>
      <c r="B12" s="262" t="s">
        <v>2919</v>
      </c>
      <c r="C12" s="263" t="s">
        <v>836</v>
      </c>
      <c r="D12" s="262" t="s">
        <v>2903</v>
      </c>
      <c r="E12" s="262" t="s">
        <v>2920</v>
      </c>
      <c r="F12" s="262" t="s">
        <v>2921</v>
      </c>
      <c r="G12" s="262" t="s">
        <v>1336</v>
      </c>
      <c r="H12" s="264" t="s">
        <v>2922</v>
      </c>
      <c r="I12" s="304" t="s">
        <v>2923</v>
      </c>
      <c r="J12" s="287" t="str">
        <f>HYPERLINK("https://www.google.com/maps/search/N%C3%BAcleo%20de%20Tecelagem%20Tomaz%20Alcaide%20%E2%80%94%20Tomar%20Centro%20Portugal/@39.6034,-8.414,17z","🎨 Núcleo de Tecelagem Tomaz A…")</f>
        <v>🎨 Núcleo de Tecelagem Tomaz A…</v>
      </c>
    </row>
    <row r="13" spans="1:10" ht="110" customHeight="1" x14ac:dyDescent="0.35">
      <c r="A13" s="358">
        <v>3</v>
      </c>
      <c r="B13" s="259" t="s">
        <v>2924</v>
      </c>
      <c r="C13" s="260" t="s">
        <v>836</v>
      </c>
      <c r="D13" s="259" t="s">
        <v>2925</v>
      </c>
      <c r="E13" s="259" t="s">
        <v>2926</v>
      </c>
      <c r="F13" s="259" t="s">
        <v>2927</v>
      </c>
      <c r="G13" s="259" t="s">
        <v>1392</v>
      </c>
      <c r="H13" s="261" t="s">
        <v>2928</v>
      </c>
      <c r="I13" s="305" t="s">
        <v>2929</v>
      </c>
      <c r="J13" s="286" t="str">
        <f>HYPERLINK("https://www.google.com/maps/search/Centro%20Interpretativo%20do%20Cobertor%20de%20Papa%20%E2%80%94%20Ma%C3%A7ainhas%20Portugal/@40.3857,-7.2666,17z","🎨 Centro Interpretativo do Co…")</f>
        <v>🎨 Centro Interpretativo do Co…</v>
      </c>
    </row>
    <row r="14" spans="1:10" ht="110" customHeight="1" x14ac:dyDescent="0.35">
      <c r="A14" s="352">
        <v>4</v>
      </c>
      <c r="B14" s="262" t="s">
        <v>2930</v>
      </c>
      <c r="C14" s="263" t="s">
        <v>836</v>
      </c>
      <c r="D14" s="262" t="s">
        <v>2931</v>
      </c>
      <c r="E14" s="262" t="s">
        <v>2932</v>
      </c>
      <c r="F14" s="262" t="s">
        <v>2933</v>
      </c>
      <c r="G14" s="262" t="s">
        <v>1392</v>
      </c>
      <c r="H14" s="264" t="s">
        <v>2934</v>
      </c>
      <c r="I14" s="304" t="s">
        <v>2935</v>
      </c>
      <c r="J14" s="287" t="str">
        <f>HYPERLINK("https://www.google.com/maps/search/Museu%20de%20Lanif%C3%ADcios%20UBI%20%E2%80%94%20Real%20F%C3%A1brica%20de%20Panos%20Centro%20Portugal/@40.2786,-7.5047,17z","🎨 Museu de Lanifícios UBI — R…")</f>
        <v>🎨 Museu de Lanifícios UBI — R…</v>
      </c>
    </row>
    <row r="15" spans="1:10" ht="110" customHeight="1" x14ac:dyDescent="0.35">
      <c r="A15" s="358">
        <v>5</v>
      </c>
      <c r="B15" s="259" t="s">
        <v>2936</v>
      </c>
      <c r="C15" s="260" t="s">
        <v>836</v>
      </c>
      <c r="D15" s="259" t="s">
        <v>2925</v>
      </c>
      <c r="E15" s="259" t="s">
        <v>2937</v>
      </c>
      <c r="F15" s="259" t="s">
        <v>2938</v>
      </c>
      <c r="G15" s="259" t="s">
        <v>1392</v>
      </c>
      <c r="H15" s="261" t="s">
        <v>2939</v>
      </c>
      <c r="I15" s="305" t="s">
        <v>2940</v>
      </c>
      <c r="J15" s="286" t="str">
        <f>HYPERLINK("https://www.google.com/maps/search/Burel%20Factory%20%E2%80%94%20Manteigas%20Centro%20Portugal/@40.3154,-7.5513,17z","🎨 Burel Factory — Manteigas")</f>
        <v>🎨 Burel Factory — Manteigas</v>
      </c>
    </row>
    <row r="16" spans="1:10" ht="110" customHeight="1" x14ac:dyDescent="0.35">
      <c r="A16" s="352">
        <v>6</v>
      </c>
      <c r="B16" s="262" t="s">
        <v>2941</v>
      </c>
      <c r="C16" s="263" t="s">
        <v>836</v>
      </c>
      <c r="D16" s="262" t="s">
        <v>2942</v>
      </c>
      <c r="E16" s="262" t="s">
        <v>2943</v>
      </c>
      <c r="F16" s="262" t="s">
        <v>2944</v>
      </c>
      <c r="G16" s="262" t="s">
        <v>1392</v>
      </c>
      <c r="H16" s="264" t="s">
        <v>2945</v>
      </c>
      <c r="I16" s="304" t="s">
        <v>2946</v>
      </c>
      <c r="J16" s="287" t="str">
        <f>HYPERLINK("https://www.google.com/maps/search/Centro%20de%20Interpreta%C3%A7%C3%A3o%20do%20Bordado%20de%20Castelo%20Branco%20Portugal/@39.8226,-7.4926,17z","🎨 Centro de Interpretação do …")</f>
        <v>🎨 Centro de Interpretação do …</v>
      </c>
    </row>
    <row r="17" spans="1:10" ht="110" customHeight="1" x14ac:dyDescent="0.35">
      <c r="A17" s="358">
        <v>7</v>
      </c>
      <c r="B17" s="259" t="s">
        <v>2947</v>
      </c>
      <c r="C17" s="260" t="s">
        <v>836</v>
      </c>
      <c r="D17" s="259" t="s">
        <v>2925</v>
      </c>
      <c r="E17" s="259" t="s">
        <v>2948</v>
      </c>
      <c r="F17" s="259" t="s">
        <v>2891</v>
      </c>
      <c r="G17" s="259" t="s">
        <v>1392</v>
      </c>
      <c r="H17" s="261" t="s">
        <v>2949</v>
      </c>
      <c r="I17" s="305" t="s">
        <v>2950</v>
      </c>
      <c r="J17" s="286" t="str">
        <f>HYPERLINK("https://www.google.com/maps/search/F%C3%A1brica%20Progresso%20%E2%80%94%20Chita%20de%20Alcoba%C3%A7a%20Centro%20Portugal/@39.5516,-8.9775,17z","🎨 Fábrica Progresso — Chita d…")</f>
        <v>🎨 Fábrica Progresso — Chita d…</v>
      </c>
    </row>
    <row r="18" spans="1:10" ht="110" customHeight="1" x14ac:dyDescent="0.35">
      <c r="A18" s="352">
        <v>8</v>
      </c>
      <c r="B18" s="262" t="s">
        <v>2951</v>
      </c>
      <c r="C18" s="263" t="s">
        <v>836</v>
      </c>
      <c r="D18" s="262" t="s">
        <v>2898</v>
      </c>
      <c r="E18" s="262" t="s">
        <v>2952</v>
      </c>
      <c r="F18" s="262" t="s">
        <v>2891</v>
      </c>
      <c r="G18" s="262" t="s">
        <v>1392</v>
      </c>
      <c r="H18" s="264" t="s">
        <v>2953</v>
      </c>
      <c r="I18" s="304" t="s">
        <v>2954</v>
      </c>
      <c r="J18" s="287" t="str">
        <f>HYPERLINK("https://www.google.com/maps/search/Rota%20da%20Olaria%20de%20Barro%20Preto%20%E2%80%94%20Molelos%2C%20Tondela%20Centro%20Portugal/@40.5331,-8.1056,17z","🎨 Rota da Olaria de Barro Pre…")</f>
        <v>🎨 Rota da Olaria de Barro Pre…</v>
      </c>
    </row>
    <row r="19" spans="1:10" ht="110" customHeight="1" x14ac:dyDescent="0.35">
      <c r="A19" s="358">
        <v>9</v>
      </c>
      <c r="B19" s="259" t="s">
        <v>2955</v>
      </c>
      <c r="C19" s="260" t="s">
        <v>836</v>
      </c>
      <c r="D19" s="259" t="s">
        <v>2889</v>
      </c>
      <c r="E19" s="259" t="s">
        <v>2956</v>
      </c>
      <c r="F19" s="259" t="s">
        <v>2891</v>
      </c>
      <c r="G19" s="259" t="s">
        <v>1336</v>
      </c>
      <c r="H19" s="261" t="s">
        <v>2957</v>
      </c>
      <c r="I19" s="305" t="s">
        <v>2958</v>
      </c>
      <c r="J19" s="286" t="str">
        <f>HYPERLINK("https://www.google.com/maps/search/Espa%C3%A7o%20C%C3%A1%20da%20Terra%20%E2%80%94%20Sardoal%20Centro%20Portugal/@39.5369,-8.1615,17z","🎨 Espaço Cá da Terra — Sardoal")</f>
        <v>🎨 Espaço Cá da Terra — Sardoal</v>
      </c>
    </row>
    <row r="20" spans="1:10" ht="110" customHeight="1" x14ac:dyDescent="0.35">
      <c r="A20" s="352">
        <v>10</v>
      </c>
      <c r="B20" s="262" t="s">
        <v>2959</v>
      </c>
      <c r="C20" s="263" t="s">
        <v>836</v>
      </c>
      <c r="D20" s="262" t="s">
        <v>2925</v>
      </c>
      <c r="E20" s="262" t="s">
        <v>2960</v>
      </c>
      <c r="F20" s="262" t="s">
        <v>2961</v>
      </c>
      <c r="G20" s="262" t="s">
        <v>1392</v>
      </c>
      <c r="H20" s="264" t="s">
        <v>2962</v>
      </c>
      <c r="I20" s="304" t="s">
        <v>2963</v>
      </c>
      <c r="J20" s="287" t="str">
        <f>HYPERLINK("https://www.google.com/maps/search/Casa%20do%20Tear%20%E2%80%94%20Anabela%20Tavares%20%28Pardilh%C3%B3%2C%20Estarreja%29%20Centro%20Portugal/@40.8555,-8.5821,17z","🎨 Casa do Tear — Anabela Tava…")</f>
        <v>🎨 Casa do Tear — Anabela Tava…</v>
      </c>
    </row>
    <row r="21" spans="1:10" ht="110" customHeight="1" x14ac:dyDescent="0.35">
      <c r="A21" s="358">
        <v>11</v>
      </c>
      <c r="B21" s="259" t="s">
        <v>2964</v>
      </c>
      <c r="C21" s="260" t="s">
        <v>836</v>
      </c>
      <c r="D21" s="259" t="s">
        <v>2903</v>
      </c>
      <c r="E21" s="259" t="s">
        <v>2965</v>
      </c>
      <c r="F21" s="259" t="s">
        <v>2891</v>
      </c>
      <c r="G21" s="259" t="s">
        <v>1336</v>
      </c>
      <c r="H21" s="261" t="s">
        <v>2966</v>
      </c>
      <c r="I21" s="305" t="s">
        <v>2967</v>
      </c>
      <c r="J21" s="286" t="str">
        <f>HYPERLINK("https://www.google.com/maps/search/Museu%20Etnogr%C3%A1fico%20da%20Murtosa%20Centro%20Portugal/@40.7355,-8.6375,17z","🎨 Museu Etnográfico da Murtosa")</f>
        <v>🎨 Museu Etnográfico da Murtosa</v>
      </c>
    </row>
    <row r="22" spans="1:10" ht="110" customHeight="1" x14ac:dyDescent="0.35">
      <c r="A22" s="352">
        <v>12</v>
      </c>
      <c r="B22" s="262" t="s">
        <v>2968</v>
      </c>
      <c r="C22" s="263" t="s">
        <v>836</v>
      </c>
      <c r="D22" s="262" t="s">
        <v>2942</v>
      </c>
      <c r="E22" s="262" t="s">
        <v>2969</v>
      </c>
      <c r="F22" s="262" t="s">
        <v>2944</v>
      </c>
      <c r="G22" s="262" t="s">
        <v>1392</v>
      </c>
      <c r="H22" s="264" t="s">
        <v>2970</v>
      </c>
      <c r="I22" s="304" t="s">
        <v>2971</v>
      </c>
      <c r="J22" s="287" t="str">
        <f>HYPERLINK("https://www.google.com/maps/search/Museu%20da%20Renda%20de%20Bilros%20de%20Peniche%20Centro%20Portugal/@39.356,-9.3802,17z","🎨 Museu da Renda de Bilros de…")</f>
        <v>🎨 Museu da Renda de Bilros de…</v>
      </c>
    </row>
    <row r="23" spans="1:10" ht="110" customHeight="1" x14ac:dyDescent="0.35">
      <c r="A23" s="358">
        <v>13</v>
      </c>
      <c r="B23" s="259" t="s">
        <v>2972</v>
      </c>
      <c r="C23" s="260" t="s">
        <v>836</v>
      </c>
      <c r="D23" s="259" t="s">
        <v>2942</v>
      </c>
      <c r="E23" s="259" t="s">
        <v>2973</v>
      </c>
      <c r="F23" s="259" t="s">
        <v>2891</v>
      </c>
      <c r="G23" s="259" t="s">
        <v>1392</v>
      </c>
      <c r="H23" s="259" t="s">
        <v>2974</v>
      </c>
      <c r="I23" s="305" t="s">
        <v>2975</v>
      </c>
      <c r="J23" s="286" t="str">
        <f>HYPERLINK("https://www.google.com/maps/search/Escola%20de%20Rendas%20de%20Peniche%20Centro%20Portugal/@39.3589,-9.3791,17z","🎨 Escola de Rendas de Peniche")</f>
        <v>🎨 Escola de Rendas de Peniche</v>
      </c>
    </row>
    <row r="24" spans="1:10" ht="110" customHeight="1" x14ac:dyDescent="0.35">
      <c r="A24" s="352">
        <v>14</v>
      </c>
      <c r="B24" s="262" t="s">
        <v>2976</v>
      </c>
      <c r="C24" s="263" t="s">
        <v>836</v>
      </c>
      <c r="D24" s="262" t="s">
        <v>2977</v>
      </c>
      <c r="E24" s="262" t="s">
        <v>2978</v>
      </c>
      <c r="F24" s="262" t="s">
        <v>2891</v>
      </c>
      <c r="G24" s="262" t="s">
        <v>1336</v>
      </c>
      <c r="H24" s="264" t="s">
        <v>2979</v>
      </c>
      <c r="I24" s="304" t="s">
        <v>2980</v>
      </c>
      <c r="J24" s="287" t="str">
        <f>HYPERLINK("https://www.google.com/maps/search/Marafonas%20de%20Monsanto%20%E2%80%94%20Maria%20Helena%20Pinheiro%20Centro%20Portugal/@40.0393,-7.1146,17z","🎨 Marafonas de Monsanto — Mar…")</f>
        <v>🎨 Marafonas de Monsanto — Mar…</v>
      </c>
    </row>
    <row r="25" spans="1:10" ht="110" customHeight="1" x14ac:dyDescent="0.35">
      <c r="A25" s="358">
        <v>15</v>
      </c>
      <c r="B25" s="259" t="s">
        <v>2981</v>
      </c>
      <c r="C25" s="260" t="s">
        <v>836</v>
      </c>
      <c r="D25" s="259" t="s">
        <v>2898</v>
      </c>
      <c r="E25" s="259" t="s">
        <v>2982</v>
      </c>
      <c r="F25" s="259" t="s">
        <v>2891</v>
      </c>
      <c r="G25" s="259" t="s">
        <v>1392</v>
      </c>
      <c r="H25" s="261" t="s">
        <v>2983</v>
      </c>
      <c r="I25" s="305" t="s">
        <v>2984</v>
      </c>
      <c r="J25" s="286" t="str">
        <f>HYPERLINK("https://www.google.com/maps/search/Oficina%20LBP%20%E2%80%94%20Barro%20Preto%20de%20Vila%20Nova%20de%20Poiares%20Centro%20Portugal/@40.2425,-8.2328,17z","🎨 Oficina LBP — Barro Preto d…")</f>
        <v>🎨 Oficina LBP — Barro Preto d…</v>
      </c>
    </row>
    <row r="26" spans="1:10" ht="110" customHeight="1" x14ac:dyDescent="0.35">
      <c r="A26" s="352">
        <v>16</v>
      </c>
      <c r="B26" s="262" t="s">
        <v>2985</v>
      </c>
      <c r="C26" s="263" t="s">
        <v>836</v>
      </c>
      <c r="D26" s="262" t="s">
        <v>2931</v>
      </c>
      <c r="E26" s="262" t="s">
        <v>2986</v>
      </c>
      <c r="F26" s="262" t="s">
        <v>2891</v>
      </c>
      <c r="G26" s="262" t="s">
        <v>1392</v>
      </c>
      <c r="H26" s="264" t="s">
        <v>2987</v>
      </c>
      <c r="I26" s="304" t="s">
        <v>2988</v>
      </c>
      <c r="J26" s="287" t="str">
        <f>HYPERLINK("https://www.google.com/maps/search/Museu%20do%20Vidro%20%E2%80%94%20Marinha%20Grande%20Centro%20Portugal/@39.7503,-8.9311,17z","🎨 Museu do Vidro — Marinha Gr…")</f>
        <v>🎨 Museu do Vidro — Marinha Gr…</v>
      </c>
    </row>
    <row r="27" spans="1:10" ht="110" customHeight="1" x14ac:dyDescent="0.35">
      <c r="A27" s="358">
        <v>17</v>
      </c>
      <c r="B27" s="259" t="s">
        <v>2989</v>
      </c>
      <c r="C27" s="260" t="s">
        <v>836</v>
      </c>
      <c r="D27" s="259" t="s">
        <v>2903</v>
      </c>
      <c r="E27" s="259" t="s">
        <v>2990</v>
      </c>
      <c r="F27" s="259" t="s">
        <v>2891</v>
      </c>
      <c r="G27" s="259" t="s">
        <v>1336</v>
      </c>
      <c r="H27" s="261" t="s">
        <v>2991</v>
      </c>
      <c r="I27" s="305" t="s">
        <v>2992</v>
      </c>
      <c r="J27" s="286" t="str">
        <f>HYPERLINK("https://www.google.com/maps/search/Ber%C3%A7o%20Vidreiro%20%E2%80%94%20Oliveira%20de%20Azem%C3%A9is%20Centro%20Portugal/@40.8405,-8.4763,17z","🎨 Berço Vidreiro — Oliveira d…")</f>
        <v>🎨 Berço Vidreiro — Oliveira d…</v>
      </c>
    </row>
    <row r="28" spans="1:10" ht="110" customHeight="1" x14ac:dyDescent="0.35">
      <c r="A28" s="352">
        <v>18</v>
      </c>
      <c r="B28" s="262" t="s">
        <v>2993</v>
      </c>
      <c r="C28" s="263" t="s">
        <v>836</v>
      </c>
      <c r="D28" s="262" t="s">
        <v>2925</v>
      </c>
      <c r="E28" s="262" t="s">
        <v>2994</v>
      </c>
      <c r="F28" s="262" t="s">
        <v>2891</v>
      </c>
      <c r="G28" s="262" t="s">
        <v>1392</v>
      </c>
      <c r="H28" s="264" t="s">
        <v>2995</v>
      </c>
      <c r="I28" s="304" t="s">
        <v>2996</v>
      </c>
      <c r="J28" s="287" t="str">
        <f>HYPERLINK("https://www.google.com/maps/search/Atelier%20de%20Tecelagem%20de%20Minde%20%E2%80%94%20Manta%20de%20Minde%20Centro%20Portugal/@39.5167,-8.6833,17z","🎨 Atelier de Tecelagem de Min…")</f>
        <v>🎨 Atelier de Tecelagem de Min…</v>
      </c>
    </row>
    <row r="29" spans="1:10" ht="110" customHeight="1" x14ac:dyDescent="0.35">
      <c r="A29" s="358">
        <v>19</v>
      </c>
      <c r="B29" s="259" t="s">
        <v>2997</v>
      </c>
      <c r="C29" s="260" t="s">
        <v>836</v>
      </c>
      <c r="D29" s="259" t="s">
        <v>2903</v>
      </c>
      <c r="E29" s="259" t="s">
        <v>2998</v>
      </c>
      <c r="F29" s="259" t="s">
        <v>2999</v>
      </c>
      <c r="G29" s="259" t="s">
        <v>1336</v>
      </c>
      <c r="H29" s="261" t="s">
        <v>3000</v>
      </c>
      <c r="I29" s="305" t="s">
        <v>3001</v>
      </c>
      <c r="J29" s="286" t="str">
        <f>HYPERLINK("https://www.google.com/maps/search/Museu%20Vivo%20de%20Artes%20e%20Of%C3%ADcios%20%E2%80%94%20Miranda%20do%20Corvo%20Centro%20Portugal/@40.0931,-8.3246,17z","🎨 Museu Vivo de Artes e Ofíci…")</f>
        <v>🎨 Museu Vivo de Artes e Ofíci…</v>
      </c>
    </row>
    <row r="30" spans="1:10" ht="22" customHeight="1" x14ac:dyDescent="0.35">
      <c r="A30" s="1480" t="s">
        <v>3002</v>
      </c>
      <c r="B30" s="1313"/>
      <c r="C30" s="1313"/>
      <c r="D30" s="1313"/>
      <c r="E30" s="1313"/>
      <c r="F30" s="1313"/>
      <c r="G30" s="1313"/>
      <c r="H30" s="1313"/>
      <c r="I30" s="1313"/>
    </row>
    <row r="31" spans="1:10" ht="110" customHeight="1" x14ac:dyDescent="0.35">
      <c r="A31" s="360">
        <v>1</v>
      </c>
      <c r="B31" s="245" t="s">
        <v>3003</v>
      </c>
      <c r="C31" s="246" t="s">
        <v>913</v>
      </c>
      <c r="D31" s="245" t="s">
        <v>2898</v>
      </c>
      <c r="E31" s="245" t="s">
        <v>3004</v>
      </c>
      <c r="F31" s="245" t="s">
        <v>2891</v>
      </c>
      <c r="G31" s="245" t="s">
        <v>1392</v>
      </c>
      <c r="H31" s="247" t="s">
        <v>3005</v>
      </c>
      <c r="I31" s="304" t="s">
        <v>3006</v>
      </c>
      <c r="J31" s="265" t="str">
        <f>HYPERLINK("https://www.google.com/maps/search/Loja%20dos%20Descobrimentos%20%E2%80%94%20Azulejos%20ao%20Vivo%20%28Lisboa%29%20Lisboa%20e%20Vale%20do%20Tejo%20Portugal/@38.708,-9.133,17z","🎨 Loja dos Descobrimentos — A…")</f>
        <v>🎨 Loja dos Descobrimentos — A…</v>
      </c>
    </row>
    <row r="32" spans="1:10" ht="110" customHeight="1" x14ac:dyDescent="0.35">
      <c r="A32" s="340">
        <v>2</v>
      </c>
      <c r="B32" s="248" t="s">
        <v>3007</v>
      </c>
      <c r="C32" s="249" t="s">
        <v>913</v>
      </c>
      <c r="D32" s="248" t="s">
        <v>2898</v>
      </c>
      <c r="E32" s="248" t="s">
        <v>3008</v>
      </c>
      <c r="F32" s="248" t="s">
        <v>2891</v>
      </c>
      <c r="G32" s="248" t="s">
        <v>1392</v>
      </c>
      <c r="H32" s="250" t="s">
        <v>3009</v>
      </c>
      <c r="I32" s="305" t="s">
        <v>3010</v>
      </c>
      <c r="J32" s="266" t="str">
        <f>HYPERLINK("https://www.google.com/maps/search/Authorya%20%E2%80%94%20Cer%C3%A2mica%20Artesanal%20Contempor%C3%A2nea%20%28Lisboa%29%20Lisboa%20e%20Vale%20do%20Tejo%20Portugal/@38.7106,-9.1458,17z","🎨 Authorya — Cerâmica Artesan…")</f>
        <v>🎨 Authorya — Cerâmica Artesan…</v>
      </c>
    </row>
    <row r="33" spans="1:10" ht="110" customHeight="1" x14ac:dyDescent="0.35">
      <c r="A33" s="360">
        <v>3</v>
      </c>
      <c r="B33" s="245" t="s">
        <v>3011</v>
      </c>
      <c r="C33" s="246" t="s">
        <v>913</v>
      </c>
      <c r="D33" s="245" t="s">
        <v>3012</v>
      </c>
      <c r="E33" s="245" t="s">
        <v>3013</v>
      </c>
      <c r="F33" s="245" t="s">
        <v>3014</v>
      </c>
      <c r="G33" s="245" t="s">
        <v>1485</v>
      </c>
      <c r="H33" s="247" t="s">
        <v>3015</v>
      </c>
      <c r="I33" s="304" t="s">
        <v>3016</v>
      </c>
      <c r="J33" s="265" t="str">
        <f>HYPERLINK("https://www.google.com/maps/search/F%C3%A1brica%20Bra%C3%A7o%20de%20Prata%20%E2%80%94%20Centro%20Cultural%20%28Lisboa%29%20Lisboa%20e%20Vale%20do%20Tejo%20Portugal/@38.7364,-9.1075,17z","🎨 Fábrica Braço de Prata — Ce…")</f>
        <v>🎨 Fábrica Braço de Prata — Ce…</v>
      </c>
    </row>
    <row r="34" spans="1:10" ht="22" customHeight="1" x14ac:dyDescent="0.35">
      <c r="A34" s="1478" t="s">
        <v>3017</v>
      </c>
      <c r="B34" s="1313"/>
      <c r="C34" s="1313"/>
      <c r="D34" s="1313"/>
      <c r="E34" s="1313"/>
      <c r="F34" s="1313"/>
      <c r="G34" s="1313"/>
      <c r="H34" s="1313"/>
      <c r="I34" s="1313"/>
    </row>
    <row r="35" spans="1:10" ht="110" customHeight="1" x14ac:dyDescent="0.35">
      <c r="A35" s="346">
        <v>1</v>
      </c>
      <c r="B35" s="267" t="s">
        <v>3018</v>
      </c>
      <c r="C35" s="268" t="s">
        <v>853</v>
      </c>
      <c r="D35" s="267" t="s">
        <v>2977</v>
      </c>
      <c r="E35" s="267" t="s">
        <v>3019</v>
      </c>
      <c r="F35" s="267" t="s">
        <v>2891</v>
      </c>
      <c r="G35" s="267" t="s">
        <v>1336</v>
      </c>
      <c r="H35" s="269" t="s">
        <v>3020</v>
      </c>
      <c r="I35" s="305" t="s">
        <v>3021</v>
      </c>
      <c r="J35" s="288" t="str">
        <f>HYPERLINK("https://www.google.com/maps/search/Museu%20Municipal%20de%20Estremoz%20%E2%80%94%20Bonecos%20de%20Barro%20Alentejo%20Portugal/@38.8423,-7.5869,17z","🎨 Museu Municipal de Estremoz…")</f>
        <v>🎨 Museu Municipal de Estremoz…</v>
      </c>
    </row>
    <row r="36" spans="1:10" ht="110" customHeight="1" x14ac:dyDescent="0.35">
      <c r="A36" s="362">
        <v>2</v>
      </c>
      <c r="B36" s="270" t="s">
        <v>3022</v>
      </c>
      <c r="C36" s="271" t="s">
        <v>853</v>
      </c>
      <c r="D36" s="270" t="s">
        <v>2898</v>
      </c>
      <c r="E36" s="270" t="s">
        <v>3019</v>
      </c>
      <c r="F36" s="270" t="s">
        <v>2891</v>
      </c>
      <c r="G36" s="270" t="s">
        <v>1392</v>
      </c>
      <c r="H36" s="272" t="s">
        <v>3023</v>
      </c>
      <c r="I36" s="304" t="s">
        <v>3024</v>
      </c>
      <c r="J36" s="289" t="str">
        <f>HYPERLINK("https://www.google.com/maps/search/Pal%C3%A1cio%20dos%20Henriques%20/%20da%20Tocha%20%E2%80%94%20Estremoz%20Alentejo%20Portugal/@38.8425,-7.588,17z","🎨 Palácio dos Henriques / da …")</f>
        <v>🎨 Palácio dos Henriques / da …</v>
      </c>
    </row>
    <row r="37" spans="1:10" ht="110" customHeight="1" x14ac:dyDescent="0.35">
      <c r="A37" s="346">
        <v>3</v>
      </c>
      <c r="B37" s="267" t="s">
        <v>3025</v>
      </c>
      <c r="C37" s="268" t="s">
        <v>853</v>
      </c>
      <c r="D37" s="267" t="s">
        <v>2942</v>
      </c>
      <c r="E37" s="267" t="s">
        <v>3026</v>
      </c>
      <c r="F37" s="267" t="s">
        <v>3027</v>
      </c>
      <c r="G37" s="267" t="s">
        <v>1392</v>
      </c>
      <c r="H37" s="269" t="s">
        <v>3028</v>
      </c>
      <c r="I37" s="305" t="s">
        <v>3029</v>
      </c>
      <c r="J37" s="288" t="str">
        <f>HYPERLINK("https://www.google.com/maps/search/EM%20R%C3%A9zio%20%E2%80%94%20Bordado%20de%20Arraiolos%20Contempor%C3%A2neo%20%28Borba%29%20Alentejo%20Portugal/@38.8055,-7.4548,17z","🎨 EM Rézio — Bordado de Arrai…")</f>
        <v>🎨 EM Rézio — Bordado de Arrai…</v>
      </c>
    </row>
    <row r="38" spans="1:10" ht="110" customHeight="1" x14ac:dyDescent="0.35">
      <c r="A38" s="362">
        <v>4</v>
      </c>
      <c r="B38" s="270" t="s">
        <v>3030</v>
      </c>
      <c r="C38" s="271" t="s">
        <v>853</v>
      </c>
      <c r="D38" s="270" t="s">
        <v>3031</v>
      </c>
      <c r="E38" s="270" t="s">
        <v>3032</v>
      </c>
      <c r="F38" s="270" t="s">
        <v>2891</v>
      </c>
      <c r="G38" s="270" t="s">
        <v>1392</v>
      </c>
      <c r="H38" s="272" t="s">
        <v>3033</v>
      </c>
      <c r="I38" s="304" t="s">
        <v>3034</v>
      </c>
      <c r="J38" s="289" t="str">
        <f>HYPERLINK("https://www.google.com/maps/search/Rota%20do%20M%C3%A1rmore%20AE%20%E2%80%94%20Vila%20Vi%C3%A7osa%20Alentejo%20Portugal/@38.7804,-7.4174,17z","🎨 Rota do Mármore AE — Vila V…")</f>
        <v>🎨 Rota do Mármore AE — Vila V…</v>
      </c>
    </row>
    <row r="39" spans="1:10" ht="110" customHeight="1" x14ac:dyDescent="0.35">
      <c r="A39" s="346">
        <v>5</v>
      </c>
      <c r="B39" s="267" t="s">
        <v>3035</v>
      </c>
      <c r="C39" s="268" t="s">
        <v>853</v>
      </c>
      <c r="D39" s="267" t="s">
        <v>3036</v>
      </c>
      <c r="E39" s="267" t="s">
        <v>3037</v>
      </c>
      <c r="F39" s="267" t="s">
        <v>2891</v>
      </c>
      <c r="G39" s="267" t="s">
        <v>1336</v>
      </c>
      <c r="H39" s="269" t="s">
        <v>3038</v>
      </c>
      <c r="I39" s="305" t="s">
        <v>3039</v>
      </c>
      <c r="J39" s="288" t="str">
        <f>HYPERLINK("https://www.google.com/maps/search/Rota%20do%20Artesanato%20%E2%80%94%20Viana%20do%20Alentejo%20Portugal/@38.3343,-7.9975,17z","🎨 Rota do Artesanato — Viana …")</f>
        <v>🎨 Rota do Artesanato — Viana …</v>
      </c>
    </row>
    <row r="40" spans="1:10" ht="22" customHeight="1" x14ac:dyDescent="0.35">
      <c r="A40" s="1477" t="s">
        <v>3040</v>
      </c>
      <c r="B40" s="1313"/>
      <c r="C40" s="1313"/>
      <c r="D40" s="1313"/>
      <c r="E40" s="1313"/>
      <c r="F40" s="1313"/>
      <c r="G40" s="1313"/>
      <c r="H40" s="1313"/>
      <c r="I40" s="1313"/>
    </row>
    <row r="41" spans="1:10" ht="110" customHeight="1" x14ac:dyDescent="0.35">
      <c r="A41" s="348">
        <v>1</v>
      </c>
      <c r="B41" s="273" t="s">
        <v>3041</v>
      </c>
      <c r="C41" s="274" t="s">
        <v>767</v>
      </c>
      <c r="D41" s="273" t="s">
        <v>2898</v>
      </c>
      <c r="E41" s="273" t="s">
        <v>3042</v>
      </c>
      <c r="F41" s="273" t="s">
        <v>2891</v>
      </c>
      <c r="G41" s="273" t="s">
        <v>1392</v>
      </c>
      <c r="H41" s="276" t="s">
        <v>3043</v>
      </c>
      <c r="I41" s="304" t="s">
        <v>3044</v>
      </c>
      <c r="J41" s="275" t="str">
        <f>HYPERLINK("https://www.google.com/maps/search/Telheiro%20de%20Santa%20Catarina%20%E2%80%94%20Cer%C3%A2mica%20Artesanal%20Alberto%20Rocha%20Algarve%20Portugal/@37.4447,-7.7876,17z","🎨 Telheiro de Santa Catarina …")</f>
        <v>🎨 Telheiro de Santa Catarina …</v>
      </c>
    </row>
    <row r="42" spans="1:10" ht="110" customHeight="1" x14ac:dyDescent="0.35">
      <c r="A42" s="354">
        <v>2</v>
      </c>
      <c r="B42" s="277" t="s">
        <v>3045</v>
      </c>
      <c r="C42" s="278" t="s">
        <v>767</v>
      </c>
      <c r="D42" s="277" t="s">
        <v>2898</v>
      </c>
      <c r="E42" s="277" t="s">
        <v>3046</v>
      </c>
      <c r="F42" s="277" t="s">
        <v>2891</v>
      </c>
      <c r="G42" s="277" t="s">
        <v>1392</v>
      </c>
      <c r="H42" s="279" t="s">
        <v>3047</v>
      </c>
      <c r="I42" s="305" t="s">
        <v>3048</v>
      </c>
      <c r="J42" s="280" t="str">
        <f>HYPERLINK("https://www.google.com/maps/search/Porches%20Pottery%20%E2%80%94%20Olaria%20do%20Algarve%20Portugal/@37.1247,-8.4031,17z","🎨 Porches Pottery — Olaria do…")</f>
        <v>🎨 Porches Pottery — Olaria do…</v>
      </c>
    </row>
    <row r="43" spans="1:10" ht="110" customHeight="1" x14ac:dyDescent="0.35">
      <c r="A43" s="348">
        <v>3</v>
      </c>
      <c r="B43" s="273" t="s">
        <v>3049</v>
      </c>
      <c r="C43" s="274" t="s">
        <v>767</v>
      </c>
      <c r="D43" s="273" t="s">
        <v>2889</v>
      </c>
      <c r="E43" s="273" t="s">
        <v>3050</v>
      </c>
      <c r="F43" s="273" t="s">
        <v>2891</v>
      </c>
      <c r="G43" s="273" t="s">
        <v>1336</v>
      </c>
      <c r="H43" s="276" t="s">
        <v>3051</v>
      </c>
      <c r="I43" s="304" t="s">
        <v>3052</v>
      </c>
      <c r="J43" s="275" t="str">
        <f>HYPERLINK("https://www.google.com/maps/search/Loul%C3%A9%20Criativo%20%E2%80%94%20Rede%20de%20Oficinas%20Artesanais%20Algarve%20Portugal/@37.1385,-8.0232,17z","🎨 Loulé Criativo — Rede de Of…")</f>
        <v>🎨 Loulé Criativo — Rede de Of…</v>
      </c>
    </row>
    <row r="44" spans="1:10" ht="22" customHeight="1" x14ac:dyDescent="0.35">
      <c r="A44" s="1370" t="s">
        <v>3053</v>
      </c>
      <c r="B44" s="1313"/>
      <c r="C44" s="1313"/>
      <c r="D44" s="1313"/>
      <c r="E44" s="1313"/>
      <c r="F44" s="1313"/>
      <c r="G44" s="1313"/>
      <c r="H44" s="1313"/>
      <c r="I44" s="1313"/>
    </row>
    <row r="45" spans="1:10" ht="110" customHeight="1" x14ac:dyDescent="0.35">
      <c r="A45" s="350">
        <v>1</v>
      </c>
      <c r="B45" s="251" t="s">
        <v>3054</v>
      </c>
      <c r="C45" s="252" t="s">
        <v>524</v>
      </c>
      <c r="D45" s="251" t="s">
        <v>2942</v>
      </c>
      <c r="E45" s="251" t="s">
        <v>3055</v>
      </c>
      <c r="F45" s="251" t="s">
        <v>3056</v>
      </c>
      <c r="G45" s="251" t="s">
        <v>1392</v>
      </c>
      <c r="H45" s="253" t="s">
        <v>3057</v>
      </c>
      <c r="I45" s="305" t="s">
        <v>3058</v>
      </c>
      <c r="J45" s="291" t="str">
        <f>HYPERLINK("https://www.google.com/maps/search/Artes%20%26%20Of%C3%ADcios%20Tradicionais%20da%20Madeira%20%E2%80%94%20IVBAM%20%28Funchal%29%20Portugal/@32.6502,-16.9089,17z","🎨 Artes &amp; Ofícios Tradicionai…")</f>
        <v>🎨 Artes &amp; Ofícios Tradicionai…</v>
      </c>
    </row>
    <row r="47" spans="1:10" x14ac:dyDescent="0.35">
      <c r="A47" s="1353" t="s">
        <v>3059</v>
      </c>
      <c r="B47" s="1354"/>
      <c r="C47" s="1354"/>
      <c r="D47" s="1354"/>
      <c r="E47" s="1354"/>
      <c r="F47" s="1354"/>
      <c r="G47" s="1354"/>
      <c r="H47" s="1354"/>
      <c r="I47" s="1354"/>
    </row>
    <row r="49" spans="1:10" ht="22" customHeight="1" x14ac:dyDescent="0.35">
      <c r="A49" s="1369" t="s">
        <v>885</v>
      </c>
      <c r="B49" s="1313"/>
      <c r="C49" s="1313"/>
      <c r="D49" s="1313"/>
      <c r="E49" s="1313"/>
      <c r="F49" s="1313"/>
      <c r="G49" s="1313"/>
      <c r="H49" s="1313"/>
      <c r="I49" s="1313"/>
    </row>
    <row r="50" spans="1:10" ht="110" customHeight="1" x14ac:dyDescent="0.35">
      <c r="A50" s="344">
        <v>1</v>
      </c>
      <c r="B50" s="281" t="s">
        <v>3060</v>
      </c>
      <c r="C50" s="281" t="s">
        <v>522</v>
      </c>
      <c r="D50" s="281" t="s">
        <v>2942</v>
      </c>
      <c r="E50" s="281" t="s">
        <v>3061</v>
      </c>
      <c r="F50" s="281" t="s">
        <v>3062</v>
      </c>
      <c r="G50" s="281" t="s">
        <v>1392</v>
      </c>
      <c r="H50" s="283" t="s">
        <v>3063</v>
      </c>
      <c r="I50" s="304" t="s">
        <v>3064</v>
      </c>
      <c r="J50" s="290" t="str">
        <f>HYPERLINK("https://www.google.com/maps/search/Vila%20Franca%20Campo%20S%C3%A3o%20Miguel/@37.7153,-25.4292,16z","📍 Vila Franca Campo São Miguel")</f>
        <v>📍 Vila Franca Campo São Miguel</v>
      </c>
    </row>
    <row r="51" spans="1:10" ht="110" customHeight="1" x14ac:dyDescent="0.35">
      <c r="A51" s="342">
        <v>2</v>
      </c>
      <c r="B51" s="284" t="s">
        <v>3065</v>
      </c>
      <c r="C51" s="284" t="s">
        <v>522</v>
      </c>
      <c r="D51" s="284" t="s">
        <v>3066</v>
      </c>
      <c r="E51" s="284" t="s">
        <v>1561</v>
      </c>
      <c r="F51" s="284" t="s">
        <v>2891</v>
      </c>
      <c r="G51" s="284" t="s">
        <v>1336</v>
      </c>
      <c r="H51" s="285" t="s">
        <v>3067</v>
      </c>
      <c r="I51" s="305" t="s">
        <v>3068</v>
      </c>
      <c r="J51" s="364" t="str">
        <f>HYPERLINK("https://www.google.com/maps/search/S%C3%A3o%20Miguel%20A%C3%A7ores%20artesanato/@37.7239,-25.3453,16z","📍 São Miguel Açores artesanato")</f>
        <v>📍 São Miguel Açores artesanato</v>
      </c>
    </row>
    <row r="52" spans="1:10" ht="110" customHeight="1" x14ac:dyDescent="0.35">
      <c r="A52" s="344">
        <v>3</v>
      </c>
      <c r="B52" s="281" t="s">
        <v>3069</v>
      </c>
      <c r="C52" s="281" t="s">
        <v>522</v>
      </c>
      <c r="D52" s="281" t="s">
        <v>2898</v>
      </c>
      <c r="E52" s="281" t="s">
        <v>3070</v>
      </c>
      <c r="F52" s="281" t="s">
        <v>3071</v>
      </c>
      <c r="G52" s="281" t="s">
        <v>1392</v>
      </c>
      <c r="H52" s="283" t="s">
        <v>3072</v>
      </c>
      <c r="I52" s="304" t="s">
        <v>3073</v>
      </c>
      <c r="J52" s="290" t="str">
        <f>HYPERLINK("https://www.google.com/maps/search/Ponta%20Delgada%20S%C3%A3o%20Miguel/@37.7413,-25.6681,16z","📍 Ponta Delgada São Miguel")</f>
        <v>📍 Ponta Delgada São Miguel</v>
      </c>
    </row>
    <row r="53" spans="1:10" ht="110" customHeight="1" x14ac:dyDescent="0.35">
      <c r="A53" s="342">
        <v>4</v>
      </c>
      <c r="B53" s="284" t="s">
        <v>3074</v>
      </c>
      <c r="C53" s="284" t="s">
        <v>522</v>
      </c>
      <c r="D53" s="284" t="s">
        <v>3075</v>
      </c>
      <c r="E53" s="284" t="s">
        <v>3076</v>
      </c>
      <c r="F53" s="284" t="s">
        <v>3062</v>
      </c>
      <c r="G53" s="284" t="s">
        <v>1728</v>
      </c>
      <c r="H53" s="285" t="s">
        <v>3077</v>
      </c>
      <c r="I53" s="305" t="s">
        <v>3078</v>
      </c>
      <c r="J53" s="364" t="str">
        <f>HYPERLINK("https://www.google.com/maps/search/Angra%20Hero%C3%ADsmo%20Terceira/@38.6567,-27.2197,16z","📍 Angra Heroísmo Terceira")</f>
        <v>📍 Angra Heroísmo Terceira</v>
      </c>
    </row>
  </sheetData>
  <mergeCells count="10">
    <mergeCell ref="A49:I49"/>
    <mergeCell ref="A10:I10"/>
    <mergeCell ref="A47:I47"/>
    <mergeCell ref="A44:I44"/>
    <mergeCell ref="A1:I1"/>
    <mergeCell ref="A40:I40"/>
    <mergeCell ref="A34:I34"/>
    <mergeCell ref="A4:I4"/>
    <mergeCell ref="A30:I30"/>
    <mergeCell ref="A2:I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50"/>
  <sheetViews>
    <sheetView workbookViewId="0">
      <pane ySplit="3" topLeftCell="A4" activePane="bottomLeft" state="frozen"/>
      <selection pane="bottomLeft" activeCell="K12" sqref="K12"/>
    </sheetView>
  </sheetViews>
  <sheetFormatPr defaultRowHeight="14.5" x14ac:dyDescent="0.35"/>
  <cols>
    <col min="1" max="1" width="6.36328125" customWidth="1"/>
    <col min="2" max="2" width="34.54296875" customWidth="1"/>
    <col min="3" max="3" width="12.7265625" customWidth="1"/>
    <col min="4" max="4" width="21.81640625" customWidth="1"/>
    <col min="5" max="5" width="27.26953125" customWidth="1"/>
    <col min="6" max="6" width="21.81640625" customWidth="1"/>
    <col min="7" max="8" width="20" customWidth="1"/>
    <col min="9" max="9" width="54.54296875" customWidth="1"/>
    <col min="10" max="10" width="20" customWidth="1"/>
  </cols>
  <sheetData>
    <row r="1" spans="1:10" ht="40" customHeight="1" x14ac:dyDescent="0.45">
      <c r="A1" s="1285" t="s">
        <v>17948</v>
      </c>
      <c r="B1" s="1285"/>
      <c r="C1" s="1285"/>
      <c r="D1" s="1285"/>
      <c r="E1" s="1285"/>
      <c r="F1" s="1285"/>
      <c r="G1" s="1285"/>
      <c r="H1" s="1285"/>
      <c r="I1" s="1285"/>
      <c r="J1" s="1285"/>
    </row>
    <row r="2" spans="1:10" ht="20" customHeight="1" x14ac:dyDescent="0.35">
      <c r="A2" s="1484" t="s">
        <v>17949</v>
      </c>
      <c r="B2" s="1484"/>
      <c r="C2" s="1484"/>
      <c r="D2" s="1484"/>
      <c r="E2" s="1484"/>
      <c r="F2" s="1484"/>
      <c r="G2" s="1484"/>
      <c r="H2" s="1484"/>
      <c r="I2" s="1484"/>
      <c r="J2" s="1484"/>
    </row>
    <row r="3" spans="1:10" ht="22" customHeight="1" x14ac:dyDescent="0.35">
      <c r="A3" s="538" t="s">
        <v>141</v>
      </c>
      <c r="B3" s="538" t="s">
        <v>785</v>
      </c>
      <c r="C3" s="538" t="s">
        <v>619</v>
      </c>
      <c r="D3" s="538" t="s">
        <v>13178</v>
      </c>
      <c r="E3" s="538" t="s">
        <v>906</v>
      </c>
      <c r="F3" s="538" t="s">
        <v>3079</v>
      </c>
      <c r="G3" s="538" t="s">
        <v>3080</v>
      </c>
      <c r="H3" s="538" t="s">
        <v>539</v>
      </c>
      <c r="I3" s="538" t="s">
        <v>8</v>
      </c>
      <c r="J3" s="538" t="s">
        <v>789</v>
      </c>
    </row>
    <row r="4" spans="1:10" ht="30" customHeight="1" x14ac:dyDescent="0.35">
      <c r="A4" s="1485" t="s">
        <v>17950</v>
      </c>
      <c r="B4" s="1485"/>
      <c r="C4" s="1485"/>
      <c r="D4" s="1485"/>
      <c r="E4" s="1485"/>
      <c r="F4" s="1485"/>
      <c r="G4" s="1485"/>
      <c r="H4" s="1485"/>
      <c r="I4" s="1485"/>
      <c r="J4" s="1485"/>
    </row>
    <row r="5" spans="1:10" ht="60" customHeight="1" x14ac:dyDescent="0.35">
      <c r="A5" s="540">
        <v>1</v>
      </c>
      <c r="B5" s="539" t="s">
        <v>3081</v>
      </c>
      <c r="C5" s="539" t="s">
        <v>792</v>
      </c>
      <c r="D5" s="539" t="s">
        <v>3082</v>
      </c>
      <c r="E5" s="539" t="s">
        <v>3083</v>
      </c>
      <c r="F5" s="539" t="s">
        <v>3084</v>
      </c>
      <c r="G5" s="539" t="s">
        <v>3085</v>
      </c>
      <c r="H5" s="539" t="s">
        <v>17951</v>
      </c>
      <c r="I5" s="539" t="s">
        <v>3086</v>
      </c>
      <c r="J5" s="551" t="str">
        <f>HYPERLINK("https://maps.google.com/?q=Mercado%20do%20Bolh%C3%A3o%20Porto","🛒 Mercado do Bolhão")</f>
        <v>🛒 Mercado do Bolhão</v>
      </c>
    </row>
    <row r="6" spans="1:10" ht="60" customHeight="1" x14ac:dyDescent="0.35">
      <c r="A6" s="540">
        <v>2</v>
      </c>
      <c r="B6" s="539" t="s">
        <v>3087</v>
      </c>
      <c r="C6" s="539" t="s">
        <v>792</v>
      </c>
      <c r="D6" s="539" t="s">
        <v>3082</v>
      </c>
      <c r="E6" s="539" t="s">
        <v>3088</v>
      </c>
      <c r="F6" s="539" t="s">
        <v>3089</v>
      </c>
      <c r="G6" s="539" t="s">
        <v>3090</v>
      </c>
      <c r="H6" s="539" t="s">
        <v>17952</v>
      </c>
      <c r="I6" s="539" t="s">
        <v>3091</v>
      </c>
      <c r="J6" s="551" t="str">
        <f>HYPERLINK("https://maps.google.com/?q=Mercado%20de%20Matosinhos%20Porto","🛒 Mercado de Matosinhos")</f>
        <v>🛒 Mercado de Matosinhos</v>
      </c>
    </row>
    <row r="7" spans="1:10" ht="60" customHeight="1" x14ac:dyDescent="0.35">
      <c r="A7" s="540">
        <v>3</v>
      </c>
      <c r="B7" s="539" t="s">
        <v>3092</v>
      </c>
      <c r="C7" s="539" t="s">
        <v>792</v>
      </c>
      <c r="D7" s="539" t="s">
        <v>3082</v>
      </c>
      <c r="E7" s="539" t="s">
        <v>3093</v>
      </c>
      <c r="F7" s="539" t="s">
        <v>3094</v>
      </c>
      <c r="G7" s="539" t="s">
        <v>3095</v>
      </c>
      <c r="H7" s="539" t="s">
        <v>3096</v>
      </c>
      <c r="I7" s="539" t="s">
        <v>3097</v>
      </c>
      <c r="J7" s="551" t="str">
        <f>HYPERLINK("https://maps.google.com/?q=Feira%20de%20Cust%C3%B3ias%20Porto","🛒 Feira de Custóias")</f>
        <v>🛒 Feira de Custóias</v>
      </c>
    </row>
    <row r="8" spans="1:10" ht="60" customHeight="1" x14ac:dyDescent="0.35">
      <c r="A8" s="540">
        <v>4</v>
      </c>
      <c r="B8" s="539" t="s">
        <v>3098</v>
      </c>
      <c r="C8" s="539" t="s">
        <v>792</v>
      </c>
      <c r="D8" s="539" t="s">
        <v>3082</v>
      </c>
      <c r="E8" s="539" t="s">
        <v>3099</v>
      </c>
      <c r="F8" s="539" t="s">
        <v>3094</v>
      </c>
      <c r="G8" s="539" t="s">
        <v>3100</v>
      </c>
      <c r="H8" s="539" t="s">
        <v>3096</v>
      </c>
      <c r="I8" s="539" t="s">
        <v>17953</v>
      </c>
      <c r="J8" s="551" t="str">
        <f>HYPERLINK("https://maps.google.com/?q=Feira%20Sra.%20da%20Hora%20Porto","🛒 Feira Sra. da Hora")</f>
        <v>🛒 Feira Sra. da Hora</v>
      </c>
    </row>
    <row r="9" spans="1:10" ht="60" customHeight="1" x14ac:dyDescent="0.35">
      <c r="A9" s="540">
        <v>5</v>
      </c>
      <c r="B9" s="539" t="s">
        <v>3101</v>
      </c>
      <c r="C9" s="539" t="s">
        <v>792</v>
      </c>
      <c r="D9" s="539" t="s">
        <v>3082</v>
      </c>
      <c r="E9" s="539" t="s">
        <v>3102</v>
      </c>
      <c r="F9" s="539" t="s">
        <v>3103</v>
      </c>
      <c r="G9" s="539" t="s">
        <v>3104</v>
      </c>
      <c r="H9" s="539" t="s">
        <v>17954</v>
      </c>
      <c r="I9" s="539" t="s">
        <v>17955</v>
      </c>
      <c r="J9" s="551" t="str">
        <f>HYPERLINK("https://maps.google.com/?q=Mercado%20Bom%20Sucesso%20Porto","🛒 Mercado Bom Sucesso")</f>
        <v>🛒 Mercado Bom Sucesso</v>
      </c>
    </row>
    <row r="10" spans="1:10" ht="60" customHeight="1" x14ac:dyDescent="0.35">
      <c r="A10" s="540">
        <v>6</v>
      </c>
      <c r="B10" s="539" t="s">
        <v>3105</v>
      </c>
      <c r="C10" s="539" t="s">
        <v>792</v>
      </c>
      <c r="D10" s="539" t="s">
        <v>3082</v>
      </c>
      <c r="E10" s="539" t="s">
        <v>3106</v>
      </c>
      <c r="F10" s="539" t="s">
        <v>3107</v>
      </c>
      <c r="G10" s="539" t="s">
        <v>3108</v>
      </c>
      <c r="H10" s="539" t="s">
        <v>3096</v>
      </c>
      <c r="I10" s="539" t="s">
        <v>3109</v>
      </c>
      <c r="J10" s="551" t="str">
        <f>HYPERLINK("https://maps.google.com/?q=Feira%20de%20Espinho%20Porto","🛒 Feira de Espinho")</f>
        <v>🛒 Feira de Espinho</v>
      </c>
    </row>
    <row r="11" spans="1:10" ht="60" customHeight="1" x14ac:dyDescent="0.35">
      <c r="A11" s="540">
        <v>7</v>
      </c>
      <c r="B11" s="539" t="s">
        <v>3110</v>
      </c>
      <c r="C11" s="539" t="s">
        <v>792</v>
      </c>
      <c r="D11" s="539" t="s">
        <v>3082</v>
      </c>
      <c r="E11" s="539" t="s">
        <v>3111</v>
      </c>
      <c r="F11" s="539" t="s">
        <v>3112</v>
      </c>
      <c r="G11" s="539" t="s">
        <v>3113</v>
      </c>
      <c r="H11" s="539" t="s">
        <v>3096</v>
      </c>
      <c r="I11" s="539" t="s">
        <v>17956</v>
      </c>
      <c r="J11" s="551" t="str">
        <f>HYPERLINK("https://maps.google.com/?q=Feira%20Vila%20do%20Conde%20Porto","🛒 Feira Vila do Conde")</f>
        <v>🛒 Feira Vila do Conde</v>
      </c>
    </row>
    <row r="12" spans="1:10" ht="60" customHeight="1" x14ac:dyDescent="0.35">
      <c r="A12" s="540">
        <v>8</v>
      </c>
      <c r="B12" s="539" t="s">
        <v>3114</v>
      </c>
      <c r="C12" s="539" t="s">
        <v>792</v>
      </c>
      <c r="D12" s="539" t="s">
        <v>3082</v>
      </c>
      <c r="E12" s="539" t="s">
        <v>3115</v>
      </c>
      <c r="F12" s="539" t="s">
        <v>3094</v>
      </c>
      <c r="G12" s="539" t="s">
        <v>3116</v>
      </c>
      <c r="H12" s="539" t="s">
        <v>3096</v>
      </c>
      <c r="I12" s="539" t="s">
        <v>17957</v>
      </c>
      <c r="J12" s="551" t="str">
        <f>HYPERLINK("https://maps.google.com/?q=Feira%20de%20Vandoma%20Porto","🛒 Feira de Vandoma")</f>
        <v>🛒 Feira de Vandoma</v>
      </c>
    </row>
    <row r="13" spans="1:10" ht="60" customHeight="1" x14ac:dyDescent="0.35">
      <c r="A13" s="540">
        <v>9</v>
      </c>
      <c r="B13" s="539" t="s">
        <v>3117</v>
      </c>
      <c r="C13" s="539" t="s">
        <v>792</v>
      </c>
      <c r="D13" s="539" t="s">
        <v>3082</v>
      </c>
      <c r="E13" s="539" t="s">
        <v>3118</v>
      </c>
      <c r="F13" s="539" t="s">
        <v>3119</v>
      </c>
      <c r="G13" s="539" t="s">
        <v>3120</v>
      </c>
      <c r="H13" s="539" t="s">
        <v>3096</v>
      </c>
      <c r="I13" s="539" t="s">
        <v>17958</v>
      </c>
      <c r="J13" s="551" t="str">
        <f>HYPERLINK("https://maps.google.com/?q=Mercado%20da%20Beira-Rio%20Porto","🛒 Mercado da Beira-Rio")</f>
        <v>🛒 Mercado da Beira-Rio</v>
      </c>
    </row>
    <row r="14" spans="1:10" ht="60" customHeight="1" x14ac:dyDescent="0.35">
      <c r="A14" s="540">
        <v>10</v>
      </c>
      <c r="B14" s="539" t="s">
        <v>3121</v>
      </c>
      <c r="C14" s="539" t="s">
        <v>792</v>
      </c>
      <c r="D14" s="539" t="s">
        <v>3082</v>
      </c>
      <c r="E14" s="539" t="s">
        <v>3122</v>
      </c>
      <c r="F14" s="539" t="s">
        <v>3123</v>
      </c>
      <c r="G14" s="539" t="s">
        <v>3124</v>
      </c>
      <c r="H14" s="539" t="s">
        <v>3096</v>
      </c>
      <c r="I14" s="539" t="s">
        <v>17959</v>
      </c>
      <c r="J14" s="551" t="str">
        <f>HYPERLINK("https://maps.google.com/?q=Feira%20da%20Maia%20Porto","🛒 Feira da Maia")</f>
        <v>🛒 Feira da Maia</v>
      </c>
    </row>
    <row r="15" spans="1:10" ht="60" customHeight="1" x14ac:dyDescent="0.35">
      <c r="A15" s="540">
        <v>11</v>
      </c>
      <c r="B15" s="539" t="s">
        <v>3125</v>
      </c>
      <c r="C15" s="539" t="s">
        <v>792</v>
      </c>
      <c r="D15" s="539" t="s">
        <v>3082</v>
      </c>
      <c r="E15" s="539" t="s">
        <v>3126</v>
      </c>
      <c r="F15" s="539" t="s">
        <v>3127</v>
      </c>
      <c r="G15" s="539" t="s">
        <v>3128</v>
      </c>
      <c r="H15" s="539" t="s">
        <v>3096</v>
      </c>
      <c r="I15" s="539" t="s">
        <v>17960</v>
      </c>
      <c r="J15" s="551" t="str">
        <f>HYPERLINK("https://maps.google.com/?q=Mercado%20de%20Angeiras%20Porto","🛒 Mercado de Angeiras")</f>
        <v>🛒 Mercado de Angeiras</v>
      </c>
    </row>
    <row r="16" spans="1:10" ht="60" customHeight="1" x14ac:dyDescent="0.35">
      <c r="A16" s="540">
        <v>12</v>
      </c>
      <c r="B16" s="539" t="s">
        <v>3129</v>
      </c>
      <c r="C16" s="539" t="s">
        <v>792</v>
      </c>
      <c r="D16" s="539" t="s">
        <v>3082</v>
      </c>
      <c r="E16" s="539" t="s">
        <v>3130</v>
      </c>
      <c r="F16" s="539" t="s">
        <v>3094</v>
      </c>
      <c r="G16" s="539" t="s">
        <v>3124</v>
      </c>
      <c r="H16" s="539" t="s">
        <v>3096</v>
      </c>
      <c r="I16" s="539" t="s">
        <v>17961</v>
      </c>
      <c r="J16" s="551" t="str">
        <f>HYPERLINK("https://maps.google.com/?q=Feira%20de%20Rio%20Tinto%20Porto","🛒 Feira de Rio Tinto")</f>
        <v>🛒 Feira de Rio Tinto</v>
      </c>
    </row>
    <row r="17" spans="1:10" ht="60" customHeight="1" x14ac:dyDescent="0.35">
      <c r="A17" s="540">
        <v>13</v>
      </c>
      <c r="B17" s="539" t="s">
        <v>3131</v>
      </c>
      <c r="C17" s="539" t="s">
        <v>792</v>
      </c>
      <c r="D17" s="539" t="s">
        <v>3082</v>
      </c>
      <c r="E17" s="539" t="s">
        <v>3132</v>
      </c>
      <c r="F17" s="539" t="s">
        <v>3133</v>
      </c>
      <c r="G17" s="539" t="s">
        <v>3134</v>
      </c>
      <c r="H17" s="539" t="s">
        <v>3096</v>
      </c>
      <c r="I17" s="539" t="s">
        <v>17962</v>
      </c>
      <c r="J17" s="551" t="str">
        <f>HYPERLINK("https://maps.google.com/?q=Mercado%20de%20Ermesinde%20Porto","🛒 Mercado de Ermesinde")</f>
        <v>🛒 Mercado de Ermesinde</v>
      </c>
    </row>
    <row r="18" spans="1:10" ht="60" customHeight="1" x14ac:dyDescent="0.35">
      <c r="A18" s="540">
        <v>14</v>
      </c>
      <c r="B18" s="539" t="s">
        <v>3135</v>
      </c>
      <c r="C18" s="539" t="s">
        <v>792</v>
      </c>
      <c r="D18" s="539" t="s">
        <v>3082</v>
      </c>
      <c r="E18" s="539" t="s">
        <v>3136</v>
      </c>
      <c r="F18" s="539" t="s">
        <v>3137</v>
      </c>
      <c r="G18" s="539" t="s">
        <v>3138</v>
      </c>
      <c r="H18" s="539" t="s">
        <v>3096</v>
      </c>
      <c r="I18" s="539" t="s">
        <v>17963</v>
      </c>
      <c r="J18" s="551" t="str">
        <f>HYPERLINK("https://maps.google.com/?q=Mercado%20de%20Gondomar%20Porto","🛒 Mercado de Gondomar")</f>
        <v>🛒 Mercado de Gondomar</v>
      </c>
    </row>
    <row r="19" spans="1:10" ht="60" customHeight="1" x14ac:dyDescent="0.35">
      <c r="A19" s="540">
        <v>15</v>
      </c>
      <c r="B19" s="539" t="s">
        <v>3139</v>
      </c>
      <c r="C19" s="539" t="s">
        <v>792</v>
      </c>
      <c r="D19" s="539" t="s">
        <v>3082</v>
      </c>
      <c r="E19" s="539" t="s">
        <v>3140</v>
      </c>
      <c r="F19" s="539" t="s">
        <v>3133</v>
      </c>
      <c r="G19" s="539" t="s">
        <v>3141</v>
      </c>
      <c r="H19" s="539" t="s">
        <v>3096</v>
      </c>
      <c r="I19" s="539" t="s">
        <v>17964</v>
      </c>
      <c r="J19" s="551" t="str">
        <f>HYPERLINK("https://maps.google.com/?q=Mercado%20de%20Valongo%20Porto","🛒 Mercado de Valongo")</f>
        <v>🛒 Mercado de Valongo</v>
      </c>
    </row>
    <row r="20" spans="1:10" ht="60" customHeight="1" x14ac:dyDescent="0.35">
      <c r="A20" s="540">
        <v>16</v>
      </c>
      <c r="B20" s="539" t="s">
        <v>3142</v>
      </c>
      <c r="C20" s="539" t="s">
        <v>792</v>
      </c>
      <c r="D20" s="539" t="s">
        <v>3082</v>
      </c>
      <c r="E20" s="539" t="s">
        <v>3143</v>
      </c>
      <c r="F20" s="539" t="s">
        <v>3144</v>
      </c>
      <c r="G20" s="539" t="s">
        <v>3145</v>
      </c>
      <c r="H20" s="539" t="s">
        <v>3096</v>
      </c>
      <c r="I20" s="539" t="s">
        <v>17965</v>
      </c>
      <c r="J20" s="551" t="str">
        <f>HYPERLINK("https://maps.google.com/?q=Feira%20Pa%C3%A7os%20de%20Ferreira%20Porto","🛒 Feira Paços de Ferreira")</f>
        <v>🛒 Feira Paços de Ferreira</v>
      </c>
    </row>
    <row r="21" spans="1:10" ht="60" customHeight="1" x14ac:dyDescent="0.35">
      <c r="A21" s="540">
        <v>17</v>
      </c>
      <c r="B21" s="539" t="s">
        <v>3146</v>
      </c>
      <c r="C21" s="539" t="s">
        <v>792</v>
      </c>
      <c r="D21" s="539" t="s">
        <v>3082</v>
      </c>
      <c r="E21" s="539" t="s">
        <v>3147</v>
      </c>
      <c r="F21" s="539" t="s">
        <v>3148</v>
      </c>
      <c r="G21" s="539" t="s">
        <v>3149</v>
      </c>
      <c r="H21" s="539" t="s">
        <v>3096</v>
      </c>
      <c r="I21" s="539" t="s">
        <v>17966</v>
      </c>
      <c r="J21" s="551" t="str">
        <f>HYPERLINK("https://maps.google.com/?q=Mercado%20de%20Amarante%20Porto","🛒 Mercado de Amarante")</f>
        <v>🛒 Mercado de Amarante</v>
      </c>
    </row>
    <row r="22" spans="1:10" ht="60" customHeight="1" x14ac:dyDescent="0.35">
      <c r="A22" s="540">
        <v>18</v>
      </c>
      <c r="B22" s="539" t="s">
        <v>3150</v>
      </c>
      <c r="C22" s="539" t="s">
        <v>792</v>
      </c>
      <c r="D22" s="539" t="s">
        <v>3082</v>
      </c>
      <c r="E22" s="539" t="s">
        <v>3151</v>
      </c>
      <c r="F22" s="539" t="s">
        <v>3152</v>
      </c>
      <c r="G22" s="539" t="s">
        <v>3124</v>
      </c>
      <c r="H22" s="539" t="s">
        <v>3096</v>
      </c>
      <c r="I22" s="539" t="s">
        <v>17967</v>
      </c>
      <c r="J22" s="551" t="str">
        <f>HYPERLINK("https://maps.google.com/?q=Feira%20de%20Lousada%20Porto","🛒 Feira de Lousada")</f>
        <v>🛒 Feira de Lousada</v>
      </c>
    </row>
    <row r="23" spans="1:10" ht="60" customHeight="1" x14ac:dyDescent="0.35">
      <c r="A23" s="540">
        <v>19</v>
      </c>
      <c r="B23" s="539" t="s">
        <v>3153</v>
      </c>
      <c r="C23" s="539" t="s">
        <v>792</v>
      </c>
      <c r="D23" s="539" t="s">
        <v>3082</v>
      </c>
      <c r="E23" s="539" t="s">
        <v>3154</v>
      </c>
      <c r="F23" s="539" t="s">
        <v>3155</v>
      </c>
      <c r="G23" s="539" t="s">
        <v>3156</v>
      </c>
      <c r="H23" s="539" t="s">
        <v>3096</v>
      </c>
      <c r="I23" s="539" t="s">
        <v>17968</v>
      </c>
      <c r="J23" s="551" t="str">
        <f>HYPERLINK("https://maps.google.com/?q=Mercado%20de%20Penafiel%20Porto","🛒 Mercado de Penafiel")</f>
        <v>🛒 Mercado de Penafiel</v>
      </c>
    </row>
    <row r="24" spans="1:10" ht="60" customHeight="1" x14ac:dyDescent="0.35">
      <c r="A24" s="540">
        <v>20</v>
      </c>
      <c r="B24" s="539" t="s">
        <v>3157</v>
      </c>
      <c r="C24" s="539" t="s">
        <v>792</v>
      </c>
      <c r="D24" s="539" t="s">
        <v>3082</v>
      </c>
      <c r="E24" s="539" t="s">
        <v>3158</v>
      </c>
      <c r="F24" s="539" t="s">
        <v>3159</v>
      </c>
      <c r="G24" s="539" t="s">
        <v>3124</v>
      </c>
      <c r="H24" s="539" t="s">
        <v>3096</v>
      </c>
      <c r="I24" s="539" t="s">
        <v>17969</v>
      </c>
      <c r="J24" s="551" t="str">
        <f>HYPERLINK("https://maps.google.com/?q=Feira%20de%20Paredes%20Porto","🛒 Feira de Paredes")</f>
        <v>🛒 Feira de Paredes</v>
      </c>
    </row>
    <row r="25" spans="1:10" ht="60" customHeight="1" x14ac:dyDescent="0.35">
      <c r="A25" s="540">
        <v>21</v>
      </c>
      <c r="B25" s="539" t="s">
        <v>3160</v>
      </c>
      <c r="C25" s="539" t="s">
        <v>792</v>
      </c>
      <c r="D25" s="539" t="s">
        <v>3082</v>
      </c>
      <c r="E25" s="539" t="s">
        <v>3161</v>
      </c>
      <c r="F25" s="539" t="s">
        <v>3162</v>
      </c>
      <c r="G25" s="539" t="s">
        <v>3163</v>
      </c>
      <c r="H25" s="539" t="s">
        <v>3096</v>
      </c>
      <c r="I25" s="539" t="s">
        <v>17970</v>
      </c>
      <c r="J25" s="551" t="str">
        <f>HYPERLINK("https://maps.google.com/?q=Mercado%20Bio%20Parque%20Cidade%20Porto","🛒 Mercado Bio Parque Cidade")</f>
        <v>🛒 Mercado Bio Parque Cidade</v>
      </c>
    </row>
    <row r="26" spans="1:10" ht="60" customHeight="1" x14ac:dyDescent="0.35">
      <c r="A26" s="540">
        <v>22</v>
      </c>
      <c r="B26" s="539" t="s">
        <v>3164</v>
      </c>
      <c r="C26" s="539" t="s">
        <v>792</v>
      </c>
      <c r="D26" s="539" t="s">
        <v>3082</v>
      </c>
      <c r="E26" s="539" t="s">
        <v>3165</v>
      </c>
      <c r="F26" s="539" t="s">
        <v>3166</v>
      </c>
      <c r="G26" s="539" t="s">
        <v>3167</v>
      </c>
      <c r="H26" s="539" t="s">
        <v>3096</v>
      </c>
      <c r="I26" s="539" t="s">
        <v>17971</v>
      </c>
      <c r="J26" s="551" t="str">
        <f>HYPERLINK("https://maps.google.com/?q=Mercado%20de%20Bai%C3%A3o%20Porto","🛒 Mercado de Baião")</f>
        <v>🛒 Mercado de Baião</v>
      </c>
    </row>
    <row r="27" spans="1:10" ht="60" customHeight="1" x14ac:dyDescent="0.35">
      <c r="A27" s="540">
        <v>23</v>
      </c>
      <c r="B27" s="539" t="s">
        <v>3168</v>
      </c>
      <c r="C27" s="539" t="s">
        <v>792</v>
      </c>
      <c r="D27" s="539" t="s">
        <v>3082</v>
      </c>
      <c r="E27" s="539" t="s">
        <v>3169</v>
      </c>
      <c r="F27" s="539" t="s">
        <v>3170</v>
      </c>
      <c r="G27" s="539" t="s">
        <v>3171</v>
      </c>
      <c r="H27" s="539" t="s">
        <v>3096</v>
      </c>
      <c r="I27" s="539" t="s">
        <v>17972</v>
      </c>
      <c r="J27" s="551" t="str">
        <f>HYPERLINK("https://maps.google.com/?q=Feira%20Felgueiras%20Porto","🛒 Feira Felgueiras")</f>
        <v>🛒 Feira Felgueiras</v>
      </c>
    </row>
    <row r="28" spans="1:10" ht="60" customHeight="1" x14ac:dyDescent="0.35">
      <c r="A28" s="540">
        <v>24</v>
      </c>
      <c r="B28" s="539" t="s">
        <v>3172</v>
      </c>
      <c r="C28" s="539" t="s">
        <v>792</v>
      </c>
      <c r="D28" s="539" t="s">
        <v>3082</v>
      </c>
      <c r="E28" s="539" t="s">
        <v>3173</v>
      </c>
      <c r="F28" s="539" t="s">
        <v>3133</v>
      </c>
      <c r="G28" s="539" t="s">
        <v>3134</v>
      </c>
      <c r="H28" s="539" t="s">
        <v>3096</v>
      </c>
      <c r="I28" s="539" t="s">
        <v>17973</v>
      </c>
      <c r="J28" s="551" t="str">
        <f>HYPERLINK("https://maps.google.com/?q=Mercado%20Santo%20Tirso%20Porto","🛒 Mercado Santo Tirso")</f>
        <v>🛒 Mercado Santo Tirso</v>
      </c>
    </row>
    <row r="29" spans="1:10" ht="60" customHeight="1" x14ac:dyDescent="0.35">
      <c r="A29" s="540">
        <v>25</v>
      </c>
      <c r="B29" s="539" t="s">
        <v>3174</v>
      </c>
      <c r="C29" s="539" t="s">
        <v>792</v>
      </c>
      <c r="D29" s="539" t="s">
        <v>3082</v>
      </c>
      <c r="E29" s="539" t="s">
        <v>3175</v>
      </c>
      <c r="F29" s="539" t="s">
        <v>3176</v>
      </c>
      <c r="G29" s="539" t="s">
        <v>3124</v>
      </c>
      <c r="H29" s="539" t="s">
        <v>3096</v>
      </c>
      <c r="I29" s="539" t="s">
        <v>17974</v>
      </c>
      <c r="J29" s="551" t="str">
        <f>HYPERLINK("https://maps.google.com/?q=Feira%20de%20Trofa%20Porto","🛒 Feira de Trofa")</f>
        <v>🛒 Feira de Trofa</v>
      </c>
    </row>
    <row r="30" spans="1:10" ht="60" customHeight="1" x14ac:dyDescent="0.35">
      <c r="A30" s="540">
        <v>26</v>
      </c>
      <c r="B30" s="539" t="s">
        <v>3177</v>
      </c>
      <c r="C30" s="539" t="s">
        <v>792</v>
      </c>
      <c r="D30" s="539" t="s">
        <v>3082</v>
      </c>
      <c r="E30" s="539" t="s">
        <v>3178</v>
      </c>
      <c r="F30" s="539" t="s">
        <v>3179</v>
      </c>
      <c r="G30" s="539" t="s">
        <v>3124</v>
      </c>
      <c r="H30" s="539" t="s">
        <v>3096</v>
      </c>
      <c r="I30" s="539" t="s">
        <v>17975</v>
      </c>
      <c r="J30" s="551" t="str">
        <f>HYPERLINK("https://maps.google.com/?q=Feira%20de%20Carvalhos%20Porto","🛒 Feira de Carvalhos")</f>
        <v>🛒 Feira de Carvalhos</v>
      </c>
    </row>
    <row r="31" spans="1:10" ht="60" customHeight="1" x14ac:dyDescent="0.35">
      <c r="A31" s="540">
        <v>27</v>
      </c>
      <c r="B31" s="539" t="s">
        <v>3180</v>
      </c>
      <c r="C31" s="539" t="s">
        <v>792</v>
      </c>
      <c r="D31" s="539" t="s">
        <v>3082</v>
      </c>
      <c r="E31" s="539" t="s">
        <v>3181</v>
      </c>
      <c r="F31" s="539" t="s">
        <v>3182</v>
      </c>
      <c r="G31" s="539" t="s">
        <v>3183</v>
      </c>
      <c r="H31" s="539" t="s">
        <v>3096</v>
      </c>
      <c r="I31" s="539" t="s">
        <v>17976</v>
      </c>
      <c r="J31" s="551" t="str">
        <f>HYPERLINK("https://maps.google.com/?q=Mercado%20da%20Foz%20Porto","🛒 Mercado da Foz")</f>
        <v>🛒 Mercado da Foz</v>
      </c>
    </row>
    <row r="32" spans="1:10" ht="60" customHeight="1" x14ac:dyDescent="0.35">
      <c r="A32" s="540">
        <v>28</v>
      </c>
      <c r="B32" s="539" t="s">
        <v>3184</v>
      </c>
      <c r="C32" s="539" t="s">
        <v>792</v>
      </c>
      <c r="D32" s="539" t="s">
        <v>3082</v>
      </c>
      <c r="E32" s="539" t="s">
        <v>3185</v>
      </c>
      <c r="F32" s="539" t="s">
        <v>3186</v>
      </c>
      <c r="G32" s="539" t="s">
        <v>3187</v>
      </c>
      <c r="H32" s="539" t="s">
        <v>3096</v>
      </c>
      <c r="I32" s="539" t="s">
        <v>17977</v>
      </c>
      <c r="J32" s="551" t="str">
        <f>HYPERLINK("https://maps.google.com/?q=Feira%20de%20Pedrou%C3%A7os%20Porto","🛒 Feira de Pedrouços")</f>
        <v>🛒 Feira de Pedrouços</v>
      </c>
    </row>
    <row r="33" spans="1:10" ht="60" customHeight="1" x14ac:dyDescent="0.35">
      <c r="A33" s="540">
        <v>29</v>
      </c>
      <c r="B33" s="539" t="s">
        <v>3188</v>
      </c>
      <c r="C33" s="539" t="s">
        <v>792</v>
      </c>
      <c r="D33" s="539" t="s">
        <v>3082</v>
      </c>
      <c r="E33" s="539" t="s">
        <v>3189</v>
      </c>
      <c r="F33" s="539" t="s">
        <v>3133</v>
      </c>
      <c r="G33" s="539" t="s">
        <v>3134</v>
      </c>
      <c r="H33" s="539" t="s">
        <v>3096</v>
      </c>
      <c r="I33" s="539" t="s">
        <v>17978</v>
      </c>
      <c r="J33" s="551" t="str">
        <f>HYPERLINK("https://maps.google.com/?q=Mercado%20S.%20Mamede%20Porto","🛒 Mercado S. Mamede")</f>
        <v>🛒 Mercado S. Mamede</v>
      </c>
    </row>
    <row r="34" spans="1:10" ht="60" customHeight="1" x14ac:dyDescent="0.35">
      <c r="A34" s="540">
        <v>30</v>
      </c>
      <c r="B34" s="539" t="s">
        <v>3190</v>
      </c>
      <c r="C34" s="539" t="s">
        <v>792</v>
      </c>
      <c r="D34" s="539" t="s">
        <v>3082</v>
      </c>
      <c r="E34" s="539" t="s">
        <v>3191</v>
      </c>
      <c r="F34" s="539" t="s">
        <v>3094</v>
      </c>
      <c r="G34" s="539" t="s">
        <v>3124</v>
      </c>
      <c r="H34" s="539" t="s">
        <v>3096</v>
      </c>
      <c r="I34" s="539" t="s">
        <v>17979</v>
      </c>
      <c r="J34" s="551" t="str">
        <f>HYPERLINK("https://maps.google.com/?q=Feira%20de%20Alfena%20Porto","🛒 Feira de Alfena")</f>
        <v>🛒 Feira de Alfena</v>
      </c>
    </row>
    <row r="35" spans="1:10" ht="60" customHeight="1" x14ac:dyDescent="0.35">
      <c r="A35" s="540">
        <v>31</v>
      </c>
      <c r="B35" s="539" t="s">
        <v>3192</v>
      </c>
      <c r="C35" s="539" t="s">
        <v>792</v>
      </c>
      <c r="D35" s="539" t="s">
        <v>1552</v>
      </c>
      <c r="E35" s="539" t="s">
        <v>3193</v>
      </c>
      <c r="F35" s="539" t="s">
        <v>3194</v>
      </c>
      <c r="G35" s="539" t="s">
        <v>3195</v>
      </c>
      <c r="H35" s="539" t="s">
        <v>17980</v>
      </c>
      <c r="I35" s="539" t="s">
        <v>3196</v>
      </c>
      <c r="J35" s="551" t="str">
        <f>HYPERLINK("https://maps.google.com/?q=Feira%20de%20Barcelos%20Braga","🛒 Feira de Barcelos")</f>
        <v>🛒 Feira de Barcelos</v>
      </c>
    </row>
    <row r="36" spans="1:10" ht="60" customHeight="1" x14ac:dyDescent="0.35">
      <c r="A36" s="540">
        <v>32</v>
      </c>
      <c r="B36" s="539" t="s">
        <v>3197</v>
      </c>
      <c r="C36" s="539" t="s">
        <v>792</v>
      </c>
      <c r="D36" s="539" t="s">
        <v>1552</v>
      </c>
      <c r="E36" s="539" t="s">
        <v>3198</v>
      </c>
      <c r="F36" s="539" t="s">
        <v>3199</v>
      </c>
      <c r="G36" s="539" t="s">
        <v>3200</v>
      </c>
      <c r="H36" s="539" t="s">
        <v>3096</v>
      </c>
      <c r="I36" s="539" t="s">
        <v>17981</v>
      </c>
      <c r="J36" s="551" t="str">
        <f>HYPERLINK("https://maps.google.com/?q=Mercado%20Municipal%20Braga%20Braga","🛒 Mercado Municipal Braga")</f>
        <v>🛒 Mercado Municipal Braga</v>
      </c>
    </row>
    <row r="37" spans="1:10" ht="60" customHeight="1" x14ac:dyDescent="0.35">
      <c r="A37" s="540">
        <v>33</v>
      </c>
      <c r="B37" s="539" t="s">
        <v>3201</v>
      </c>
      <c r="C37" s="539" t="s">
        <v>792</v>
      </c>
      <c r="D37" s="539" t="s">
        <v>1552</v>
      </c>
      <c r="E37" s="539" t="s">
        <v>3202</v>
      </c>
      <c r="F37" s="539" t="s">
        <v>3203</v>
      </c>
      <c r="G37" s="539" t="s">
        <v>3204</v>
      </c>
      <c r="H37" s="539" t="s">
        <v>3096</v>
      </c>
      <c r="I37" s="539" t="s">
        <v>17982</v>
      </c>
      <c r="J37" s="551" t="str">
        <f>HYPERLINK("https://maps.google.com/?q=Mercado%20de%20Guimar%C3%A3es%20Braga","🛒 Mercado de Guimarães")</f>
        <v>🛒 Mercado de Guimarães</v>
      </c>
    </row>
    <row r="38" spans="1:10" ht="60" customHeight="1" x14ac:dyDescent="0.35">
      <c r="A38" s="540">
        <v>34</v>
      </c>
      <c r="B38" s="539" t="s">
        <v>3205</v>
      </c>
      <c r="C38" s="539" t="s">
        <v>792</v>
      </c>
      <c r="D38" s="539" t="s">
        <v>1552</v>
      </c>
      <c r="E38" s="539" t="s">
        <v>3206</v>
      </c>
      <c r="F38" s="539" t="s">
        <v>3179</v>
      </c>
      <c r="G38" s="539" t="s">
        <v>3124</v>
      </c>
      <c r="H38" s="539" t="s">
        <v>3096</v>
      </c>
      <c r="I38" s="539" t="s">
        <v>17983</v>
      </c>
      <c r="J38" s="551" t="str">
        <f>HYPERLINK("https://maps.google.com/?q=Feira%20de%20Famalic%C3%A3o%20Braga","🛒 Feira de Famalicão")</f>
        <v>🛒 Feira de Famalicão</v>
      </c>
    </row>
    <row r="39" spans="1:10" ht="60" customHeight="1" x14ac:dyDescent="0.35">
      <c r="A39" s="540">
        <v>35</v>
      </c>
      <c r="B39" s="539" t="s">
        <v>3207</v>
      </c>
      <c r="C39" s="539" t="s">
        <v>792</v>
      </c>
      <c r="D39" s="539" t="s">
        <v>1552</v>
      </c>
      <c r="E39" s="539" t="s">
        <v>3208</v>
      </c>
      <c r="F39" s="539" t="s">
        <v>3209</v>
      </c>
      <c r="G39" s="539" t="s">
        <v>3210</v>
      </c>
      <c r="H39" s="539" t="s">
        <v>3096</v>
      </c>
      <c r="I39" s="539" t="s">
        <v>17984</v>
      </c>
      <c r="J39" s="551" t="str">
        <f>HYPERLINK("https://maps.google.com/?q=Mercado%20de%20Esposende%20Braga","🛒 Mercado de Esposende")</f>
        <v>🛒 Mercado de Esposende</v>
      </c>
    </row>
    <row r="40" spans="1:10" ht="60" customHeight="1" x14ac:dyDescent="0.35">
      <c r="A40" s="540">
        <v>36</v>
      </c>
      <c r="B40" s="539" t="s">
        <v>3211</v>
      </c>
      <c r="C40" s="539" t="s">
        <v>792</v>
      </c>
      <c r="D40" s="539" t="s">
        <v>1552</v>
      </c>
      <c r="E40" s="539" t="s">
        <v>3212</v>
      </c>
      <c r="F40" s="539" t="s">
        <v>3112</v>
      </c>
      <c r="G40" s="539" t="s">
        <v>3213</v>
      </c>
      <c r="H40" s="539" t="s">
        <v>3096</v>
      </c>
      <c r="I40" s="539" t="s">
        <v>17985</v>
      </c>
      <c r="J40" s="551" t="str">
        <f>HYPERLINK("https://maps.google.com/?q=Feira%20de%20Fafe%20Braga","🛒 Feira de Fafe")</f>
        <v>🛒 Feira de Fafe</v>
      </c>
    </row>
    <row r="41" spans="1:10" ht="60" customHeight="1" x14ac:dyDescent="0.35">
      <c r="A41" s="540">
        <v>37</v>
      </c>
      <c r="B41" s="539" t="s">
        <v>3214</v>
      </c>
      <c r="C41" s="539" t="s">
        <v>792</v>
      </c>
      <c r="D41" s="539" t="s">
        <v>1552</v>
      </c>
      <c r="E41" s="539" t="s">
        <v>3215</v>
      </c>
      <c r="F41" s="539" t="s">
        <v>3133</v>
      </c>
      <c r="G41" s="539" t="s">
        <v>3216</v>
      </c>
      <c r="H41" s="539" t="s">
        <v>3096</v>
      </c>
      <c r="I41" s="539" t="s">
        <v>17986</v>
      </c>
      <c r="J41" s="551" t="str">
        <f>HYPERLINK("https://maps.google.com/?q=Mercado%20de%20Vizela%20Braga","🛒 Mercado de Vizela")</f>
        <v>🛒 Mercado de Vizela</v>
      </c>
    </row>
    <row r="42" spans="1:10" ht="60" customHeight="1" x14ac:dyDescent="0.35">
      <c r="A42" s="540">
        <v>38</v>
      </c>
      <c r="B42" s="539" t="s">
        <v>3217</v>
      </c>
      <c r="C42" s="539" t="s">
        <v>792</v>
      </c>
      <c r="D42" s="539" t="s">
        <v>1552</v>
      </c>
      <c r="E42" s="539" t="s">
        <v>3218</v>
      </c>
      <c r="F42" s="539" t="s">
        <v>3123</v>
      </c>
      <c r="G42" s="539" t="s">
        <v>3219</v>
      </c>
      <c r="H42" s="539" t="s">
        <v>3096</v>
      </c>
      <c r="I42" s="539" t="s">
        <v>17987</v>
      </c>
      <c r="J42" s="551" t="str">
        <f>HYPERLINK("https://maps.google.com/?q=Feira%20Terras%20de%20Bouro%20Braga","🛒 Feira Terras de Bouro")</f>
        <v>🛒 Feira Terras de Bouro</v>
      </c>
    </row>
    <row r="43" spans="1:10" ht="60" customHeight="1" x14ac:dyDescent="0.35">
      <c r="A43" s="540">
        <v>39</v>
      </c>
      <c r="B43" s="539" t="s">
        <v>3220</v>
      </c>
      <c r="C43" s="539" t="s">
        <v>792</v>
      </c>
      <c r="D43" s="539" t="s">
        <v>1552</v>
      </c>
      <c r="E43" s="539" t="s">
        <v>3221</v>
      </c>
      <c r="F43" s="539" t="s">
        <v>3179</v>
      </c>
      <c r="G43" s="539" t="s">
        <v>3222</v>
      </c>
      <c r="H43" s="539" t="s">
        <v>3096</v>
      </c>
      <c r="I43" s="539" t="s">
        <v>17988</v>
      </c>
      <c r="J43" s="551" t="str">
        <f>HYPERLINK("https://maps.google.com/?q=Mercado%20de%20Amares%20Braga","🛒 Mercado de Amares")</f>
        <v>🛒 Mercado de Amares</v>
      </c>
    </row>
    <row r="44" spans="1:10" ht="60" customHeight="1" x14ac:dyDescent="0.35">
      <c r="A44" s="540">
        <v>40</v>
      </c>
      <c r="B44" s="539" t="s">
        <v>3223</v>
      </c>
      <c r="C44" s="539" t="s">
        <v>792</v>
      </c>
      <c r="D44" s="539" t="s">
        <v>1552</v>
      </c>
      <c r="E44" s="539" t="s">
        <v>3224</v>
      </c>
      <c r="F44" s="539" t="s">
        <v>3094</v>
      </c>
      <c r="G44" s="539" t="s">
        <v>3225</v>
      </c>
      <c r="H44" s="539" t="s">
        <v>3096</v>
      </c>
      <c r="I44" s="539" t="s">
        <v>17989</v>
      </c>
      <c r="J44" s="551" t="str">
        <f>HYPERLINK("https://maps.google.com/?q=Feira%20de%20Vila%20Verde%20Braga","🛒 Feira de Vila Verde")</f>
        <v>🛒 Feira de Vila Verde</v>
      </c>
    </row>
    <row r="45" spans="1:10" ht="60" customHeight="1" x14ac:dyDescent="0.35">
      <c r="A45" s="540">
        <v>41</v>
      </c>
      <c r="B45" s="539" t="s">
        <v>3226</v>
      </c>
      <c r="C45" s="539" t="s">
        <v>792</v>
      </c>
      <c r="D45" s="539" t="s">
        <v>1552</v>
      </c>
      <c r="E45" s="539" t="s">
        <v>3227</v>
      </c>
      <c r="F45" s="539" t="s">
        <v>3123</v>
      </c>
      <c r="G45" s="539" t="s">
        <v>3228</v>
      </c>
      <c r="H45" s="539" t="s">
        <v>3096</v>
      </c>
      <c r="I45" s="539" t="s">
        <v>17990</v>
      </c>
      <c r="J45" s="551" t="str">
        <f>HYPERLINK("https://maps.google.com/?q=Mercado%20Vieira%20do%20Minho%20Braga","🛒 Mercado Vieira do Minho")</f>
        <v>🛒 Mercado Vieira do Minho</v>
      </c>
    </row>
    <row r="46" spans="1:10" ht="60" customHeight="1" x14ac:dyDescent="0.35">
      <c r="A46" s="540">
        <v>42</v>
      </c>
      <c r="B46" s="539" t="s">
        <v>3229</v>
      </c>
      <c r="C46" s="539" t="s">
        <v>792</v>
      </c>
      <c r="D46" s="539" t="s">
        <v>1552</v>
      </c>
      <c r="E46" s="539" t="s">
        <v>3230</v>
      </c>
      <c r="F46" s="539" t="s">
        <v>3123</v>
      </c>
      <c r="G46" s="539" t="s">
        <v>3231</v>
      </c>
      <c r="H46" s="539" t="s">
        <v>3096</v>
      </c>
      <c r="I46" s="539" t="s">
        <v>17991</v>
      </c>
      <c r="J46" s="551" t="str">
        <f>HYPERLINK("https://maps.google.com/?q=Feira%20Cabeceiras%20de%20Basto%20Braga","🛒 Feira Cabeceiras de Basto")</f>
        <v>🛒 Feira Cabeceiras de Basto</v>
      </c>
    </row>
    <row r="47" spans="1:10" ht="60" customHeight="1" x14ac:dyDescent="0.35">
      <c r="A47" s="540">
        <v>43</v>
      </c>
      <c r="B47" s="539" t="s">
        <v>3232</v>
      </c>
      <c r="C47" s="539" t="s">
        <v>792</v>
      </c>
      <c r="D47" s="539" t="s">
        <v>1552</v>
      </c>
      <c r="E47" s="539" t="s">
        <v>3233</v>
      </c>
      <c r="F47" s="539" t="s">
        <v>3112</v>
      </c>
      <c r="G47" s="539" t="s">
        <v>3234</v>
      </c>
      <c r="H47" s="539" t="s">
        <v>3096</v>
      </c>
      <c r="I47" s="539" t="s">
        <v>17992</v>
      </c>
      <c r="J47" s="551" t="str">
        <f>HYPERLINK("https://maps.google.com/?q=Mercado%20Celorico%20de%20Basto%20Braga","🛒 Mercado Celorico de Basto")</f>
        <v>🛒 Mercado Celorico de Basto</v>
      </c>
    </row>
    <row r="48" spans="1:10" ht="60" customHeight="1" x14ac:dyDescent="0.35">
      <c r="A48" s="540">
        <v>44</v>
      </c>
      <c r="B48" s="539" t="s">
        <v>3235</v>
      </c>
      <c r="C48" s="539" t="s">
        <v>792</v>
      </c>
      <c r="D48" s="539" t="s">
        <v>1552</v>
      </c>
      <c r="E48" s="539" t="s">
        <v>3236</v>
      </c>
      <c r="F48" s="539" t="s">
        <v>3237</v>
      </c>
      <c r="G48" s="539" t="s">
        <v>3238</v>
      </c>
      <c r="H48" s="539" t="s">
        <v>3096</v>
      </c>
      <c r="I48" s="539" t="s">
        <v>17993</v>
      </c>
      <c r="J48" s="551" t="str">
        <f>HYPERLINK("https://maps.google.com/?q=Feira%20P%C3%B3voa%20de%20Lanhoso%20Braga","🛒 Feira Póvoa de Lanhoso")</f>
        <v>🛒 Feira Póvoa de Lanhoso</v>
      </c>
    </row>
    <row r="49" spans="1:10" ht="60" customHeight="1" x14ac:dyDescent="0.35">
      <c r="A49" s="540">
        <v>45</v>
      </c>
      <c r="B49" s="539" t="s">
        <v>3239</v>
      </c>
      <c r="C49" s="539" t="s">
        <v>792</v>
      </c>
      <c r="D49" s="539" t="s">
        <v>1552</v>
      </c>
      <c r="E49" s="539" t="s">
        <v>3240</v>
      </c>
      <c r="F49" s="539" t="s">
        <v>3241</v>
      </c>
      <c r="G49" s="539" t="s">
        <v>3210</v>
      </c>
      <c r="H49" s="539" t="s">
        <v>3096</v>
      </c>
      <c r="I49" s="539" t="s">
        <v>17994</v>
      </c>
      <c r="J49" s="551" t="str">
        <f>HYPERLINK("https://maps.google.com/?q=Mercado%20de%20Ap%C3%BAlia%20Braga","🛒 Mercado de Apúlia")</f>
        <v>🛒 Mercado de Apúlia</v>
      </c>
    </row>
    <row r="50" spans="1:10" ht="60" customHeight="1" x14ac:dyDescent="0.35">
      <c r="A50" s="540">
        <v>46</v>
      </c>
      <c r="B50" s="539" t="s">
        <v>3242</v>
      </c>
      <c r="C50" s="539" t="s">
        <v>792</v>
      </c>
      <c r="D50" s="539" t="s">
        <v>1552</v>
      </c>
      <c r="E50" s="539" t="s">
        <v>3243</v>
      </c>
      <c r="F50" s="539" t="s">
        <v>3123</v>
      </c>
      <c r="G50" s="539" t="s">
        <v>3187</v>
      </c>
      <c r="H50" s="539" t="s">
        <v>3096</v>
      </c>
      <c r="I50" s="539" t="s">
        <v>17995</v>
      </c>
      <c r="J50" s="551" t="str">
        <f>HYPERLINK("https://maps.google.com/?q=Feira%20Riba%20dAve%20Braga","🛒 Feira Riba d'Ave")</f>
        <v>🛒 Feira Riba d'Ave</v>
      </c>
    </row>
    <row r="51" spans="1:10" ht="60" customHeight="1" x14ac:dyDescent="0.35">
      <c r="A51" s="540">
        <v>47</v>
      </c>
      <c r="B51" s="539" t="s">
        <v>3244</v>
      </c>
      <c r="C51" s="539" t="s">
        <v>792</v>
      </c>
      <c r="D51" s="539" t="s">
        <v>1552</v>
      </c>
      <c r="E51" s="539" t="s">
        <v>3245</v>
      </c>
      <c r="F51" s="539" t="s">
        <v>3094</v>
      </c>
      <c r="G51" s="539" t="s">
        <v>3124</v>
      </c>
      <c r="H51" s="539" t="s">
        <v>3096</v>
      </c>
      <c r="I51" s="539" t="s">
        <v>17996</v>
      </c>
      <c r="J51" s="551" t="str">
        <f>HYPERLINK("https://maps.google.com/?q=Mercado%20de%20Joane%20Braga","🛒 Mercado de Joane")</f>
        <v>🛒 Mercado de Joane</v>
      </c>
    </row>
    <row r="52" spans="1:10" ht="60" customHeight="1" x14ac:dyDescent="0.35">
      <c r="A52" s="540">
        <v>48</v>
      </c>
      <c r="B52" s="539" t="s">
        <v>3246</v>
      </c>
      <c r="C52" s="539" t="s">
        <v>792</v>
      </c>
      <c r="D52" s="539" t="s">
        <v>1552</v>
      </c>
      <c r="E52" s="539" t="s">
        <v>3247</v>
      </c>
      <c r="F52" s="539" t="s">
        <v>3123</v>
      </c>
      <c r="G52" s="539" t="s">
        <v>3248</v>
      </c>
      <c r="H52" s="539" t="s">
        <v>3096</v>
      </c>
      <c r="I52" s="539" t="s">
        <v>17997</v>
      </c>
      <c r="J52" s="551" t="str">
        <f>HYPERLINK("https://maps.google.com/?q=Feira%20de%20Taipas%20Braga","🛒 Feira de Taipas")</f>
        <v>🛒 Feira de Taipas</v>
      </c>
    </row>
    <row r="53" spans="1:10" ht="60" customHeight="1" x14ac:dyDescent="0.35">
      <c r="A53" s="540">
        <v>49</v>
      </c>
      <c r="B53" s="539" t="s">
        <v>3249</v>
      </c>
      <c r="C53" s="539" t="s">
        <v>792</v>
      </c>
      <c r="D53" s="539" t="s">
        <v>1552</v>
      </c>
      <c r="E53" s="539" t="s">
        <v>3250</v>
      </c>
      <c r="F53" s="539" t="s">
        <v>3094</v>
      </c>
      <c r="G53" s="539" t="s">
        <v>3124</v>
      </c>
      <c r="H53" s="539" t="s">
        <v>3096</v>
      </c>
      <c r="I53" s="539" t="s">
        <v>17998</v>
      </c>
      <c r="J53" s="551" t="str">
        <f>HYPERLINK("https://maps.google.com/?q=Mercado%20de%20Pevid%C3%A9m%20Braga","🛒 Mercado de Pevidém")</f>
        <v>🛒 Mercado de Pevidém</v>
      </c>
    </row>
    <row r="54" spans="1:10" ht="60" customHeight="1" x14ac:dyDescent="0.35">
      <c r="A54" s="540">
        <v>50</v>
      </c>
      <c r="B54" s="539" t="s">
        <v>3251</v>
      </c>
      <c r="C54" s="539" t="s">
        <v>792</v>
      </c>
      <c r="D54" s="539" t="s">
        <v>1552</v>
      </c>
      <c r="E54" s="539" t="s">
        <v>3252</v>
      </c>
      <c r="F54" s="539" t="s">
        <v>3253</v>
      </c>
      <c r="G54" s="539" t="s">
        <v>3124</v>
      </c>
      <c r="H54" s="539" t="s">
        <v>3096</v>
      </c>
      <c r="I54" s="539" t="s">
        <v>17999</v>
      </c>
      <c r="J54" s="551" t="str">
        <f>HYPERLINK("https://maps.google.com/?q=Feira%20de%20Lordelo%20Braga","🛒 Feira de Lordelo")</f>
        <v>🛒 Feira de Lordelo</v>
      </c>
    </row>
    <row r="55" spans="1:10" ht="60" customHeight="1" x14ac:dyDescent="0.35">
      <c r="A55" s="540">
        <v>51</v>
      </c>
      <c r="B55" s="539" t="s">
        <v>3254</v>
      </c>
      <c r="C55" s="539" t="s">
        <v>792</v>
      </c>
      <c r="D55" s="539" t="s">
        <v>1552</v>
      </c>
      <c r="E55" s="539" t="s">
        <v>3255</v>
      </c>
      <c r="F55" s="539" t="s">
        <v>3123</v>
      </c>
      <c r="G55" s="539" t="s">
        <v>3256</v>
      </c>
      <c r="H55" s="539" t="s">
        <v>3096</v>
      </c>
      <c r="I55" s="539" t="s">
        <v>18000</v>
      </c>
      <c r="J55" s="551" t="str">
        <f>HYPERLINK("https://maps.google.com/?q=Mercado%20de%20Prado%20Braga","🛒 Mercado de Prado")</f>
        <v>🛒 Mercado de Prado</v>
      </c>
    </row>
    <row r="56" spans="1:10" ht="60" customHeight="1" x14ac:dyDescent="0.35">
      <c r="A56" s="540">
        <v>52</v>
      </c>
      <c r="B56" s="539" t="s">
        <v>3257</v>
      </c>
      <c r="C56" s="539" t="s">
        <v>792</v>
      </c>
      <c r="D56" s="539" t="s">
        <v>1552</v>
      </c>
      <c r="E56" s="539" t="s">
        <v>3258</v>
      </c>
      <c r="F56" s="539" t="s">
        <v>3186</v>
      </c>
      <c r="G56" s="539" t="s">
        <v>3124</v>
      </c>
      <c r="H56" s="539" t="s">
        <v>3096</v>
      </c>
      <c r="I56" s="539" t="s">
        <v>18001</v>
      </c>
      <c r="J56" s="551" t="str">
        <f>HYPERLINK("https://maps.google.com/?q=Feira%20de%20Marinhas%20Braga","🛒 Feira de Marinhas")</f>
        <v>🛒 Feira de Marinhas</v>
      </c>
    </row>
    <row r="57" spans="1:10" ht="60" customHeight="1" x14ac:dyDescent="0.35">
      <c r="A57" s="540">
        <v>53</v>
      </c>
      <c r="B57" s="539" t="s">
        <v>3259</v>
      </c>
      <c r="C57" s="539" t="s">
        <v>792</v>
      </c>
      <c r="D57" s="539" t="s">
        <v>1552</v>
      </c>
      <c r="E57" s="539" t="s">
        <v>3260</v>
      </c>
      <c r="F57" s="539" t="s">
        <v>3123</v>
      </c>
      <c r="G57" s="539" t="s">
        <v>3124</v>
      </c>
      <c r="H57" s="539" t="s">
        <v>3096</v>
      </c>
      <c r="I57" s="539" t="s">
        <v>18002</v>
      </c>
      <c r="J57" s="551" t="str">
        <f>HYPERLINK("https://maps.google.com/?q=Mercado%20de%20Ronfe%20Braga","🛒 Mercado de Ronfe")</f>
        <v>🛒 Mercado de Ronfe</v>
      </c>
    </row>
    <row r="58" spans="1:10" ht="60" customHeight="1" x14ac:dyDescent="0.35">
      <c r="A58" s="540">
        <v>54</v>
      </c>
      <c r="B58" s="539" t="s">
        <v>3261</v>
      </c>
      <c r="C58" s="539" t="s">
        <v>792</v>
      </c>
      <c r="D58" s="539" t="s">
        <v>1552</v>
      </c>
      <c r="E58" s="539" t="s">
        <v>3262</v>
      </c>
      <c r="F58" s="539" t="s">
        <v>3112</v>
      </c>
      <c r="G58" s="539" t="s">
        <v>3187</v>
      </c>
      <c r="H58" s="539" t="s">
        <v>3096</v>
      </c>
      <c r="I58" s="539" t="s">
        <v>18003</v>
      </c>
      <c r="J58" s="551" t="str">
        <f>HYPERLINK("https://maps.google.com/?q=Feira%20Moreira%20de%20C%C3%B3negos%20Braga","🛒 Feira Moreira de Cónegos")</f>
        <v>🛒 Feira Moreira de Cónegos</v>
      </c>
    </row>
    <row r="59" spans="1:10" ht="60" customHeight="1" x14ac:dyDescent="0.35">
      <c r="A59" s="540">
        <v>55</v>
      </c>
      <c r="B59" s="539" t="s">
        <v>3263</v>
      </c>
      <c r="C59" s="539" t="s">
        <v>792</v>
      </c>
      <c r="D59" s="539" t="s">
        <v>1552</v>
      </c>
      <c r="E59" s="539" t="s">
        <v>3264</v>
      </c>
      <c r="F59" s="539" t="s">
        <v>3137</v>
      </c>
      <c r="G59" s="539" t="s">
        <v>3134</v>
      </c>
      <c r="H59" s="539" t="s">
        <v>3096</v>
      </c>
      <c r="I59" s="539" t="s">
        <v>18004</v>
      </c>
      <c r="J59" s="551" t="str">
        <f>HYPERLINK("https://maps.google.com/?q=Mercado%20de%20Gualtar%20Braga","🛒 Mercado de Gualtar")</f>
        <v>🛒 Mercado de Gualtar</v>
      </c>
    </row>
    <row r="60" spans="1:10" ht="60" customHeight="1" x14ac:dyDescent="0.35">
      <c r="A60" s="540">
        <v>56</v>
      </c>
      <c r="B60" s="539" t="s">
        <v>3265</v>
      </c>
      <c r="C60" s="539" t="s">
        <v>792</v>
      </c>
      <c r="D60" s="539" t="s">
        <v>1149</v>
      </c>
      <c r="E60" s="539" t="s">
        <v>3266</v>
      </c>
      <c r="F60" s="539" t="s">
        <v>3267</v>
      </c>
      <c r="G60" s="539" t="s">
        <v>3268</v>
      </c>
      <c r="H60" s="539" t="s">
        <v>3096</v>
      </c>
      <c r="I60" s="539" t="s">
        <v>18005</v>
      </c>
      <c r="J60" s="551" t="str">
        <f>HYPERLINK("https://maps.google.com/?q=Feira%20V.N.%20Cerveira%20Viana%20do%20Castelo","🛒 Feira V.N. Cerveira")</f>
        <v>🛒 Feira V.N. Cerveira</v>
      </c>
    </row>
    <row r="61" spans="1:10" ht="60" customHeight="1" x14ac:dyDescent="0.35">
      <c r="A61" s="540">
        <v>57</v>
      </c>
      <c r="B61" s="539" t="s">
        <v>3269</v>
      </c>
      <c r="C61" s="539" t="s">
        <v>792</v>
      </c>
      <c r="D61" s="539" t="s">
        <v>1149</v>
      </c>
      <c r="E61" s="539" t="s">
        <v>3270</v>
      </c>
      <c r="F61" s="539" t="s">
        <v>3203</v>
      </c>
      <c r="G61" s="539" t="s">
        <v>3271</v>
      </c>
      <c r="H61" s="539" t="s">
        <v>3096</v>
      </c>
      <c r="I61" s="539" t="s">
        <v>18006</v>
      </c>
      <c r="J61" s="551" t="str">
        <f>HYPERLINK("https://maps.google.com/?q=Mercado%20Viana%20do%20Castelo%20Viana%20do%20Castelo","🛒 Mercado Viana do Castelo")</f>
        <v>🛒 Mercado Viana do Castelo</v>
      </c>
    </row>
    <row r="62" spans="1:10" ht="60" customHeight="1" x14ac:dyDescent="0.35">
      <c r="A62" s="540">
        <v>58</v>
      </c>
      <c r="B62" s="539" t="s">
        <v>3272</v>
      </c>
      <c r="C62" s="539" t="s">
        <v>792</v>
      </c>
      <c r="D62" s="539" t="s">
        <v>1149</v>
      </c>
      <c r="E62" s="539" t="s">
        <v>3273</v>
      </c>
      <c r="F62" s="539" t="s">
        <v>3274</v>
      </c>
      <c r="G62" s="539" t="s">
        <v>3275</v>
      </c>
      <c r="H62" s="539" t="s">
        <v>3096</v>
      </c>
      <c r="I62" s="539" t="s">
        <v>18007</v>
      </c>
      <c r="J62" s="551" t="str">
        <f>HYPERLINK("https://maps.google.com/?q=Feira%20Ponte%20de%20Lima%20Viana%20do%20Castelo","🛒 Feira Ponte de Lima")</f>
        <v>🛒 Feira Ponte de Lima</v>
      </c>
    </row>
    <row r="63" spans="1:10" ht="60" customHeight="1" x14ac:dyDescent="0.35">
      <c r="A63" s="540">
        <v>59</v>
      </c>
      <c r="B63" s="539" t="s">
        <v>3276</v>
      </c>
      <c r="C63" s="539" t="s">
        <v>792</v>
      </c>
      <c r="D63" s="539" t="s">
        <v>1149</v>
      </c>
      <c r="E63" s="539" t="s">
        <v>3277</v>
      </c>
      <c r="F63" s="539" t="s">
        <v>3179</v>
      </c>
      <c r="G63" s="539" t="s">
        <v>3278</v>
      </c>
      <c r="H63" s="539" t="s">
        <v>3096</v>
      </c>
      <c r="I63" s="539" t="s">
        <v>18008</v>
      </c>
      <c r="J63" s="551" t="str">
        <f>HYPERLINK("https://maps.google.com/?q=Feira%20de%20Valen%C3%A7a%20Viana%20do%20Castelo","🛒 Feira de Valença")</f>
        <v>🛒 Feira de Valença</v>
      </c>
    </row>
    <row r="64" spans="1:10" ht="60" customHeight="1" x14ac:dyDescent="0.35">
      <c r="A64" s="540">
        <v>60</v>
      </c>
      <c r="B64" s="539" t="s">
        <v>3279</v>
      </c>
      <c r="C64" s="539" t="s">
        <v>792</v>
      </c>
      <c r="D64" s="539" t="s">
        <v>1149</v>
      </c>
      <c r="E64" s="539" t="s">
        <v>3280</v>
      </c>
      <c r="F64" s="539" t="s">
        <v>3281</v>
      </c>
      <c r="G64" s="539" t="s">
        <v>3282</v>
      </c>
      <c r="H64" s="539" t="s">
        <v>3096</v>
      </c>
      <c r="I64" s="539" t="s">
        <v>18009</v>
      </c>
      <c r="J64" s="551" t="str">
        <f>HYPERLINK("https://maps.google.com/?q=Feira%20de%20Mon%C3%A7%C3%A3o%20Viana%20do%20Castelo","🛒 Feira de Monção")</f>
        <v>🛒 Feira de Monção</v>
      </c>
    </row>
    <row r="65" spans="1:10" ht="60" customHeight="1" x14ac:dyDescent="0.35">
      <c r="A65" s="540">
        <v>61</v>
      </c>
      <c r="B65" s="539" t="s">
        <v>3283</v>
      </c>
      <c r="C65" s="539" t="s">
        <v>792</v>
      </c>
      <c r="D65" s="539" t="s">
        <v>1149</v>
      </c>
      <c r="E65" s="539" t="s">
        <v>3284</v>
      </c>
      <c r="F65" s="539" t="s">
        <v>3285</v>
      </c>
      <c r="G65" s="539" t="s">
        <v>3286</v>
      </c>
      <c r="H65" s="539" t="s">
        <v>3096</v>
      </c>
      <c r="I65" s="539" t="s">
        <v>18010</v>
      </c>
      <c r="J65" s="551" t="str">
        <f>HYPERLINK("https://maps.google.com/?q=Mercado%20de%20Caminha%20Viana%20do%20Castelo","🛒 Mercado de Caminha")</f>
        <v>🛒 Mercado de Caminha</v>
      </c>
    </row>
    <row r="66" spans="1:10" ht="60" customHeight="1" x14ac:dyDescent="0.35">
      <c r="A66" s="540">
        <v>62</v>
      </c>
      <c r="B66" s="539" t="s">
        <v>3287</v>
      </c>
      <c r="C66" s="539" t="s">
        <v>792</v>
      </c>
      <c r="D66" s="539" t="s">
        <v>1149</v>
      </c>
      <c r="E66" s="539" t="s">
        <v>3288</v>
      </c>
      <c r="F66" s="539" t="s">
        <v>3289</v>
      </c>
      <c r="G66" s="539" t="s">
        <v>3290</v>
      </c>
      <c r="H66" s="539" t="s">
        <v>3096</v>
      </c>
      <c r="I66" s="539" t="s">
        <v>18011</v>
      </c>
      <c r="J66" s="551" t="str">
        <f>HYPERLINK("https://maps.google.com/?q=Feira%20Arcos%20de%20Valdevez%20Viana%20do%20Castelo","🛒 Feira Arcos de Valdevez")</f>
        <v>🛒 Feira Arcos de Valdevez</v>
      </c>
    </row>
    <row r="67" spans="1:10" ht="60" customHeight="1" x14ac:dyDescent="0.35">
      <c r="A67" s="540">
        <v>63</v>
      </c>
      <c r="B67" s="539" t="s">
        <v>3291</v>
      </c>
      <c r="C67" s="539" t="s">
        <v>792</v>
      </c>
      <c r="D67" s="539" t="s">
        <v>1149</v>
      </c>
      <c r="E67" s="539" t="s">
        <v>3292</v>
      </c>
      <c r="F67" s="539" t="s">
        <v>3179</v>
      </c>
      <c r="G67" s="539" t="s">
        <v>3293</v>
      </c>
      <c r="H67" s="539" t="s">
        <v>3096</v>
      </c>
      <c r="I67" s="539" t="s">
        <v>18012</v>
      </c>
      <c r="J67" s="551" t="str">
        <f>HYPERLINK("https://maps.google.com/?q=Mercado%20Ponte%20da%20Barca%20Viana%20do%20Castelo","🛒 Mercado Ponte da Barca")</f>
        <v>🛒 Mercado Ponte da Barca</v>
      </c>
    </row>
    <row r="68" spans="1:10" ht="60" customHeight="1" x14ac:dyDescent="0.35">
      <c r="A68" s="540">
        <v>64</v>
      </c>
      <c r="B68" s="539" t="s">
        <v>3294</v>
      </c>
      <c r="C68" s="539" t="s">
        <v>792</v>
      </c>
      <c r="D68" s="539" t="s">
        <v>1149</v>
      </c>
      <c r="E68" s="539" t="s">
        <v>3295</v>
      </c>
      <c r="F68" s="539" t="s">
        <v>3094</v>
      </c>
      <c r="G68" s="539" t="s">
        <v>3296</v>
      </c>
      <c r="H68" s="539" t="s">
        <v>3096</v>
      </c>
      <c r="I68" s="539" t="s">
        <v>18013</v>
      </c>
      <c r="J68" s="551" t="str">
        <f>HYPERLINK("https://maps.google.com/?q=Feira%20Paredes%20de%20Coura%20Viana%20do%20Castelo","🛒 Feira Paredes de Coura")</f>
        <v>🛒 Feira Paredes de Coura</v>
      </c>
    </row>
    <row r="69" spans="1:10" ht="60" customHeight="1" x14ac:dyDescent="0.35">
      <c r="A69" s="540">
        <v>65</v>
      </c>
      <c r="B69" s="539" t="s">
        <v>3297</v>
      </c>
      <c r="C69" s="539" t="s">
        <v>792</v>
      </c>
      <c r="D69" s="539" t="s">
        <v>1149</v>
      </c>
      <c r="E69" s="539" t="s">
        <v>3298</v>
      </c>
      <c r="F69" s="539" t="s">
        <v>3299</v>
      </c>
      <c r="G69" s="539" t="s">
        <v>3300</v>
      </c>
      <c r="H69" s="539" t="s">
        <v>3096</v>
      </c>
      <c r="I69" s="539" t="s">
        <v>18014</v>
      </c>
      <c r="J69" s="551" t="str">
        <f>HYPERLINK("https://maps.google.com/?q=Mercado%20de%20Melga%C3%A7o%20Viana%20do%20Castelo","🛒 Mercado de Melgaço")</f>
        <v>🛒 Mercado de Melgaço</v>
      </c>
    </row>
    <row r="70" spans="1:10" ht="60" customHeight="1" x14ac:dyDescent="0.35">
      <c r="A70" s="540">
        <v>66</v>
      </c>
      <c r="B70" s="539" t="s">
        <v>3301</v>
      </c>
      <c r="C70" s="539" t="s">
        <v>792</v>
      </c>
      <c r="D70" s="539" t="s">
        <v>1149</v>
      </c>
      <c r="E70" s="539" t="s">
        <v>3302</v>
      </c>
      <c r="F70" s="539" t="s">
        <v>3281</v>
      </c>
      <c r="G70" s="539" t="s">
        <v>3303</v>
      </c>
      <c r="H70" s="539" t="s">
        <v>3096</v>
      </c>
      <c r="I70" s="539" t="s">
        <v>18015</v>
      </c>
      <c r="J70" s="551" t="str">
        <f>HYPERLINK("https://maps.google.com/?q=Feira%20V.%20Praia%20de%20%C3%82ncora%20Viana%20do%20Castelo","🛒 Feira V. Praia de Âncora")</f>
        <v>🛒 Feira V. Praia de Âncora</v>
      </c>
    </row>
    <row r="71" spans="1:10" ht="60" customHeight="1" x14ac:dyDescent="0.35">
      <c r="A71" s="540">
        <v>67</v>
      </c>
      <c r="B71" s="539" t="s">
        <v>3304</v>
      </c>
      <c r="C71" s="539" t="s">
        <v>792</v>
      </c>
      <c r="D71" s="539" t="s">
        <v>1149</v>
      </c>
      <c r="E71" s="539" t="s">
        <v>3305</v>
      </c>
      <c r="F71" s="539" t="s">
        <v>3094</v>
      </c>
      <c r="G71" s="539" t="s">
        <v>3124</v>
      </c>
      <c r="H71" s="539" t="s">
        <v>3096</v>
      </c>
      <c r="I71" s="539" t="s">
        <v>18016</v>
      </c>
      <c r="J71" s="551" t="str">
        <f>HYPERLINK("https://maps.google.com/?q=Mercado%20de%20Lanheses%20Viana%20do%20Castelo","🛒 Mercado de Lanheses")</f>
        <v>🛒 Mercado de Lanheses</v>
      </c>
    </row>
    <row r="72" spans="1:10" ht="60" customHeight="1" x14ac:dyDescent="0.35">
      <c r="A72" s="540">
        <v>68</v>
      </c>
      <c r="B72" s="539" t="s">
        <v>3306</v>
      </c>
      <c r="C72" s="539" t="s">
        <v>792</v>
      </c>
      <c r="D72" s="539" t="s">
        <v>1149</v>
      </c>
      <c r="E72" s="539" t="s">
        <v>3307</v>
      </c>
      <c r="F72" s="539" t="s">
        <v>3094</v>
      </c>
      <c r="G72" s="539" t="s">
        <v>3124</v>
      </c>
      <c r="H72" s="539" t="s">
        <v>3096</v>
      </c>
      <c r="I72" s="539" t="s">
        <v>18017</v>
      </c>
      <c r="J72" s="551" t="str">
        <f>HYPERLINK("https://maps.google.com/?q=Feira%20de%20Barroselas%20Viana%20do%20Castelo","🛒 Feira de Barroselas")</f>
        <v>🛒 Feira de Barroselas</v>
      </c>
    </row>
    <row r="73" spans="1:10" ht="60" customHeight="1" x14ac:dyDescent="0.35">
      <c r="A73" s="540">
        <v>69</v>
      </c>
      <c r="B73" s="539" t="s">
        <v>3308</v>
      </c>
      <c r="C73" s="539" t="s">
        <v>792</v>
      </c>
      <c r="D73" s="539" t="s">
        <v>1149</v>
      </c>
      <c r="E73" s="539" t="s">
        <v>3309</v>
      </c>
      <c r="F73" s="539" t="s">
        <v>3186</v>
      </c>
      <c r="G73" s="539" t="s">
        <v>3124</v>
      </c>
      <c r="H73" s="539" t="s">
        <v>3096</v>
      </c>
      <c r="I73" s="539" t="s">
        <v>18018</v>
      </c>
      <c r="J73" s="551" t="str">
        <f>HYPERLINK("https://maps.google.com/?q=Mercado%20de%20Darque%20Viana%20do%20Castelo","🛒 Mercado de Darque")</f>
        <v>🛒 Mercado de Darque</v>
      </c>
    </row>
    <row r="74" spans="1:10" ht="60" customHeight="1" x14ac:dyDescent="0.35">
      <c r="A74" s="540">
        <v>70</v>
      </c>
      <c r="B74" s="539" t="s">
        <v>3310</v>
      </c>
      <c r="C74" s="539" t="s">
        <v>792</v>
      </c>
      <c r="D74" s="539" t="s">
        <v>1149</v>
      </c>
      <c r="E74" s="539" t="s">
        <v>3311</v>
      </c>
      <c r="F74" s="539" t="s">
        <v>3312</v>
      </c>
      <c r="G74" s="539" t="s">
        <v>3313</v>
      </c>
      <c r="H74" s="539" t="s">
        <v>3096</v>
      </c>
      <c r="I74" s="539" t="s">
        <v>18019</v>
      </c>
      <c r="J74" s="551" t="str">
        <f>HYPERLINK("https://maps.google.com/?q=Feira%20de%20Lindoso%20Viana%20do%20Castelo","🛒 Feira de Lindoso")</f>
        <v>🛒 Feira de Lindoso</v>
      </c>
    </row>
    <row r="75" spans="1:10" ht="60" customHeight="1" x14ac:dyDescent="0.35">
      <c r="A75" s="540">
        <v>71</v>
      </c>
      <c r="B75" s="539" t="s">
        <v>3314</v>
      </c>
      <c r="C75" s="539" t="s">
        <v>792</v>
      </c>
      <c r="D75" s="539" t="s">
        <v>3315</v>
      </c>
      <c r="E75" s="539" t="s">
        <v>3316</v>
      </c>
      <c r="F75" s="539" t="s">
        <v>3317</v>
      </c>
      <c r="G75" s="539" t="s">
        <v>3318</v>
      </c>
      <c r="H75" s="539" t="s">
        <v>3096</v>
      </c>
      <c r="I75" s="539" t="s">
        <v>18020</v>
      </c>
      <c r="J75" s="551" t="str">
        <f>HYPERLINK("https://maps.google.com/?q=Mercado%20de%20Vila%20Real%20Vila%20Real%20%2F%20Bragan%C3%A7a","🛒 Mercado de Vila Real")</f>
        <v>🛒 Mercado de Vila Real</v>
      </c>
    </row>
    <row r="76" spans="1:10" ht="60" customHeight="1" x14ac:dyDescent="0.35">
      <c r="A76" s="540">
        <v>72</v>
      </c>
      <c r="B76" s="539" t="s">
        <v>3319</v>
      </c>
      <c r="C76" s="539" t="s">
        <v>792</v>
      </c>
      <c r="D76" s="539" t="s">
        <v>3315</v>
      </c>
      <c r="E76" s="539" t="s">
        <v>3320</v>
      </c>
      <c r="F76" s="539" t="s">
        <v>3321</v>
      </c>
      <c r="G76" s="539" t="s">
        <v>3322</v>
      </c>
      <c r="H76" s="539" t="s">
        <v>3096</v>
      </c>
      <c r="I76" s="539" t="s">
        <v>18021</v>
      </c>
      <c r="J76" s="551" t="str">
        <f>HYPERLINK("https://maps.google.com/?q=Feira%20de%20Chaves%20Vila%20Real%20%2F%20Bragan%C3%A7a","🛒 Feira de Chaves")</f>
        <v>🛒 Feira de Chaves</v>
      </c>
    </row>
    <row r="77" spans="1:10" ht="60" customHeight="1" x14ac:dyDescent="0.35">
      <c r="A77" s="540">
        <v>73</v>
      </c>
      <c r="B77" s="539" t="s">
        <v>3323</v>
      </c>
      <c r="C77" s="539" t="s">
        <v>792</v>
      </c>
      <c r="D77" s="539" t="s">
        <v>3315</v>
      </c>
      <c r="E77" s="539" t="s">
        <v>3324</v>
      </c>
      <c r="F77" s="539" t="s">
        <v>3299</v>
      </c>
      <c r="G77" s="539" t="s">
        <v>3325</v>
      </c>
      <c r="H77" s="539" t="s">
        <v>3096</v>
      </c>
      <c r="I77" s="539" t="s">
        <v>18022</v>
      </c>
      <c r="J77" s="551" t="str">
        <f>HYPERLINK("https://maps.google.com/?q=Mercado%20de%20Bragan%C3%A7a%20Vila%20Real%20%2F%20Bragan%C3%A7a","🛒 Mercado de Bragança")</f>
        <v>🛒 Mercado de Bragança</v>
      </c>
    </row>
    <row r="78" spans="1:10" ht="60" customHeight="1" x14ac:dyDescent="0.35">
      <c r="A78" s="540">
        <v>74</v>
      </c>
      <c r="B78" s="539" t="s">
        <v>3326</v>
      </c>
      <c r="C78" s="539" t="s">
        <v>792</v>
      </c>
      <c r="D78" s="539" t="s">
        <v>3315</v>
      </c>
      <c r="E78" s="539" t="s">
        <v>3327</v>
      </c>
      <c r="F78" s="539" t="s">
        <v>3328</v>
      </c>
      <c r="G78" s="539" t="s">
        <v>3329</v>
      </c>
      <c r="H78" s="539" t="s">
        <v>3096</v>
      </c>
      <c r="I78" s="539" t="s">
        <v>18023</v>
      </c>
      <c r="J78" s="551" t="str">
        <f>HYPERLINK("https://maps.google.com/?q=Feira%20de%20Mirandela%20Vila%20Real%20%2F%20Bragan%C3%A7a","🛒 Feira de Mirandela")</f>
        <v>🛒 Feira de Mirandela</v>
      </c>
    </row>
    <row r="79" spans="1:10" ht="60" customHeight="1" x14ac:dyDescent="0.35">
      <c r="A79" s="540">
        <v>75</v>
      </c>
      <c r="B79" s="539" t="s">
        <v>3330</v>
      </c>
      <c r="C79" s="539" t="s">
        <v>792</v>
      </c>
      <c r="D79" s="539" t="s">
        <v>3315</v>
      </c>
      <c r="E79" s="539" t="s">
        <v>3331</v>
      </c>
      <c r="F79" s="539" t="s">
        <v>3285</v>
      </c>
      <c r="G79" s="539" t="s">
        <v>3332</v>
      </c>
      <c r="H79" s="539" t="s">
        <v>3096</v>
      </c>
      <c r="I79" s="539" t="s">
        <v>18024</v>
      </c>
      <c r="J79" s="551" t="str">
        <f>HYPERLINK("https://maps.google.com/?q=Mercado%20Peso%20da%20R%C3%A9gua%20Vila%20Real%20%2F%20Bragan%C3%A7a","🛒 Mercado Peso da Régua")</f>
        <v>🛒 Mercado Peso da Régua</v>
      </c>
    </row>
    <row r="80" spans="1:10" ht="60" customHeight="1" x14ac:dyDescent="0.35">
      <c r="A80" s="540">
        <v>76</v>
      </c>
      <c r="B80" s="539" t="s">
        <v>3333</v>
      </c>
      <c r="C80" s="539" t="s">
        <v>792</v>
      </c>
      <c r="D80" s="539" t="s">
        <v>3315</v>
      </c>
      <c r="E80" s="539" t="s">
        <v>3334</v>
      </c>
      <c r="F80" s="539" t="s">
        <v>3335</v>
      </c>
      <c r="G80" s="539" t="s">
        <v>3336</v>
      </c>
      <c r="H80" s="539" t="s">
        <v>3096</v>
      </c>
      <c r="I80" s="539" t="s">
        <v>18025</v>
      </c>
      <c r="J80" s="551" t="str">
        <f>HYPERLINK("https://maps.google.com/?q=Feira%20de%20Alij%C3%B3%20Vila%20Real%20%2F%20Bragan%C3%A7a","🛒 Feira de Alijó")</f>
        <v>🛒 Feira de Alijó</v>
      </c>
    </row>
    <row r="81" spans="1:10" ht="60" customHeight="1" x14ac:dyDescent="0.35">
      <c r="A81" s="540">
        <v>77</v>
      </c>
      <c r="B81" s="539" t="s">
        <v>3337</v>
      </c>
      <c r="C81" s="539" t="s">
        <v>792</v>
      </c>
      <c r="D81" s="539" t="s">
        <v>3315</v>
      </c>
      <c r="E81" s="539" t="s">
        <v>3338</v>
      </c>
      <c r="F81" s="539" t="s">
        <v>3170</v>
      </c>
      <c r="G81" s="539" t="s">
        <v>3339</v>
      </c>
      <c r="H81" s="539" t="s">
        <v>3096</v>
      </c>
      <c r="I81" s="539" t="s">
        <v>18026</v>
      </c>
      <c r="J81" s="551" t="str">
        <f>HYPERLINK("https://maps.google.com/?q=Mercado%20Macedo%20de%20Cavaleiros%20Vila%20Real%20%2F%20Bragan%C3%A7a","🛒 Mercado Macedo de Cavaleiros")</f>
        <v>🛒 Mercado Macedo de Cavaleiros</v>
      </c>
    </row>
    <row r="82" spans="1:10" ht="60" customHeight="1" x14ac:dyDescent="0.35">
      <c r="A82" s="540">
        <v>78</v>
      </c>
      <c r="B82" s="539" t="s">
        <v>3340</v>
      </c>
      <c r="C82" s="539" t="s">
        <v>792</v>
      </c>
      <c r="D82" s="539" t="s">
        <v>3315</v>
      </c>
      <c r="E82" s="539" t="s">
        <v>3341</v>
      </c>
      <c r="F82" s="539" t="s">
        <v>3342</v>
      </c>
      <c r="G82" s="539" t="s">
        <v>3343</v>
      </c>
      <c r="H82" s="539" t="s">
        <v>3096</v>
      </c>
      <c r="I82" s="539" t="s">
        <v>18027</v>
      </c>
      <c r="J82" s="551" t="str">
        <f>HYPERLINK("https://maps.google.com/?q=Feira%20de%20Mogadouro%20Vila%20Real%20%2F%20Bragan%C3%A7a","🛒 Feira de Mogadouro")</f>
        <v>🛒 Feira de Mogadouro</v>
      </c>
    </row>
    <row r="83" spans="1:10" ht="60" customHeight="1" x14ac:dyDescent="0.35">
      <c r="A83" s="540">
        <v>79</v>
      </c>
      <c r="B83" s="539" t="s">
        <v>3344</v>
      </c>
      <c r="C83" s="539" t="s">
        <v>792</v>
      </c>
      <c r="D83" s="539" t="s">
        <v>3315</v>
      </c>
      <c r="E83" s="539" t="s">
        <v>3345</v>
      </c>
      <c r="F83" s="539" t="s">
        <v>3346</v>
      </c>
      <c r="G83" s="539" t="s">
        <v>3347</v>
      </c>
      <c r="H83" s="539" t="s">
        <v>3096</v>
      </c>
      <c r="I83" s="539" t="s">
        <v>18028</v>
      </c>
      <c r="J83" s="551" t="str">
        <f>HYPERLINK("https://maps.google.com/?q=Mercado%20Miranda%20do%20Douro%20Vila%20Real%20%2F%20Bragan%C3%A7a","🛒 Mercado Miranda do Douro")</f>
        <v>🛒 Mercado Miranda do Douro</v>
      </c>
    </row>
    <row r="84" spans="1:10" ht="60" customHeight="1" x14ac:dyDescent="0.35">
      <c r="A84" s="540">
        <v>80</v>
      </c>
      <c r="B84" s="539" t="s">
        <v>3348</v>
      </c>
      <c r="C84" s="539" t="s">
        <v>792</v>
      </c>
      <c r="D84" s="539" t="s">
        <v>3315</v>
      </c>
      <c r="E84" s="539" t="s">
        <v>3349</v>
      </c>
      <c r="F84" s="539" t="s">
        <v>3350</v>
      </c>
      <c r="G84" s="539" t="s">
        <v>3351</v>
      </c>
      <c r="H84" s="539" t="s">
        <v>3096</v>
      </c>
      <c r="I84" s="539" t="s">
        <v>18029</v>
      </c>
      <c r="J84" s="551" t="str">
        <f>HYPERLINK("https://maps.google.com/?q=Feira%20de%20Vimioso%20Vila%20Real%20%2F%20Bragan%C3%A7a","🛒 Feira de Vimioso")</f>
        <v>🛒 Feira de Vimioso</v>
      </c>
    </row>
    <row r="85" spans="1:10" ht="60" customHeight="1" x14ac:dyDescent="0.35">
      <c r="A85" s="540">
        <v>81</v>
      </c>
      <c r="B85" s="539" t="s">
        <v>3352</v>
      </c>
      <c r="C85" s="539" t="s">
        <v>792</v>
      </c>
      <c r="D85" s="539" t="s">
        <v>3315</v>
      </c>
      <c r="E85" s="539" t="s">
        <v>3353</v>
      </c>
      <c r="F85" s="539" t="s">
        <v>3354</v>
      </c>
      <c r="G85" s="539" t="s">
        <v>3355</v>
      </c>
      <c r="H85" s="539" t="s">
        <v>3096</v>
      </c>
      <c r="I85" s="539" t="s">
        <v>18030</v>
      </c>
      <c r="J85" s="551" t="str">
        <f>HYPERLINK("https://maps.google.com/?q=Mercado%20de%20Vinhais%20Vila%20Real%20%2F%20Bragan%C3%A7a","🛒 Mercado de Vinhais")</f>
        <v>🛒 Mercado de Vinhais</v>
      </c>
    </row>
    <row r="86" spans="1:10" ht="60" customHeight="1" x14ac:dyDescent="0.35">
      <c r="A86" s="540">
        <v>82</v>
      </c>
      <c r="B86" s="539" t="s">
        <v>3356</v>
      </c>
      <c r="C86" s="539" t="s">
        <v>792</v>
      </c>
      <c r="D86" s="539" t="s">
        <v>3315</v>
      </c>
      <c r="E86" s="539" t="s">
        <v>3357</v>
      </c>
      <c r="F86" s="539" t="s">
        <v>3170</v>
      </c>
      <c r="G86" s="539" t="s">
        <v>3358</v>
      </c>
      <c r="H86" s="539" t="s">
        <v>3096</v>
      </c>
      <c r="I86" s="539" t="s">
        <v>18031</v>
      </c>
      <c r="J86" s="551" t="str">
        <f>HYPERLINK("https://maps.google.com/?q=Feira%20de%20Mur%C3%A7a%20Vila%20Real%20%2F%20Bragan%C3%A7a","🛒 Feira de Murça")</f>
        <v>🛒 Feira de Murça</v>
      </c>
    </row>
    <row r="87" spans="1:10" ht="60" customHeight="1" x14ac:dyDescent="0.35">
      <c r="A87" s="540">
        <v>83</v>
      </c>
      <c r="B87" s="539" t="s">
        <v>3359</v>
      </c>
      <c r="C87" s="539" t="s">
        <v>792</v>
      </c>
      <c r="D87" s="539" t="s">
        <v>3315</v>
      </c>
      <c r="E87" s="539" t="s">
        <v>3360</v>
      </c>
      <c r="F87" s="539" t="s">
        <v>3342</v>
      </c>
      <c r="G87" s="539" t="s">
        <v>3234</v>
      </c>
      <c r="H87" s="539" t="s">
        <v>3096</v>
      </c>
      <c r="I87" s="539" t="s">
        <v>18032</v>
      </c>
      <c r="J87" s="551" t="str">
        <f>HYPERLINK("https://maps.google.com/?q=Mercado%20Mondim%20de%20Basto%20Vila%20Real%20%2F%20Bragan%C3%A7a","🛒 Mercado Mondim de Basto")</f>
        <v>🛒 Mercado Mondim de Basto</v>
      </c>
    </row>
    <row r="88" spans="1:10" ht="60" customHeight="1" x14ac:dyDescent="0.35">
      <c r="A88" s="540">
        <v>84</v>
      </c>
      <c r="B88" s="539" t="s">
        <v>3361</v>
      </c>
      <c r="C88" s="539" t="s">
        <v>792</v>
      </c>
      <c r="D88" s="539" t="s">
        <v>3315</v>
      </c>
      <c r="E88" s="539" t="s">
        <v>3362</v>
      </c>
      <c r="F88" s="539" t="s">
        <v>3363</v>
      </c>
      <c r="G88" s="539" t="s">
        <v>3364</v>
      </c>
      <c r="H88" s="539" t="s">
        <v>3096</v>
      </c>
      <c r="I88" s="539" t="s">
        <v>18033</v>
      </c>
      <c r="J88" s="551" t="str">
        <f>HYPERLINK("https://maps.google.com/?q=Feira%20de%20Valpa%C3%A7os%20Vila%20Real%20%2F%20Bragan%C3%A7a","🛒 Feira de Valpaços")</f>
        <v>🛒 Feira de Valpaços</v>
      </c>
    </row>
    <row r="89" spans="1:10" ht="60" customHeight="1" x14ac:dyDescent="0.35">
      <c r="A89" s="540">
        <v>85</v>
      </c>
      <c r="B89" s="539" t="s">
        <v>3365</v>
      </c>
      <c r="C89" s="539" t="s">
        <v>792</v>
      </c>
      <c r="D89" s="539" t="s">
        <v>3315</v>
      </c>
      <c r="E89" s="539" t="s">
        <v>3366</v>
      </c>
      <c r="F89" s="539" t="s">
        <v>3367</v>
      </c>
      <c r="G89" s="539" t="s">
        <v>3368</v>
      </c>
      <c r="H89" s="539" t="s">
        <v>3096</v>
      </c>
      <c r="I89" s="539" t="s">
        <v>18034</v>
      </c>
      <c r="J89" s="551" t="str">
        <f>HYPERLINK("https://maps.google.com/?q=Mercado%20Torre%20de%20Moncorvo%20Vila%20Real%20%2F%20Bragan%C3%A7a","🛒 Mercado Torre de Moncorvo")</f>
        <v>🛒 Mercado Torre de Moncorvo</v>
      </c>
    </row>
    <row r="90" spans="1:10" ht="60" customHeight="1" x14ac:dyDescent="0.35">
      <c r="A90" s="540">
        <v>86</v>
      </c>
      <c r="B90" s="539" t="s">
        <v>3369</v>
      </c>
      <c r="C90" s="539" t="s">
        <v>792</v>
      </c>
      <c r="D90" s="539" t="s">
        <v>3315</v>
      </c>
      <c r="E90" s="539" t="s">
        <v>3370</v>
      </c>
      <c r="F90" s="539" t="s">
        <v>3312</v>
      </c>
      <c r="G90" s="539" t="s">
        <v>3371</v>
      </c>
      <c r="H90" s="539" t="s">
        <v>3096</v>
      </c>
      <c r="I90" s="539" t="s">
        <v>18035</v>
      </c>
      <c r="J90" s="551" t="str">
        <f>HYPERLINK("https://maps.google.com/?q=Feira%20Freixo%20de%20Espada%20%C3%A0%20Cinta%20Vila%20Real%20%2F%20Bragan%C3%A7a","🛒 Feira Freixo de Espada à Cin")</f>
        <v>🛒 Feira Freixo de Espada à Cin</v>
      </c>
    </row>
    <row r="91" spans="1:10" ht="60" customHeight="1" x14ac:dyDescent="0.35">
      <c r="A91" s="540">
        <v>87</v>
      </c>
      <c r="B91" s="539" t="s">
        <v>3372</v>
      </c>
      <c r="C91" s="539" t="s">
        <v>792</v>
      </c>
      <c r="D91" s="539" t="s">
        <v>3315</v>
      </c>
      <c r="E91" s="539" t="s">
        <v>3373</v>
      </c>
      <c r="F91" s="539" t="s">
        <v>3374</v>
      </c>
      <c r="G91" s="539" t="s">
        <v>3375</v>
      </c>
      <c r="H91" s="539" t="s">
        <v>3096</v>
      </c>
      <c r="I91" s="539" t="s">
        <v>18036</v>
      </c>
      <c r="J91" s="551" t="str">
        <f>HYPERLINK("https://maps.google.com/?q=Mercado%20Vila%20Pouca%20de%20Aguiar%20Vila%20Real%20%2F%20Bragan%C3%A7a","🛒 Mercado Vila Pouca de Aguiar")</f>
        <v>🛒 Mercado Vila Pouca de Aguiar</v>
      </c>
    </row>
    <row r="92" spans="1:10" ht="60" customHeight="1" x14ac:dyDescent="0.35">
      <c r="A92" s="540">
        <v>88</v>
      </c>
      <c r="B92" s="539" t="s">
        <v>3376</v>
      </c>
      <c r="C92" s="539" t="s">
        <v>792</v>
      </c>
      <c r="D92" s="539" t="s">
        <v>3315</v>
      </c>
      <c r="E92" s="539" t="s">
        <v>3377</v>
      </c>
      <c r="F92" s="539" t="s">
        <v>3378</v>
      </c>
      <c r="G92" s="539" t="s">
        <v>3379</v>
      </c>
      <c r="H92" s="539" t="s">
        <v>3096</v>
      </c>
      <c r="I92" s="539" t="s">
        <v>18037</v>
      </c>
      <c r="J92" s="551" t="str">
        <f>HYPERLINK("https://maps.google.com/?q=Feira%20Ribeira%20de%20Pena%20Vila%20Real%20%2F%20Bragan%C3%A7a","🛒 Feira Ribeira de Pena")</f>
        <v>🛒 Feira Ribeira de Pena</v>
      </c>
    </row>
    <row r="93" spans="1:10" ht="60" customHeight="1" x14ac:dyDescent="0.35">
      <c r="A93" s="540">
        <v>89</v>
      </c>
      <c r="B93" s="539" t="s">
        <v>3380</v>
      </c>
      <c r="C93" s="539" t="s">
        <v>792</v>
      </c>
      <c r="D93" s="539" t="s">
        <v>3315</v>
      </c>
      <c r="E93" s="539" t="s">
        <v>3381</v>
      </c>
      <c r="F93" s="539" t="s">
        <v>3382</v>
      </c>
      <c r="G93" s="539" t="s">
        <v>3383</v>
      </c>
      <c r="H93" s="539" t="s">
        <v>3096</v>
      </c>
      <c r="I93" s="539" t="s">
        <v>18038</v>
      </c>
      <c r="J93" s="551" t="str">
        <f>HYPERLINK("https://maps.google.com/?q=Mercado%20de%20Boticas%20Vila%20Real%20%2F%20Bragan%C3%A7a","🛒 Mercado de Boticas")</f>
        <v>🛒 Mercado de Boticas</v>
      </c>
    </row>
    <row r="94" spans="1:10" ht="60" customHeight="1" x14ac:dyDescent="0.35">
      <c r="A94" s="540">
        <v>90</v>
      </c>
      <c r="B94" s="539" t="s">
        <v>3384</v>
      </c>
      <c r="C94" s="539" t="s">
        <v>792</v>
      </c>
      <c r="D94" s="539" t="s">
        <v>3315</v>
      </c>
      <c r="E94" s="539" t="s">
        <v>3385</v>
      </c>
      <c r="F94" s="539" t="s">
        <v>3386</v>
      </c>
      <c r="G94" s="539" t="s">
        <v>3387</v>
      </c>
      <c r="H94" s="539" t="s">
        <v>3096</v>
      </c>
      <c r="I94" s="539" t="s">
        <v>18039</v>
      </c>
      <c r="J94" s="551" t="str">
        <f>HYPERLINK("https://maps.google.com/?q=Feira%20de%20Montalegre%20Vila%20Real%20%2F%20Bragan%C3%A7a","🛒 Feira de Montalegre")</f>
        <v>🛒 Feira de Montalegre</v>
      </c>
    </row>
    <row r="95" spans="1:10" ht="60" customHeight="1" x14ac:dyDescent="0.35">
      <c r="A95" s="540">
        <v>91</v>
      </c>
      <c r="B95" s="539" t="s">
        <v>3388</v>
      </c>
      <c r="C95" s="539" t="s">
        <v>792</v>
      </c>
      <c r="D95" s="539" t="s">
        <v>3315</v>
      </c>
      <c r="E95" s="539" t="s">
        <v>3385</v>
      </c>
      <c r="F95" s="539" t="s">
        <v>3389</v>
      </c>
      <c r="G95" s="539" t="s">
        <v>3390</v>
      </c>
      <c r="H95" s="539" t="s">
        <v>3096</v>
      </c>
      <c r="I95" s="539" t="s">
        <v>18040</v>
      </c>
      <c r="J95" s="551" t="str">
        <f>HYPERLINK("https://maps.google.com/?q=Mercado%20Carrazeda%20de%20Ansi%C3%A3es%20Vila%20Real%20%2F%20Bragan%C3%A7a","🛒 Mercado Carrazeda de Ansiães")</f>
        <v>🛒 Mercado Carrazeda de Ansiães</v>
      </c>
    </row>
    <row r="96" spans="1:10" ht="60" customHeight="1" x14ac:dyDescent="0.35">
      <c r="A96" s="540">
        <v>92</v>
      </c>
      <c r="B96" s="539" t="s">
        <v>3391</v>
      </c>
      <c r="C96" s="539" t="s">
        <v>792</v>
      </c>
      <c r="D96" s="539" t="s">
        <v>3315</v>
      </c>
      <c r="E96" s="539" t="s">
        <v>3392</v>
      </c>
      <c r="F96" s="539" t="s">
        <v>3393</v>
      </c>
      <c r="G96" s="539" t="s">
        <v>3394</v>
      </c>
      <c r="H96" s="539" t="s">
        <v>3096</v>
      </c>
      <c r="I96" s="539" t="s">
        <v>18041</v>
      </c>
      <c r="J96" s="551" t="str">
        <f>HYPERLINK("https://maps.google.com/?q=Feira%20Alf%C3%A2ndega%20da%20F%C3%A9%20Vila%20Real%20%2F%20Bragan%C3%A7a","🛒 Feira Alfândega da Fé")</f>
        <v>🛒 Feira Alfândega da Fé</v>
      </c>
    </row>
    <row r="97" spans="1:10" ht="60" customHeight="1" x14ac:dyDescent="0.35">
      <c r="A97" s="540">
        <v>93</v>
      </c>
      <c r="B97" s="539" t="s">
        <v>3395</v>
      </c>
      <c r="C97" s="539" t="s">
        <v>792</v>
      </c>
      <c r="D97" s="539" t="s">
        <v>3315</v>
      </c>
      <c r="E97" s="539" t="s">
        <v>3396</v>
      </c>
      <c r="F97" s="539" t="s">
        <v>3397</v>
      </c>
      <c r="G97" s="539" t="s">
        <v>3332</v>
      </c>
      <c r="H97" s="539" t="s">
        <v>3096</v>
      </c>
      <c r="I97" s="539" t="s">
        <v>18042</v>
      </c>
      <c r="J97" s="551" t="str">
        <f>HYPERLINK("https://maps.google.com/?q=Mercado%20de%20Sabrosa%20Vila%20Real%20%2F%20Bragan%C3%A7a","🛒 Mercado de Sabrosa")</f>
        <v>🛒 Mercado de Sabrosa</v>
      </c>
    </row>
    <row r="98" spans="1:10" ht="60" customHeight="1" x14ac:dyDescent="0.35">
      <c r="A98" s="540">
        <v>94</v>
      </c>
      <c r="B98" s="539" t="s">
        <v>3398</v>
      </c>
      <c r="C98" s="539" t="s">
        <v>792</v>
      </c>
      <c r="D98" s="539" t="s">
        <v>3315</v>
      </c>
      <c r="E98" s="539" t="s">
        <v>3399</v>
      </c>
      <c r="F98" s="539" t="s">
        <v>3400</v>
      </c>
      <c r="G98" s="539" t="s">
        <v>3156</v>
      </c>
      <c r="H98" s="539" t="s">
        <v>3096</v>
      </c>
      <c r="I98" s="539" t="s">
        <v>18043</v>
      </c>
      <c r="J98" s="551" t="str">
        <f>HYPERLINK("https://maps.google.com/?q=Feira%20Mes%C3%A3o%20Frio%20Vila%20Real%20%2F%20Bragan%C3%A7a","🛒 Feira Mesão Frio")</f>
        <v>🛒 Feira Mesão Frio</v>
      </c>
    </row>
    <row r="99" spans="1:10" ht="60" customHeight="1" x14ac:dyDescent="0.35">
      <c r="A99" s="540">
        <v>95</v>
      </c>
      <c r="B99" s="539" t="s">
        <v>3401</v>
      </c>
      <c r="C99" s="539" t="s">
        <v>792</v>
      </c>
      <c r="D99" s="539" t="s">
        <v>3315</v>
      </c>
      <c r="E99" s="539" t="s">
        <v>3402</v>
      </c>
      <c r="F99" s="539" t="s">
        <v>3170</v>
      </c>
      <c r="G99" s="539" t="s">
        <v>3403</v>
      </c>
      <c r="H99" s="539" t="s">
        <v>3096</v>
      </c>
      <c r="I99" s="539" t="s">
        <v>18044</v>
      </c>
      <c r="J99" s="551" t="str">
        <f>HYPERLINK("https://maps.google.com/?q=Mercado%20de%20Vila%20Flor%20Vila%20Real%20%2F%20Bragan%C3%A7a","🛒 Mercado de Vila Flor")</f>
        <v>🛒 Mercado de Vila Flor</v>
      </c>
    </row>
    <row r="100" spans="1:10" ht="60" customHeight="1" x14ac:dyDescent="0.35">
      <c r="A100" s="540">
        <v>96</v>
      </c>
      <c r="B100" s="539" t="s">
        <v>3404</v>
      </c>
      <c r="C100" s="539" t="s">
        <v>792</v>
      </c>
      <c r="D100" s="539" t="s">
        <v>3315</v>
      </c>
      <c r="E100" s="539" t="s">
        <v>3405</v>
      </c>
      <c r="F100" s="539" t="s">
        <v>3406</v>
      </c>
      <c r="G100" s="539" t="s">
        <v>3407</v>
      </c>
      <c r="H100" s="539" t="s">
        <v>3096</v>
      </c>
      <c r="I100" s="539" t="s">
        <v>18045</v>
      </c>
      <c r="J100" s="551" t="str">
        <f>HYPERLINK("https://maps.google.com/?q=Feira%20do%20Pinh%C3%A3o%20Vila%20Real%20%2F%20Bragan%C3%A7a","🛒 Feira do Pinhão")</f>
        <v>🛒 Feira do Pinhão</v>
      </c>
    </row>
    <row r="101" spans="1:10" ht="60" customHeight="1" x14ac:dyDescent="0.35">
      <c r="A101" s="540">
        <v>97</v>
      </c>
      <c r="B101" s="539" t="s">
        <v>3408</v>
      </c>
      <c r="C101" s="539" t="s">
        <v>792</v>
      </c>
      <c r="D101" s="539" t="s">
        <v>3315</v>
      </c>
      <c r="E101" s="539" t="s">
        <v>3409</v>
      </c>
      <c r="F101" s="539" t="s">
        <v>3410</v>
      </c>
      <c r="G101" s="539" t="s">
        <v>3411</v>
      </c>
      <c r="H101" s="539" t="s">
        <v>3096</v>
      </c>
      <c r="I101" s="539" t="s">
        <v>18046</v>
      </c>
      <c r="J101" s="551" t="str">
        <f>HYPERLINK("https://maps.google.com/?q=Mercado%20de%20Vidago%20Vila%20Real%20%2F%20Bragan%C3%A7a","🛒 Mercado de Vidago")</f>
        <v>🛒 Mercado de Vidago</v>
      </c>
    </row>
    <row r="102" spans="1:10" ht="60" customHeight="1" x14ac:dyDescent="0.35">
      <c r="A102" s="540">
        <v>98</v>
      </c>
      <c r="B102" s="539" t="s">
        <v>3412</v>
      </c>
      <c r="C102" s="539" t="s">
        <v>792</v>
      </c>
      <c r="D102" s="539" t="s">
        <v>3315</v>
      </c>
      <c r="E102" s="539" t="s">
        <v>3413</v>
      </c>
      <c r="F102" s="539" t="s">
        <v>3414</v>
      </c>
      <c r="G102" s="539" t="s">
        <v>3156</v>
      </c>
      <c r="H102" s="539" t="s">
        <v>3096</v>
      </c>
      <c r="I102" s="539" t="s">
        <v>18047</v>
      </c>
      <c r="J102" s="551" t="str">
        <f>HYPERLINK("https://maps.google.com/?q=Mercado%20de%20Sendim%20Vila%20Real%20%2F%20Bragan%C3%A7a","🛒 Mercado de Sendim")</f>
        <v>🛒 Mercado de Sendim</v>
      </c>
    </row>
    <row r="103" spans="1:10" ht="60" customHeight="1" x14ac:dyDescent="0.35">
      <c r="A103" s="540">
        <v>99</v>
      </c>
      <c r="B103" s="539" t="s">
        <v>3415</v>
      </c>
      <c r="C103" s="539" t="s">
        <v>792</v>
      </c>
      <c r="D103" s="539" t="s">
        <v>3315</v>
      </c>
      <c r="E103" s="539" t="s">
        <v>3416</v>
      </c>
      <c r="F103" s="539" t="s">
        <v>3417</v>
      </c>
      <c r="G103" s="539" t="s">
        <v>3418</v>
      </c>
      <c r="H103" s="539" t="s">
        <v>3096</v>
      </c>
      <c r="I103" s="539" t="s">
        <v>18048</v>
      </c>
      <c r="J103" s="551" t="str">
        <f>HYPERLINK("https://maps.google.com/?q=Feira%20de%20Izeda%20Vila%20Real%20%2F%20Bragan%C3%A7a","🛒 Feira de Izeda")</f>
        <v>🛒 Feira de Izeda</v>
      </c>
    </row>
    <row r="104" spans="1:10" ht="60" customHeight="1" x14ac:dyDescent="0.35">
      <c r="A104" s="540">
        <v>100</v>
      </c>
      <c r="B104" s="539" t="s">
        <v>3419</v>
      </c>
      <c r="C104" s="539" t="s">
        <v>792</v>
      </c>
      <c r="D104" s="539" t="s">
        <v>3315</v>
      </c>
      <c r="E104" s="539" t="s">
        <v>1045</v>
      </c>
      <c r="F104" s="539" t="s">
        <v>3342</v>
      </c>
      <c r="G104" s="539" t="s">
        <v>3420</v>
      </c>
      <c r="H104" s="539" t="s">
        <v>3096</v>
      </c>
      <c r="I104" s="539" t="s">
        <v>18049</v>
      </c>
      <c r="J104" s="551" t="str">
        <f>HYPERLINK("https://maps.google.com/?q=Mercado%20S.%20Jo%C3%A3o%20da%20Pesqueira%20Vila%20Real%20%2F%20Bragan%C3%A7a","🛒 Mercado S. João da Pesqueira")</f>
        <v>🛒 Mercado S. João da Pesqueira</v>
      </c>
    </row>
    <row r="105" spans="1:10" ht="30" customHeight="1" x14ac:dyDescent="0.35">
      <c r="A105" s="1486" t="s">
        <v>18050</v>
      </c>
      <c r="B105" s="1487"/>
      <c r="C105" s="1488"/>
      <c r="D105" s="1488"/>
      <c r="E105" s="1488"/>
      <c r="F105" s="1488"/>
      <c r="G105" s="1488"/>
      <c r="H105" s="1488"/>
      <c r="I105" s="1488"/>
      <c r="J105" s="1488"/>
    </row>
    <row r="106" spans="1:10" ht="60" customHeight="1" x14ac:dyDescent="0.35">
      <c r="A106" s="540">
        <v>101</v>
      </c>
      <c r="B106" s="539" t="s">
        <v>3421</v>
      </c>
      <c r="C106" s="539" t="s">
        <v>836</v>
      </c>
      <c r="D106" s="539" t="s">
        <v>1363</v>
      </c>
      <c r="E106" s="539" t="s">
        <v>3422</v>
      </c>
      <c r="F106" s="539" t="s">
        <v>3133</v>
      </c>
      <c r="G106" s="539" t="s">
        <v>18051</v>
      </c>
      <c r="H106" s="539" t="s">
        <v>3096</v>
      </c>
      <c r="I106" s="539" t="s">
        <v>3423</v>
      </c>
      <c r="J106" s="551" t="str">
        <f>HYPERLINK("https://maps.google.com/?q=Mercado%20Jos%C3%A9%20Est%C3%AAv%C3%A3o%20(Peixe)%20Aveiro","🛒 Mercado José Estêvão (Peixe)")</f>
        <v>🛒 Mercado José Estêvão (Peixe)</v>
      </c>
    </row>
    <row r="107" spans="1:10" ht="60" customHeight="1" x14ac:dyDescent="0.35">
      <c r="A107" s="540">
        <v>102</v>
      </c>
      <c r="B107" s="539" t="s">
        <v>3424</v>
      </c>
      <c r="C107" s="539" t="s">
        <v>836</v>
      </c>
      <c r="D107" s="539" t="s">
        <v>1363</v>
      </c>
      <c r="E107" s="539" t="s">
        <v>3425</v>
      </c>
      <c r="F107" s="539" t="s">
        <v>3133</v>
      </c>
      <c r="G107" s="539" t="s">
        <v>18052</v>
      </c>
      <c r="H107" s="539" t="s">
        <v>3096</v>
      </c>
      <c r="I107" s="539" t="s">
        <v>18053</v>
      </c>
      <c r="J107" s="551" t="str">
        <f>HYPERLINK("https://maps.google.com/?q=Mercado%20Manuel%20Firmino%20Aveiro","🛒 Mercado Manuel Firmino")</f>
        <v>🛒 Mercado Manuel Firmino</v>
      </c>
    </row>
    <row r="108" spans="1:10" ht="60" customHeight="1" x14ac:dyDescent="0.35">
      <c r="A108" s="540">
        <v>103</v>
      </c>
      <c r="B108" s="539" t="s">
        <v>3105</v>
      </c>
      <c r="C108" s="539" t="s">
        <v>836</v>
      </c>
      <c r="D108" s="539" t="s">
        <v>1363</v>
      </c>
      <c r="E108" s="539" t="s">
        <v>3426</v>
      </c>
      <c r="F108" s="539" t="s">
        <v>3107</v>
      </c>
      <c r="G108" s="539" t="s">
        <v>3124</v>
      </c>
      <c r="H108" s="539" t="s">
        <v>3096</v>
      </c>
      <c r="I108" s="539" t="s">
        <v>18054</v>
      </c>
      <c r="J108" s="551" t="str">
        <f>HYPERLINK("https://maps.google.com/?q=Feira%20de%20Espinho%20Aveiro","🛒 Feira de Espinho")</f>
        <v>🛒 Feira de Espinho</v>
      </c>
    </row>
    <row r="109" spans="1:10" ht="60" customHeight="1" x14ac:dyDescent="0.35">
      <c r="A109" s="540">
        <v>104</v>
      </c>
      <c r="B109" s="539" t="s">
        <v>3427</v>
      </c>
      <c r="C109" s="539" t="s">
        <v>836</v>
      </c>
      <c r="D109" s="539" t="s">
        <v>1363</v>
      </c>
      <c r="E109" s="539" t="s">
        <v>3428</v>
      </c>
      <c r="F109" s="539" t="s">
        <v>18055</v>
      </c>
      <c r="G109" s="539" t="s">
        <v>18056</v>
      </c>
      <c r="H109" s="539" t="s">
        <v>3096</v>
      </c>
      <c r="I109" s="539" t="s">
        <v>18057</v>
      </c>
      <c r="J109" s="551" t="str">
        <f>HYPERLINK("https://maps.google.com/?q=Mercado%20da%20Costa%20Nova%20Aveiro","🛒 Mercado da Costa Nova")</f>
        <v>🛒 Mercado da Costa Nova</v>
      </c>
    </row>
    <row r="110" spans="1:10" ht="60" customHeight="1" x14ac:dyDescent="0.35">
      <c r="A110" s="540">
        <v>105</v>
      </c>
      <c r="B110" s="539" t="s">
        <v>3429</v>
      </c>
      <c r="C110" s="539" t="s">
        <v>836</v>
      </c>
      <c r="D110" s="539" t="s">
        <v>1363</v>
      </c>
      <c r="E110" s="539" t="s">
        <v>3430</v>
      </c>
      <c r="F110" s="539" t="s">
        <v>3155</v>
      </c>
      <c r="G110" s="539" t="s">
        <v>3134</v>
      </c>
      <c r="H110" s="539" t="s">
        <v>3096</v>
      </c>
      <c r="I110" s="539" t="s">
        <v>18058</v>
      </c>
      <c r="J110" s="551" t="str">
        <f>HYPERLINK("https://maps.google.com/?q=Mercado%20de%20Santiago%20Aveiro","🛒 Mercado de Santiago")</f>
        <v>🛒 Mercado de Santiago</v>
      </c>
    </row>
    <row r="111" spans="1:10" ht="60" customHeight="1" x14ac:dyDescent="0.35">
      <c r="A111" s="540">
        <v>106</v>
      </c>
      <c r="B111" s="539" t="s">
        <v>3431</v>
      </c>
      <c r="C111" s="539" t="s">
        <v>836</v>
      </c>
      <c r="D111" s="539" t="s">
        <v>5497</v>
      </c>
      <c r="E111" s="539" t="s">
        <v>3432</v>
      </c>
      <c r="F111" s="539" t="s">
        <v>3133</v>
      </c>
      <c r="G111" s="539" t="s">
        <v>18059</v>
      </c>
      <c r="H111" s="539" t="s">
        <v>3096</v>
      </c>
      <c r="I111" s="539" t="s">
        <v>18060</v>
      </c>
      <c r="J111" s="551" t="str">
        <f>HYPERLINK("https://maps.google.com/?q=Mercado%20Municipal%20D.%20Pedro%20V%20Coimbra","🛒 Mercado Municipal D. Pedro V")</f>
        <v>🛒 Mercado Municipal D. Pedro V</v>
      </c>
    </row>
    <row r="112" spans="1:10" ht="60" customHeight="1" x14ac:dyDescent="0.35">
      <c r="A112" s="540">
        <v>107</v>
      </c>
      <c r="B112" s="539" t="s">
        <v>3433</v>
      </c>
      <c r="C112" s="539" t="s">
        <v>836</v>
      </c>
      <c r="D112" s="539" t="s">
        <v>5497</v>
      </c>
      <c r="E112" s="539" t="s">
        <v>3434</v>
      </c>
      <c r="F112" s="539" t="s">
        <v>3133</v>
      </c>
      <c r="G112" s="539" t="s">
        <v>18061</v>
      </c>
      <c r="H112" s="539" t="s">
        <v>3096</v>
      </c>
      <c r="I112" s="539" t="s">
        <v>18062</v>
      </c>
      <c r="J112" s="551" t="str">
        <f>HYPERLINK("https://maps.google.com/?q=Mercado%20da%20Figueira%20da%20Foz%20Coimbra","🛒 Mercado da Figueira da Foz")</f>
        <v>🛒 Mercado da Figueira da Foz</v>
      </c>
    </row>
    <row r="113" spans="1:10" ht="60" customHeight="1" x14ac:dyDescent="0.35">
      <c r="A113" s="540">
        <v>108</v>
      </c>
      <c r="B113" s="539" t="s">
        <v>3435</v>
      </c>
      <c r="C113" s="539" t="s">
        <v>836</v>
      </c>
      <c r="D113" s="539" t="s">
        <v>5497</v>
      </c>
      <c r="E113" s="539" t="s">
        <v>3436</v>
      </c>
      <c r="F113" s="539" t="s">
        <v>3133</v>
      </c>
      <c r="G113" s="539" t="s">
        <v>3134</v>
      </c>
      <c r="H113" s="539" t="s">
        <v>3096</v>
      </c>
      <c r="I113" s="539" t="s">
        <v>18063</v>
      </c>
      <c r="J113" s="551" t="str">
        <f>HYPERLINK("https://maps.google.com/?q=Mercado%20de%20Cantanhede%20Coimbra","🛒 Mercado de Cantanhede")</f>
        <v>🛒 Mercado de Cantanhede</v>
      </c>
    </row>
    <row r="114" spans="1:10" ht="60" customHeight="1" x14ac:dyDescent="0.35">
      <c r="A114" s="540">
        <v>109</v>
      </c>
      <c r="B114" s="539" t="s">
        <v>3437</v>
      </c>
      <c r="C114" s="539" t="s">
        <v>836</v>
      </c>
      <c r="D114" s="539" t="s">
        <v>5497</v>
      </c>
      <c r="E114" s="539" t="s">
        <v>3438</v>
      </c>
      <c r="F114" s="539" t="s">
        <v>3144</v>
      </c>
      <c r="G114" s="539" t="s">
        <v>3124</v>
      </c>
      <c r="H114" s="539" t="s">
        <v>3096</v>
      </c>
      <c r="I114" s="539" t="s">
        <v>18064</v>
      </c>
      <c r="J114" s="551" t="str">
        <f>HYPERLINK("https://maps.google.com/?q=Feira%20dos%207%20e%2023%20(Coimbra)%20Coimbra","🛒 Feira dos 7 e 23 (Coimbra)")</f>
        <v>🛒 Feira dos 7 e 23 (Coimbra)</v>
      </c>
    </row>
    <row r="115" spans="1:10" ht="60" customHeight="1" x14ac:dyDescent="0.35">
      <c r="A115" s="540">
        <v>110</v>
      </c>
      <c r="B115" s="539" t="s">
        <v>3439</v>
      </c>
      <c r="C115" s="539" t="s">
        <v>836</v>
      </c>
      <c r="D115" s="539" t="s">
        <v>5497</v>
      </c>
      <c r="E115" s="539" t="s">
        <v>3440</v>
      </c>
      <c r="F115" s="539" t="s">
        <v>3133</v>
      </c>
      <c r="G115" s="539" t="s">
        <v>18052</v>
      </c>
      <c r="H115" s="539" t="s">
        <v>3096</v>
      </c>
      <c r="I115" s="539" t="s">
        <v>18065</v>
      </c>
      <c r="J115" s="551" t="str">
        <f>HYPERLINK("https://maps.google.com/?q=Mercado%20da%20Lous%C3%A3%20Coimbra","🛒 Mercado da Lousã")</f>
        <v>🛒 Mercado da Lousã</v>
      </c>
    </row>
    <row r="116" spans="1:10" ht="60" customHeight="1" x14ac:dyDescent="0.35">
      <c r="A116" s="540">
        <v>111</v>
      </c>
      <c r="B116" s="539" t="s">
        <v>3441</v>
      </c>
      <c r="C116" s="539" t="s">
        <v>836</v>
      </c>
      <c r="D116" s="539" t="s">
        <v>7725</v>
      </c>
      <c r="E116" s="539" t="s">
        <v>3442</v>
      </c>
      <c r="F116" s="539" t="s">
        <v>3133</v>
      </c>
      <c r="G116" s="539" t="s">
        <v>18066</v>
      </c>
      <c r="H116" s="539" t="s">
        <v>3096</v>
      </c>
      <c r="I116" s="539" t="s">
        <v>18067</v>
      </c>
      <c r="J116" s="551" t="str">
        <f>HYPERLINK("https://maps.google.com/?q=Mercado%20Municipal%20de%20Leiria%20Leiria","🛒 Mercado Municipal de Leiria")</f>
        <v>🛒 Mercado Municipal de Leiria</v>
      </c>
    </row>
    <row r="117" spans="1:10" ht="60" customHeight="1" x14ac:dyDescent="0.35">
      <c r="A117" s="540">
        <v>112</v>
      </c>
      <c r="B117" s="539" t="s">
        <v>3443</v>
      </c>
      <c r="C117" s="539" t="s">
        <v>836</v>
      </c>
      <c r="D117" s="539" t="s">
        <v>7725</v>
      </c>
      <c r="E117" s="539" t="s">
        <v>3444</v>
      </c>
      <c r="F117" s="539" t="s">
        <v>18068</v>
      </c>
      <c r="G117" s="539" t="s">
        <v>18069</v>
      </c>
      <c r="H117" s="539" t="s">
        <v>3096</v>
      </c>
      <c r="I117" s="539" t="s">
        <v>18070</v>
      </c>
      <c r="J117" s="551" t="str">
        <f>HYPERLINK("https://maps.google.com/?q=Pra%C3%A7a%20da%20Fruta%20%E2%80%94%20Caldas%20da%20Rainha%20Leiria","🛒 Praça da Fruta — Caldas da R")</f>
        <v>🛒 Praça da Fruta — Caldas da R</v>
      </c>
    </row>
    <row r="118" spans="1:10" ht="60" customHeight="1" x14ac:dyDescent="0.35">
      <c r="A118" s="540">
        <v>113</v>
      </c>
      <c r="B118" s="539" t="s">
        <v>3445</v>
      </c>
      <c r="C118" s="539" t="s">
        <v>836</v>
      </c>
      <c r="D118" s="539" t="s">
        <v>7725</v>
      </c>
      <c r="E118" s="539" t="s">
        <v>3446</v>
      </c>
      <c r="F118" s="539" t="s">
        <v>3133</v>
      </c>
      <c r="G118" s="539" t="s">
        <v>3134</v>
      </c>
      <c r="H118" s="539" t="s">
        <v>3096</v>
      </c>
      <c r="I118" s="539" t="s">
        <v>18071</v>
      </c>
      <c r="J118" s="551" t="str">
        <f>HYPERLINK("https://maps.google.com/?q=Mercado%20de%20Alcoba%C3%A7a%20Leiria","🛒 Mercado de Alcobaça")</f>
        <v>🛒 Mercado de Alcobaça</v>
      </c>
    </row>
    <row r="119" spans="1:10" ht="60" customHeight="1" x14ac:dyDescent="0.35">
      <c r="A119" s="540">
        <v>114</v>
      </c>
      <c r="B119" s="539" t="s">
        <v>3447</v>
      </c>
      <c r="C119" s="539" t="s">
        <v>836</v>
      </c>
      <c r="D119" s="539" t="s">
        <v>7725</v>
      </c>
      <c r="E119" s="539" t="s">
        <v>3448</v>
      </c>
      <c r="F119" s="539" t="s">
        <v>3133</v>
      </c>
      <c r="G119" s="539" t="s">
        <v>18072</v>
      </c>
      <c r="H119" s="539" t="s">
        <v>3096</v>
      </c>
      <c r="I119" s="539" t="s">
        <v>18073</v>
      </c>
      <c r="J119" s="551" t="str">
        <f>HYPERLINK("https://maps.google.com/?q=Mercado%20de%20Peniche%20Leiria","🛒 Mercado de Peniche")</f>
        <v>🛒 Mercado de Peniche</v>
      </c>
    </row>
    <row r="120" spans="1:10" ht="60" customHeight="1" x14ac:dyDescent="0.35">
      <c r="A120" s="540">
        <v>115</v>
      </c>
      <c r="B120" s="539" t="s">
        <v>3449</v>
      </c>
      <c r="C120" s="539" t="s">
        <v>836</v>
      </c>
      <c r="D120" s="539" t="s">
        <v>7725</v>
      </c>
      <c r="E120" s="539" t="s">
        <v>3450</v>
      </c>
      <c r="F120" s="539" t="s">
        <v>18074</v>
      </c>
      <c r="G120" s="539" t="s">
        <v>18075</v>
      </c>
      <c r="H120" s="539" t="s">
        <v>3096</v>
      </c>
      <c r="I120" s="539" t="s">
        <v>18076</v>
      </c>
      <c r="J120" s="551" t="str">
        <f>HYPERLINK("https://maps.google.com/?q=Mercado%20de%20%C3%93bidos%20Leiria","🛒 Mercado de Óbidos")</f>
        <v>🛒 Mercado de Óbidos</v>
      </c>
    </row>
    <row r="121" spans="1:10" ht="60" customHeight="1" x14ac:dyDescent="0.35">
      <c r="A121" s="540">
        <v>116</v>
      </c>
      <c r="B121" s="539" t="s">
        <v>3451</v>
      </c>
      <c r="C121" s="539" t="s">
        <v>836</v>
      </c>
      <c r="D121" s="539" t="s">
        <v>7725</v>
      </c>
      <c r="E121" s="539" t="s">
        <v>3452</v>
      </c>
      <c r="F121" s="539" t="s">
        <v>3133</v>
      </c>
      <c r="G121" s="539" t="s">
        <v>18077</v>
      </c>
      <c r="H121" s="539" t="s">
        <v>3096</v>
      </c>
      <c r="I121" s="539" t="s">
        <v>18078</v>
      </c>
      <c r="J121" s="551" t="str">
        <f>HYPERLINK("https://maps.google.com/?q=Mercado%20de%20Nazar%C3%A9%20Leiria","🛒 Mercado de Nazaré")</f>
        <v>🛒 Mercado de Nazaré</v>
      </c>
    </row>
    <row r="122" spans="1:10" ht="60" customHeight="1" x14ac:dyDescent="0.35">
      <c r="A122" s="540">
        <v>117</v>
      </c>
      <c r="B122" s="539" t="s">
        <v>3453</v>
      </c>
      <c r="C122" s="539" t="s">
        <v>836</v>
      </c>
      <c r="D122" s="539" t="s">
        <v>7725</v>
      </c>
      <c r="E122" s="539" t="s">
        <v>3454</v>
      </c>
      <c r="F122" s="539" t="s">
        <v>3133</v>
      </c>
      <c r="G122" s="539" t="s">
        <v>3134</v>
      </c>
      <c r="H122" s="539" t="s">
        <v>3096</v>
      </c>
      <c r="I122" s="539" t="s">
        <v>18079</v>
      </c>
      <c r="J122" s="551" t="str">
        <f>HYPERLINK("https://maps.google.com/?q=Mercado%20de%20Porto%20de%20M%C3%B3s%20Leiria","🛒 Mercado de Porto de Mós")</f>
        <v>🛒 Mercado de Porto de Mós</v>
      </c>
    </row>
    <row r="123" spans="1:10" ht="60" customHeight="1" x14ac:dyDescent="0.35">
      <c r="A123" s="540">
        <v>118</v>
      </c>
      <c r="B123" s="539" t="s">
        <v>3455</v>
      </c>
      <c r="C123" s="539" t="s">
        <v>836</v>
      </c>
      <c r="D123" s="539" t="s">
        <v>950</v>
      </c>
      <c r="E123" s="539" t="s">
        <v>3456</v>
      </c>
      <c r="F123" s="539" t="s">
        <v>3133</v>
      </c>
      <c r="G123" s="539" t="s">
        <v>18080</v>
      </c>
      <c r="H123" s="539" t="s">
        <v>3096</v>
      </c>
      <c r="I123" s="539" t="s">
        <v>18081</v>
      </c>
      <c r="J123" s="551" t="str">
        <f>HYPERLINK("https://maps.google.com/?q=Mercado%20Municipal%20de%20Viseu%20Viseu","🛒 Mercado Municipal de Viseu")</f>
        <v>🛒 Mercado Municipal de Viseu</v>
      </c>
    </row>
    <row r="124" spans="1:10" ht="60" customHeight="1" x14ac:dyDescent="0.35">
      <c r="A124" s="540">
        <v>119</v>
      </c>
      <c r="B124" s="539" t="s">
        <v>3457</v>
      </c>
      <c r="C124" s="539" t="s">
        <v>836</v>
      </c>
      <c r="D124" s="539" t="s">
        <v>8011</v>
      </c>
      <c r="E124" s="539" t="s">
        <v>3458</v>
      </c>
      <c r="F124" s="539" t="s">
        <v>3133</v>
      </c>
      <c r="G124" s="539" t="s">
        <v>18082</v>
      </c>
      <c r="H124" s="539" t="s">
        <v>3096</v>
      </c>
      <c r="I124" s="539" t="s">
        <v>18083</v>
      </c>
      <c r="J124" s="551" t="str">
        <f>HYPERLINK("https://maps.google.com/?q=Mercado%20da%20Guarda%20Guarda","🛒 Mercado da Guarda")</f>
        <v>🛒 Mercado da Guarda</v>
      </c>
    </row>
    <row r="125" spans="1:10" ht="60" customHeight="1" x14ac:dyDescent="0.35">
      <c r="A125" s="540">
        <v>120</v>
      </c>
      <c r="B125" s="539" t="s">
        <v>3459</v>
      </c>
      <c r="C125" s="539" t="s">
        <v>836</v>
      </c>
      <c r="D125" s="539" t="s">
        <v>950</v>
      </c>
      <c r="E125" s="539" t="s">
        <v>3460</v>
      </c>
      <c r="F125" s="539" t="s">
        <v>18084</v>
      </c>
      <c r="G125" s="539" t="s">
        <v>18085</v>
      </c>
      <c r="H125" s="539" t="s">
        <v>3096</v>
      </c>
      <c r="I125" s="539" t="s">
        <v>18086</v>
      </c>
      <c r="J125" s="551" t="str">
        <f>HYPERLINK("https://maps.google.com/?q=Feira%20de%20S%C3%A3o%20Mateus%20(Viseu)%20Viseu","🛒 Feira de São Mateus (Viseu)")</f>
        <v>🛒 Feira de São Mateus (Viseu)</v>
      </c>
    </row>
    <row r="126" spans="1:10" ht="60" customHeight="1" x14ac:dyDescent="0.35">
      <c r="A126" s="540">
        <v>121</v>
      </c>
      <c r="B126" s="539" t="s">
        <v>3461</v>
      </c>
      <c r="C126" s="539" t="s">
        <v>836</v>
      </c>
      <c r="D126" s="539" t="s">
        <v>8011</v>
      </c>
      <c r="E126" s="539" t="s">
        <v>3462</v>
      </c>
      <c r="F126" s="539" t="s">
        <v>3133</v>
      </c>
      <c r="G126" s="539" t="s">
        <v>3134</v>
      </c>
      <c r="H126" s="539" t="s">
        <v>3096</v>
      </c>
      <c r="I126" s="539" t="s">
        <v>18087</v>
      </c>
      <c r="J126" s="551" t="str">
        <f>HYPERLINK("https://maps.google.com/?q=Mercado%20de%20Seia%20Guarda","🛒 Mercado de Seia")</f>
        <v>🛒 Mercado de Seia</v>
      </c>
    </row>
    <row r="127" spans="1:10" ht="60" customHeight="1" x14ac:dyDescent="0.35">
      <c r="A127" s="540">
        <v>122</v>
      </c>
      <c r="B127" s="539" t="s">
        <v>3463</v>
      </c>
      <c r="C127" s="539" t="s">
        <v>836</v>
      </c>
      <c r="D127" s="539" t="s">
        <v>950</v>
      </c>
      <c r="E127" s="539" t="s">
        <v>3464</v>
      </c>
      <c r="F127" s="539" t="s">
        <v>3133</v>
      </c>
      <c r="G127" s="539" t="s">
        <v>18088</v>
      </c>
      <c r="H127" s="539" t="s">
        <v>3096</v>
      </c>
      <c r="I127" s="539" t="s">
        <v>18089</v>
      </c>
      <c r="J127" s="551" t="str">
        <f>HYPERLINK("https://maps.google.com/?q=Mercado%20de%20Lamego%20Viseu","🛒 Mercado de Lamego")</f>
        <v>🛒 Mercado de Lamego</v>
      </c>
    </row>
    <row r="128" spans="1:10" ht="60" customHeight="1" x14ac:dyDescent="0.35">
      <c r="A128" s="540">
        <v>123</v>
      </c>
      <c r="B128" s="539" t="s">
        <v>3465</v>
      </c>
      <c r="C128" s="539" t="s">
        <v>836</v>
      </c>
      <c r="D128" s="539" t="s">
        <v>8011</v>
      </c>
      <c r="E128" s="539" t="s">
        <v>3466</v>
      </c>
      <c r="F128" s="539" t="s">
        <v>18090</v>
      </c>
      <c r="G128" s="539" t="s">
        <v>3156</v>
      </c>
      <c r="H128" s="539" t="s">
        <v>3096</v>
      </c>
      <c r="I128" s="539" t="s">
        <v>18091</v>
      </c>
      <c r="J128" s="551" t="str">
        <f>HYPERLINK("https://maps.google.com/?q=Feira%20Quinzenal%20de%20Trancoso%20Guarda","🛒 Feira Quinzenal de Trancoso")</f>
        <v>🛒 Feira Quinzenal de Trancoso</v>
      </c>
    </row>
    <row r="129" spans="1:10" ht="60" customHeight="1" x14ac:dyDescent="0.35">
      <c r="A129" s="540">
        <v>124</v>
      </c>
      <c r="B129" s="539" t="s">
        <v>3467</v>
      </c>
      <c r="C129" s="539" t="s">
        <v>836</v>
      </c>
      <c r="D129" s="539" t="s">
        <v>1713</v>
      </c>
      <c r="E129" s="539" t="s">
        <v>3468</v>
      </c>
      <c r="F129" s="539" t="s">
        <v>3133</v>
      </c>
      <c r="G129" s="539" t="s">
        <v>18092</v>
      </c>
      <c r="H129" s="539" t="s">
        <v>3096</v>
      </c>
      <c r="I129" s="539" t="s">
        <v>18093</v>
      </c>
      <c r="J129" s="551" t="str">
        <f>HYPERLINK("https://maps.google.com/?q=Mercado%20de%20Castelo%20Branco%20Castelo%20Branco","🛒 Mercado de Castelo Branco")</f>
        <v>🛒 Mercado de Castelo Branco</v>
      </c>
    </row>
    <row r="130" spans="1:10" ht="60" customHeight="1" x14ac:dyDescent="0.35">
      <c r="A130" s="540">
        <v>125</v>
      </c>
      <c r="B130" s="539" t="s">
        <v>3469</v>
      </c>
      <c r="C130" s="539" t="s">
        <v>836</v>
      </c>
      <c r="D130" s="539" t="s">
        <v>1713</v>
      </c>
      <c r="E130" s="539" t="s">
        <v>3470</v>
      </c>
      <c r="F130" s="539" t="s">
        <v>3133</v>
      </c>
      <c r="G130" s="539" t="s">
        <v>18094</v>
      </c>
      <c r="H130" s="539" t="s">
        <v>3096</v>
      </c>
      <c r="I130" s="539" t="s">
        <v>18095</v>
      </c>
      <c r="J130" s="551" t="str">
        <f>HYPERLINK("https://maps.google.com/?q=Mercado%20da%20Covilh%C3%A3%20Castelo%20Branco","🛒 Mercado da Covilhã")</f>
        <v>🛒 Mercado da Covilhã</v>
      </c>
    </row>
    <row r="131" spans="1:10" ht="60" customHeight="1" x14ac:dyDescent="0.35">
      <c r="A131" s="540">
        <v>126</v>
      </c>
      <c r="B131" s="539" t="s">
        <v>3471</v>
      </c>
      <c r="C131" s="539" t="s">
        <v>836</v>
      </c>
      <c r="D131" s="539" t="s">
        <v>1713</v>
      </c>
      <c r="E131" s="539" t="s">
        <v>3472</v>
      </c>
      <c r="F131" s="539" t="s">
        <v>3133</v>
      </c>
      <c r="G131" s="539" t="s">
        <v>18096</v>
      </c>
      <c r="H131" s="539" t="s">
        <v>3096</v>
      </c>
      <c r="I131" s="539" t="s">
        <v>18097</v>
      </c>
      <c r="J131" s="551" t="str">
        <f>HYPERLINK("https://maps.google.com/?q=Mercado%20do%20Fund%C3%A3o%20Castelo%20Branco","🛒 Mercado do Fundão")</f>
        <v>🛒 Mercado do Fundão</v>
      </c>
    </row>
    <row r="132" spans="1:10" ht="60" customHeight="1" x14ac:dyDescent="0.35">
      <c r="A132" s="540">
        <v>127</v>
      </c>
      <c r="B132" s="539" t="s">
        <v>3473</v>
      </c>
      <c r="C132" s="539" t="s">
        <v>836</v>
      </c>
      <c r="D132" s="539" t="s">
        <v>1713</v>
      </c>
      <c r="E132" s="539" t="s">
        <v>3474</v>
      </c>
      <c r="F132" s="539" t="s">
        <v>3133</v>
      </c>
      <c r="G132" s="539" t="s">
        <v>3134</v>
      </c>
      <c r="H132" s="539" t="s">
        <v>3096</v>
      </c>
      <c r="I132" s="539" t="s">
        <v>18098</v>
      </c>
      <c r="J132" s="551" t="str">
        <f>HYPERLINK("https://maps.google.com/?q=Mercado%20da%20Sert%C3%A3%20Castelo%20Branco","🛒 Mercado da Sertã")</f>
        <v>🛒 Mercado da Sertã</v>
      </c>
    </row>
    <row r="133" spans="1:10" ht="60" customHeight="1" x14ac:dyDescent="0.35">
      <c r="A133" s="540">
        <v>128</v>
      </c>
      <c r="B133" s="539" t="s">
        <v>3475</v>
      </c>
      <c r="C133" s="539" t="s">
        <v>836</v>
      </c>
      <c r="D133" s="539" t="s">
        <v>5501</v>
      </c>
      <c r="E133" s="539" t="s">
        <v>3476</v>
      </c>
      <c r="F133" s="539" t="s">
        <v>3133</v>
      </c>
      <c r="G133" s="539" t="s">
        <v>18052</v>
      </c>
      <c r="H133" s="539" t="s">
        <v>3096</v>
      </c>
      <c r="I133" s="539" t="s">
        <v>18099</v>
      </c>
      <c r="J133" s="551" t="str">
        <f>HYPERLINK("https://maps.google.com/?q=Mercado%20de%20Tomar%20Santar%C3%A9m","🛒 Mercado de Tomar")</f>
        <v>🛒 Mercado de Tomar</v>
      </c>
    </row>
    <row r="134" spans="1:10" ht="60" customHeight="1" x14ac:dyDescent="0.35">
      <c r="A134" s="540">
        <v>129</v>
      </c>
      <c r="B134" s="539" t="s">
        <v>3477</v>
      </c>
      <c r="C134" s="539" t="s">
        <v>836</v>
      </c>
      <c r="D134" s="539" t="s">
        <v>5501</v>
      </c>
      <c r="E134" s="539" t="s">
        <v>3478</v>
      </c>
      <c r="F134" s="539" t="s">
        <v>3133</v>
      </c>
      <c r="G134" s="539" t="s">
        <v>3134</v>
      </c>
      <c r="H134" s="539" t="s">
        <v>3096</v>
      </c>
      <c r="I134" s="539" t="s">
        <v>18070</v>
      </c>
      <c r="J134" s="551" t="str">
        <f>HYPERLINK("https://maps.google.com/?q=Mercado%20de%20Abrantes%20Santar%C3%A9m","🛒 Mercado de Abrantes")</f>
        <v>🛒 Mercado de Abrantes</v>
      </c>
    </row>
    <row r="135" spans="1:10" ht="60" customHeight="1" x14ac:dyDescent="0.35">
      <c r="A135" s="540">
        <v>130</v>
      </c>
      <c r="B135" s="539" t="s">
        <v>3479</v>
      </c>
      <c r="C135" s="539" t="s">
        <v>836</v>
      </c>
      <c r="D135" s="539" t="s">
        <v>5501</v>
      </c>
      <c r="E135" s="539" t="s">
        <v>3480</v>
      </c>
      <c r="F135" s="539" t="s">
        <v>18100</v>
      </c>
      <c r="G135" s="539" t="s">
        <v>18101</v>
      </c>
      <c r="H135" s="539" t="s">
        <v>3096</v>
      </c>
      <c r="I135" s="539" t="s">
        <v>18102</v>
      </c>
      <c r="J135" s="551" t="str">
        <f>HYPERLINK("https://maps.google.com/?q=Mercado%20de%20F%C3%A1tima%20Santar%C3%A9m","🛒 Mercado de Fátima")</f>
        <v>🛒 Mercado de Fátima</v>
      </c>
    </row>
    <row r="136" spans="1:10" ht="60" customHeight="1" x14ac:dyDescent="0.35">
      <c r="A136" s="540">
        <v>131</v>
      </c>
      <c r="B136" s="539" t="s">
        <v>3659</v>
      </c>
      <c r="C136" s="539" t="s">
        <v>836</v>
      </c>
      <c r="D136" s="539" t="s">
        <v>8011</v>
      </c>
      <c r="E136" s="539" t="s">
        <v>3660</v>
      </c>
      <c r="F136" s="539" t="s">
        <v>15285</v>
      </c>
      <c r="G136" s="539" t="s">
        <v>18052</v>
      </c>
      <c r="H136" s="539" t="s">
        <v>3096</v>
      </c>
      <c r="I136" s="539" t="s">
        <v>18103</v>
      </c>
      <c r="J136" s="551" t="str">
        <f>HYPERLINK("https://maps.google.com/?q=Passadi%C3%A7os%20do%20Mondego%20%E2%80%94%20Mercado%20de%20Apoio%20Guarda","🛒 Passadiços do Mondego — Merc")</f>
        <v>🛒 Passadiços do Mondego — Merc</v>
      </c>
    </row>
    <row r="137" spans="1:10" ht="30" customHeight="1" x14ac:dyDescent="0.35">
      <c r="A137" s="1489" t="s">
        <v>18104</v>
      </c>
      <c r="B137" s="1490"/>
      <c r="C137" s="1491"/>
      <c r="D137" s="1491"/>
      <c r="E137" s="1491"/>
      <c r="F137" s="1491"/>
      <c r="G137" s="1491"/>
      <c r="H137" s="1491"/>
      <c r="I137" s="1491"/>
      <c r="J137" s="1491"/>
    </row>
    <row r="138" spans="1:10" ht="60" customHeight="1" x14ac:dyDescent="0.35">
      <c r="A138" s="540">
        <v>132</v>
      </c>
      <c r="B138" s="539" t="s">
        <v>3481</v>
      </c>
      <c r="C138" s="539" t="s">
        <v>853</v>
      </c>
      <c r="D138" s="539" t="s">
        <v>1412</v>
      </c>
      <c r="E138" s="539" t="s">
        <v>3482</v>
      </c>
      <c r="F138" s="539" t="s">
        <v>3133</v>
      </c>
      <c r="G138" s="539" t="s">
        <v>18052</v>
      </c>
      <c r="H138" s="539" t="s">
        <v>3096</v>
      </c>
      <c r="I138" s="539" t="s">
        <v>18105</v>
      </c>
      <c r="J138" s="551" t="str">
        <f>HYPERLINK("https://maps.google.com/?q=Mercado%20Municipal%20de%20%C3%89vora%20%C3%89vora","🛒 Mercado Municipal de Évora")</f>
        <v>🛒 Mercado Municipal de Évora</v>
      </c>
    </row>
    <row r="139" spans="1:10" ht="60" customHeight="1" x14ac:dyDescent="0.35">
      <c r="A139" s="540">
        <v>133</v>
      </c>
      <c r="B139" s="539" t="s">
        <v>3483</v>
      </c>
      <c r="C139" s="539" t="s">
        <v>853</v>
      </c>
      <c r="D139" s="539" t="s">
        <v>1412</v>
      </c>
      <c r="E139" s="539" t="s">
        <v>3484</v>
      </c>
      <c r="F139" s="539" t="s">
        <v>18106</v>
      </c>
      <c r="G139" s="539" t="s">
        <v>18107</v>
      </c>
      <c r="H139" s="539" t="s">
        <v>3096</v>
      </c>
      <c r="I139" s="539" t="s">
        <v>18108</v>
      </c>
      <c r="J139" s="551" t="str">
        <f>HYPERLINK("https://maps.google.com/?q=Feira%20de%20S.%20Jo%C3%A3o%20(%C3%89vora)%20%C3%89vora","🛒 Feira de S. João (Évora)")</f>
        <v>🛒 Feira de S. João (Évora)</v>
      </c>
    </row>
    <row r="140" spans="1:10" ht="60" customHeight="1" x14ac:dyDescent="0.35">
      <c r="A140" s="540">
        <v>134</v>
      </c>
      <c r="B140" s="539" t="s">
        <v>3485</v>
      </c>
      <c r="C140" s="539" t="s">
        <v>853</v>
      </c>
      <c r="D140" s="539" t="s">
        <v>1412</v>
      </c>
      <c r="E140" s="539" t="s">
        <v>3486</v>
      </c>
      <c r="F140" s="539" t="s">
        <v>3094</v>
      </c>
      <c r="G140" s="539" t="s">
        <v>18109</v>
      </c>
      <c r="H140" s="539" t="s">
        <v>3096</v>
      </c>
      <c r="I140" s="539" t="s">
        <v>18110</v>
      </c>
      <c r="J140" s="551" t="str">
        <f>HYPERLINK("https://maps.google.com/?q=Mercado%20de%20Estremoz%20%C3%89vora","🛒 Mercado de Estremoz")</f>
        <v>🛒 Mercado de Estremoz</v>
      </c>
    </row>
    <row r="141" spans="1:10" ht="60" customHeight="1" x14ac:dyDescent="0.35">
      <c r="A141" s="540">
        <v>135</v>
      </c>
      <c r="B141" s="539" t="s">
        <v>3487</v>
      </c>
      <c r="C141" s="539" t="s">
        <v>853</v>
      </c>
      <c r="D141" s="539" t="s">
        <v>1412</v>
      </c>
      <c r="E141" s="539" t="s">
        <v>3488</v>
      </c>
      <c r="F141" s="539" t="s">
        <v>3133</v>
      </c>
      <c r="G141" s="539" t="s">
        <v>3134</v>
      </c>
      <c r="H141" s="539" t="s">
        <v>3096</v>
      </c>
      <c r="I141" s="539" t="s">
        <v>18111</v>
      </c>
      <c r="J141" s="551" t="str">
        <f>HYPERLINK("https://maps.google.com/?q=Mercado%20de%20Montemor-o-Novo%20%C3%89vora","🛒 Mercado de Montemor-o-Novo")</f>
        <v>🛒 Mercado de Montemor-o-Novo</v>
      </c>
    </row>
    <row r="142" spans="1:10" ht="60" customHeight="1" x14ac:dyDescent="0.35">
      <c r="A142" s="540">
        <v>136</v>
      </c>
      <c r="B142" s="539" t="s">
        <v>3489</v>
      </c>
      <c r="C142" s="539" t="s">
        <v>853</v>
      </c>
      <c r="D142" s="539" t="s">
        <v>1412</v>
      </c>
      <c r="E142" s="539" t="s">
        <v>3490</v>
      </c>
      <c r="F142" s="539" t="s">
        <v>3133</v>
      </c>
      <c r="G142" s="539" t="s">
        <v>18112</v>
      </c>
      <c r="H142" s="539" t="s">
        <v>3096</v>
      </c>
      <c r="I142" s="539" t="s">
        <v>18113</v>
      </c>
      <c r="J142" s="551" t="str">
        <f>HYPERLINK("https://maps.google.com/?q=Mercado%20Municipal%20de%20Arraiolos%20%C3%89vora","🛒 Mercado Municipal de Arraiol")</f>
        <v>🛒 Mercado Municipal de Arraiol</v>
      </c>
    </row>
    <row r="143" spans="1:10" ht="60" customHeight="1" x14ac:dyDescent="0.35">
      <c r="A143" s="540">
        <v>137</v>
      </c>
      <c r="B143" s="539" t="s">
        <v>3491</v>
      </c>
      <c r="C143" s="539" t="s">
        <v>853</v>
      </c>
      <c r="D143" s="539" t="s">
        <v>1412</v>
      </c>
      <c r="E143" s="539" t="s">
        <v>3492</v>
      </c>
      <c r="F143" s="539" t="s">
        <v>3133</v>
      </c>
      <c r="G143" s="539" t="s">
        <v>3134</v>
      </c>
      <c r="H143" s="539" t="s">
        <v>3096</v>
      </c>
      <c r="I143" s="539" t="s">
        <v>18114</v>
      </c>
      <c r="J143" s="551" t="str">
        <f>HYPERLINK("https://maps.google.com/?q=Mercado%20de%20Vendas%20Novas%20%C3%89vora","🛒 Mercado de Vendas Novas")</f>
        <v>🛒 Mercado de Vendas Novas</v>
      </c>
    </row>
    <row r="144" spans="1:10" ht="60" customHeight="1" x14ac:dyDescent="0.35">
      <c r="A144" s="540">
        <v>138</v>
      </c>
      <c r="B144" s="539" t="s">
        <v>3493</v>
      </c>
      <c r="C144" s="539" t="s">
        <v>853</v>
      </c>
      <c r="D144" s="539" t="s">
        <v>1412</v>
      </c>
      <c r="E144" s="539" t="s">
        <v>3494</v>
      </c>
      <c r="F144" s="539" t="s">
        <v>18090</v>
      </c>
      <c r="G144" s="539" t="s">
        <v>18115</v>
      </c>
      <c r="H144" s="539" t="s">
        <v>3096</v>
      </c>
      <c r="I144" s="539" t="s">
        <v>18116</v>
      </c>
      <c r="J144" s="551" t="str">
        <f>HYPERLINK("https://maps.google.com/?q=Mercado%20de%20Reguengos%20de%20Monsaraz%20%C3%89vora","🛒 Mercado de Reguengos de Mons")</f>
        <v>🛒 Mercado de Reguengos de Mons</v>
      </c>
    </row>
    <row r="145" spans="1:10" ht="60" customHeight="1" x14ac:dyDescent="0.35">
      <c r="A145" s="540">
        <v>139</v>
      </c>
      <c r="B145" s="539" t="s">
        <v>3495</v>
      </c>
      <c r="C145" s="539" t="s">
        <v>853</v>
      </c>
      <c r="D145" s="539" t="s">
        <v>1412</v>
      </c>
      <c r="E145" s="539" t="s">
        <v>3496</v>
      </c>
      <c r="F145" s="539" t="s">
        <v>18084</v>
      </c>
      <c r="G145" s="539" t="s">
        <v>18107</v>
      </c>
      <c r="H145" s="539" t="s">
        <v>3096</v>
      </c>
      <c r="I145" s="539" t="s">
        <v>18117</v>
      </c>
      <c r="J145" s="551" t="str">
        <f>HYPERLINK("https://maps.google.com/?q=Feira%20da%20Luz%20(Montemor-o-Novo)%20%C3%89vora","🛒 Feira da Luz (Montemor-o-Nov")</f>
        <v>🛒 Feira da Luz (Montemor-o-Nov</v>
      </c>
    </row>
    <row r="146" spans="1:10" ht="60" customHeight="1" x14ac:dyDescent="0.35">
      <c r="A146" s="540">
        <v>140</v>
      </c>
      <c r="B146" s="539" t="s">
        <v>3497</v>
      </c>
      <c r="C146" s="539" t="s">
        <v>853</v>
      </c>
      <c r="D146" s="539" t="s">
        <v>1233</v>
      </c>
      <c r="E146" s="539" t="s">
        <v>3498</v>
      </c>
      <c r="F146" s="539" t="s">
        <v>3133</v>
      </c>
      <c r="G146" s="539" t="s">
        <v>18052</v>
      </c>
      <c r="H146" s="539" t="s">
        <v>3096</v>
      </c>
      <c r="I146" s="539" t="s">
        <v>18118</v>
      </c>
      <c r="J146" s="551" t="str">
        <f>HYPERLINK("https://maps.google.com/?q=Mercado%20Municipal%20de%20Beja%20(Santa%20Maria)%20Beja","🛒 Mercado Municipal de Beja (S")</f>
        <v>🛒 Mercado Municipal de Beja (S</v>
      </c>
    </row>
    <row r="147" spans="1:10" ht="60" customHeight="1" x14ac:dyDescent="0.35">
      <c r="A147" s="540">
        <v>141</v>
      </c>
      <c r="B147" s="539" t="s">
        <v>3499</v>
      </c>
      <c r="C147" s="539" t="s">
        <v>853</v>
      </c>
      <c r="D147" s="539" t="s">
        <v>1233</v>
      </c>
      <c r="E147" s="539" t="s">
        <v>3500</v>
      </c>
      <c r="F147" s="539" t="s">
        <v>18119</v>
      </c>
      <c r="G147" s="539" t="s">
        <v>18120</v>
      </c>
      <c r="H147" s="539" t="s">
        <v>3096</v>
      </c>
      <c r="I147" s="539" t="s">
        <v>18116</v>
      </c>
      <c r="J147" s="551" t="str">
        <f>HYPERLINK("https://maps.google.com/?q=Ovibeja%20Beja","🛒 Ovibeja")</f>
        <v>🛒 Ovibeja</v>
      </c>
    </row>
    <row r="148" spans="1:10" ht="60" customHeight="1" x14ac:dyDescent="0.35">
      <c r="A148" s="540">
        <v>142</v>
      </c>
      <c r="B148" s="539" t="s">
        <v>3501</v>
      </c>
      <c r="C148" s="539" t="s">
        <v>853</v>
      </c>
      <c r="D148" s="539" t="s">
        <v>1233</v>
      </c>
      <c r="E148" s="539" t="s">
        <v>3502</v>
      </c>
      <c r="F148" s="539" t="s">
        <v>3133</v>
      </c>
      <c r="G148" s="539" t="s">
        <v>18121</v>
      </c>
      <c r="H148" s="539" t="s">
        <v>3096</v>
      </c>
      <c r="I148" s="539" t="s">
        <v>18083</v>
      </c>
      <c r="J148" s="551" t="str">
        <f>HYPERLINK("https://maps.google.com/?q=Mercado%20de%20Serpa%20Beja","🛒 Mercado de Serpa")</f>
        <v>🛒 Mercado de Serpa</v>
      </c>
    </row>
    <row r="149" spans="1:10" ht="60" customHeight="1" x14ac:dyDescent="0.35">
      <c r="A149" s="540">
        <v>143</v>
      </c>
      <c r="B149" s="539" t="s">
        <v>3503</v>
      </c>
      <c r="C149" s="539" t="s">
        <v>853</v>
      </c>
      <c r="D149" s="539" t="s">
        <v>1233</v>
      </c>
      <c r="E149" s="539" t="s">
        <v>3504</v>
      </c>
      <c r="F149" s="539" t="s">
        <v>3133</v>
      </c>
      <c r="G149" s="539" t="s">
        <v>18122</v>
      </c>
      <c r="H149" s="539" t="s">
        <v>3096</v>
      </c>
      <c r="I149" s="539" t="s">
        <v>18070</v>
      </c>
      <c r="J149" s="551" t="str">
        <f>HYPERLINK("https://maps.google.com/?q=Mercado%20de%20Moura%20Beja","🛒 Mercado de Moura")</f>
        <v>🛒 Mercado de Moura</v>
      </c>
    </row>
    <row r="150" spans="1:10" ht="60" customHeight="1" x14ac:dyDescent="0.35">
      <c r="A150" s="540">
        <v>144</v>
      </c>
      <c r="B150" s="539" t="s">
        <v>3505</v>
      </c>
      <c r="C150" s="539" t="s">
        <v>853</v>
      </c>
      <c r="D150" s="539" t="s">
        <v>1233</v>
      </c>
      <c r="E150" s="539" t="s">
        <v>3506</v>
      </c>
      <c r="F150" s="539" t="s">
        <v>18123</v>
      </c>
      <c r="G150" s="539" t="s">
        <v>3156</v>
      </c>
      <c r="H150" s="539" t="s">
        <v>3096</v>
      </c>
      <c r="I150" s="539" t="s">
        <v>18124</v>
      </c>
      <c r="J150" s="551" t="str">
        <f>HYPERLINK("https://maps.google.com/?q=Feira%20de%20Castro%20(Castro%20Verde)%20Beja","🛒 Feira de Castro (Castro Verd")</f>
        <v>🛒 Feira de Castro (Castro Verd</v>
      </c>
    </row>
    <row r="151" spans="1:10" ht="60" customHeight="1" x14ac:dyDescent="0.35">
      <c r="A151" s="540">
        <v>145</v>
      </c>
      <c r="B151" s="539" t="s">
        <v>3507</v>
      </c>
      <c r="C151" s="539" t="s">
        <v>853</v>
      </c>
      <c r="D151" s="539" t="s">
        <v>1233</v>
      </c>
      <c r="E151" s="539" t="s">
        <v>3508</v>
      </c>
      <c r="F151" s="539" t="s">
        <v>3133</v>
      </c>
      <c r="G151" s="539" t="s">
        <v>3134</v>
      </c>
      <c r="H151" s="539" t="s">
        <v>3096</v>
      </c>
      <c r="I151" s="539" t="s">
        <v>18087</v>
      </c>
      <c r="J151" s="551" t="str">
        <f>HYPERLINK("https://maps.google.com/?q=Mercado%20de%20Aljustrel%20Beja","🛒 Mercado de Aljustrel")</f>
        <v>🛒 Mercado de Aljustrel</v>
      </c>
    </row>
    <row r="152" spans="1:10" ht="60" customHeight="1" x14ac:dyDescent="0.35">
      <c r="A152" s="540">
        <v>146</v>
      </c>
      <c r="B152" s="539" t="s">
        <v>3509</v>
      </c>
      <c r="C152" s="539" t="s">
        <v>853</v>
      </c>
      <c r="D152" s="539" t="s">
        <v>1233</v>
      </c>
      <c r="E152" s="539" t="s">
        <v>3510</v>
      </c>
      <c r="F152" s="539" t="s">
        <v>3133</v>
      </c>
      <c r="G152" s="539" t="s">
        <v>18052</v>
      </c>
      <c r="H152" s="539" t="s">
        <v>3096</v>
      </c>
      <c r="I152" s="539" t="s">
        <v>18125</v>
      </c>
      <c r="J152" s="551" t="str">
        <f>HYPERLINK("https://maps.google.com/?q=Mercado%20de%20Odemira%20Beja","🛒 Mercado de Odemira")</f>
        <v>🛒 Mercado de Odemira</v>
      </c>
    </row>
    <row r="153" spans="1:10" ht="60" customHeight="1" x14ac:dyDescent="0.35">
      <c r="A153" s="540">
        <v>147</v>
      </c>
      <c r="B153" s="539" t="s">
        <v>3511</v>
      </c>
      <c r="C153" s="539" t="s">
        <v>853</v>
      </c>
      <c r="D153" s="539" t="s">
        <v>1233</v>
      </c>
      <c r="E153" s="539" t="s">
        <v>3512</v>
      </c>
      <c r="F153" s="539" t="s">
        <v>3133</v>
      </c>
      <c r="G153" s="539" t="s">
        <v>3134</v>
      </c>
      <c r="H153" s="539" t="s">
        <v>3096</v>
      </c>
      <c r="I153" s="539" t="s">
        <v>18126</v>
      </c>
      <c r="J153" s="551" t="str">
        <f>HYPERLINK("https://maps.google.com/?q=Mercado%20de%20Ourique%20Beja","🛒 Mercado de Ourique")</f>
        <v>🛒 Mercado de Ourique</v>
      </c>
    </row>
    <row r="154" spans="1:10" ht="60" customHeight="1" x14ac:dyDescent="0.35">
      <c r="A154" s="540">
        <v>148</v>
      </c>
      <c r="B154" s="539" t="s">
        <v>3513</v>
      </c>
      <c r="C154" s="539" t="s">
        <v>853</v>
      </c>
      <c r="D154" s="539" t="s">
        <v>2538</v>
      </c>
      <c r="E154" s="539" t="s">
        <v>3514</v>
      </c>
      <c r="F154" s="539" t="s">
        <v>3133</v>
      </c>
      <c r="G154" s="539" t="s">
        <v>18127</v>
      </c>
      <c r="H154" s="539" t="s">
        <v>3096</v>
      </c>
      <c r="I154" s="539" t="s">
        <v>18097</v>
      </c>
      <c r="J154" s="551" t="str">
        <f>HYPERLINK("https://maps.google.com/?q=Mercado%20Municipal%20de%20Portalegre%20Portalegre","🛒 Mercado Municipal de Portale")</f>
        <v>🛒 Mercado Municipal de Portale</v>
      </c>
    </row>
    <row r="155" spans="1:10" ht="60" customHeight="1" x14ac:dyDescent="0.35">
      <c r="A155" s="540">
        <v>149</v>
      </c>
      <c r="B155" s="539" t="s">
        <v>3515</v>
      </c>
      <c r="C155" s="539" t="s">
        <v>853</v>
      </c>
      <c r="D155" s="539" t="s">
        <v>2538</v>
      </c>
      <c r="E155" s="539" t="s">
        <v>3516</v>
      </c>
      <c r="F155" s="539" t="s">
        <v>3133</v>
      </c>
      <c r="G155" s="539" t="s">
        <v>18128</v>
      </c>
      <c r="H155" s="539" t="s">
        <v>3096</v>
      </c>
      <c r="I155" s="539" t="s">
        <v>18129</v>
      </c>
      <c r="J155" s="551" t="str">
        <f>HYPERLINK("https://maps.google.com/?q=Mercado%20de%20Elvas%20%E2%80%94%20Casa%20das%20Barcas%20Portalegre","🛒 Mercado de Elvas — Casa das ")</f>
        <v xml:space="preserve">🛒 Mercado de Elvas — Casa das </v>
      </c>
    </row>
    <row r="156" spans="1:10" ht="60" customHeight="1" x14ac:dyDescent="0.35">
      <c r="A156" s="540">
        <v>150</v>
      </c>
      <c r="B156" s="539" t="s">
        <v>3517</v>
      </c>
      <c r="C156" s="539" t="s">
        <v>853</v>
      </c>
      <c r="D156" s="539" t="s">
        <v>2538</v>
      </c>
      <c r="E156" s="539" t="s">
        <v>3518</v>
      </c>
      <c r="F156" s="539" t="s">
        <v>18130</v>
      </c>
      <c r="G156" s="539" t="s">
        <v>18107</v>
      </c>
      <c r="H156" s="539" t="s">
        <v>3096</v>
      </c>
      <c r="I156" s="539" t="s">
        <v>18131</v>
      </c>
      <c r="J156" s="551" t="str">
        <f>HYPERLINK("https://maps.google.com/?q=Feira%20de%20S.%20Mateus%20(Elvas)%20Portalegre","🛒 Feira de S. Mateus (Elvas)")</f>
        <v>🛒 Feira de S. Mateus (Elvas)</v>
      </c>
    </row>
    <row r="157" spans="1:10" ht="60" customHeight="1" x14ac:dyDescent="0.35">
      <c r="A157" s="540">
        <v>151</v>
      </c>
      <c r="B157" s="539" t="s">
        <v>3519</v>
      </c>
      <c r="C157" s="539" t="s">
        <v>853</v>
      </c>
      <c r="D157" s="539" t="s">
        <v>2538</v>
      </c>
      <c r="E157" s="539" t="s">
        <v>3520</v>
      </c>
      <c r="F157" s="539" t="s">
        <v>3133</v>
      </c>
      <c r="G157" s="539" t="s">
        <v>3134</v>
      </c>
      <c r="H157" s="539" t="s">
        <v>3096</v>
      </c>
      <c r="I157" s="539" t="s">
        <v>18070</v>
      </c>
      <c r="J157" s="551" t="str">
        <f>HYPERLINK("https://maps.google.com/?q=Mercado%20de%20Campo%20Maior%20Portalegre","🛒 Mercado de Campo Maior")</f>
        <v>🛒 Mercado de Campo Maior</v>
      </c>
    </row>
    <row r="158" spans="1:10" ht="60" customHeight="1" x14ac:dyDescent="0.35">
      <c r="A158" s="540">
        <v>152</v>
      </c>
      <c r="B158" s="539" t="s">
        <v>3521</v>
      </c>
      <c r="C158" s="539" t="s">
        <v>853</v>
      </c>
      <c r="D158" s="539" t="s">
        <v>2538</v>
      </c>
      <c r="E158" s="539" t="s">
        <v>3522</v>
      </c>
      <c r="F158" s="539" t="s">
        <v>18132</v>
      </c>
      <c r="G158" s="539" t="s">
        <v>18133</v>
      </c>
      <c r="H158" s="539" t="s">
        <v>3096</v>
      </c>
      <c r="I158" s="539" t="s">
        <v>18134</v>
      </c>
      <c r="J158" s="551" t="str">
        <f>HYPERLINK("https://maps.google.com/?q=Feira%20da%20Castanha%20(Marv%C3%A3o)%20Portalegre","🛒 Feira da Castanha (Marvão)")</f>
        <v>🛒 Feira da Castanha (Marvão)</v>
      </c>
    </row>
    <row r="159" spans="1:10" ht="60" customHeight="1" x14ac:dyDescent="0.35">
      <c r="A159" s="540">
        <v>153</v>
      </c>
      <c r="B159" s="539" t="s">
        <v>3523</v>
      </c>
      <c r="C159" s="539" t="s">
        <v>853</v>
      </c>
      <c r="D159" s="539" t="s">
        <v>2538</v>
      </c>
      <c r="E159" s="539" t="s">
        <v>3524</v>
      </c>
      <c r="F159" s="539" t="s">
        <v>3133</v>
      </c>
      <c r="G159" s="539" t="s">
        <v>3134</v>
      </c>
      <c r="H159" s="539" t="s">
        <v>3096</v>
      </c>
      <c r="I159" s="539" t="s">
        <v>18135</v>
      </c>
      <c r="J159" s="551" t="str">
        <f>HYPERLINK("https://maps.google.com/?q=Mercado%20de%20Ponte%20de%20Sor%20Portalegre","🛒 Mercado de Ponte de Sor")</f>
        <v>🛒 Mercado de Ponte de Sor</v>
      </c>
    </row>
    <row r="160" spans="1:10" ht="60" customHeight="1" x14ac:dyDescent="0.35">
      <c r="A160" s="540">
        <v>154</v>
      </c>
      <c r="B160" s="539" t="s">
        <v>3525</v>
      </c>
      <c r="C160" s="539" t="s">
        <v>853</v>
      </c>
      <c r="D160" s="539" t="s">
        <v>2538</v>
      </c>
      <c r="E160" s="539" t="s">
        <v>3526</v>
      </c>
      <c r="F160" s="539" t="s">
        <v>18123</v>
      </c>
      <c r="G160" s="539" t="s">
        <v>18136</v>
      </c>
      <c r="H160" s="539" t="s">
        <v>3096</v>
      </c>
      <c r="I160" s="539" t="s">
        <v>18137</v>
      </c>
      <c r="J160" s="551" t="str">
        <f>HYPERLINK("https://maps.google.com/?q=Mercado%20de%20Alter%20do%20Ch%C3%A3o%20Portalegre","🛒 Mercado de Alter do Chão")</f>
        <v>🛒 Mercado de Alter do Chão</v>
      </c>
    </row>
    <row r="161" spans="1:10" ht="60" customHeight="1" x14ac:dyDescent="0.35">
      <c r="A161" s="540">
        <v>155</v>
      </c>
      <c r="B161" s="539" t="s">
        <v>3527</v>
      </c>
      <c r="C161" s="539" t="s">
        <v>853</v>
      </c>
      <c r="D161" s="539" t="s">
        <v>18138</v>
      </c>
      <c r="E161" s="539" t="s">
        <v>3528</v>
      </c>
      <c r="F161" s="539" t="s">
        <v>3133</v>
      </c>
      <c r="G161" s="539" t="s">
        <v>18051</v>
      </c>
      <c r="H161" s="539" t="s">
        <v>3096</v>
      </c>
      <c r="I161" s="539" t="s">
        <v>18139</v>
      </c>
      <c r="J161" s="551" t="str">
        <f>HYPERLINK("https://maps.google.com/?q=Mercado%20Municipal%20de%20Sines%20Set%C3%BAbal%20%2F%20Litoral","🛒 Mercado Municipal de Sines")</f>
        <v>🛒 Mercado Municipal de Sines</v>
      </c>
    </row>
    <row r="162" spans="1:10" ht="60" customHeight="1" x14ac:dyDescent="0.35">
      <c r="A162" s="540">
        <v>156</v>
      </c>
      <c r="B162" s="539" t="s">
        <v>3529</v>
      </c>
      <c r="C162" s="539" t="s">
        <v>853</v>
      </c>
      <c r="D162" s="539" t="s">
        <v>18138</v>
      </c>
      <c r="E162" s="539" t="s">
        <v>3530</v>
      </c>
      <c r="F162" s="539" t="s">
        <v>15285</v>
      </c>
      <c r="G162" s="539" t="s">
        <v>18056</v>
      </c>
      <c r="H162" s="539" t="s">
        <v>3096</v>
      </c>
      <c r="I162" s="539" t="s">
        <v>18140</v>
      </c>
      <c r="J162" s="551" t="str">
        <f>HYPERLINK("https://maps.google.com/?q=Mercado%20de%20Vila%20Nova%20de%20Milfontes%20Set%C3%BAbal%20%2F%20Litoral","🛒 Mercado de Vila Nova de Milf")</f>
        <v>🛒 Mercado de Vila Nova de Milf</v>
      </c>
    </row>
    <row r="163" spans="1:10" ht="60" customHeight="1" x14ac:dyDescent="0.35">
      <c r="A163" s="540">
        <v>157</v>
      </c>
      <c r="B163" s="539" t="s">
        <v>3531</v>
      </c>
      <c r="C163" s="539" t="s">
        <v>853</v>
      </c>
      <c r="D163" s="539" t="s">
        <v>18138</v>
      </c>
      <c r="E163" s="539" t="s">
        <v>3532</v>
      </c>
      <c r="F163" s="539" t="s">
        <v>3133</v>
      </c>
      <c r="G163" s="539" t="s">
        <v>3134</v>
      </c>
      <c r="H163" s="539" t="s">
        <v>3096</v>
      </c>
      <c r="I163" s="539" t="s">
        <v>18135</v>
      </c>
      <c r="J163" s="551" t="str">
        <f>HYPERLINK("https://maps.google.com/?q=Mercado%20de%20Santiago%20do%20Cac%C3%A9m%20Set%C3%BAbal%20%2F%20Litoral","🛒 Mercado de Santiago do Cacém")</f>
        <v>🛒 Mercado de Santiago do Cacém</v>
      </c>
    </row>
    <row r="164" spans="1:10" ht="60" customHeight="1" x14ac:dyDescent="0.35">
      <c r="A164" s="540">
        <v>158</v>
      </c>
      <c r="B164" s="539" t="s">
        <v>3533</v>
      </c>
      <c r="C164" s="539" t="s">
        <v>853</v>
      </c>
      <c r="D164" s="539" t="s">
        <v>18138</v>
      </c>
      <c r="E164" s="539" t="s">
        <v>3534</v>
      </c>
      <c r="F164" s="539" t="s">
        <v>3133</v>
      </c>
      <c r="G164" s="539" t="s">
        <v>18141</v>
      </c>
      <c r="H164" s="539" t="s">
        <v>3096</v>
      </c>
      <c r="I164" s="539" t="s">
        <v>18142</v>
      </c>
      <c r="J164" s="551" t="str">
        <f>HYPERLINK("https://maps.google.com/?q=Mercado%20de%20Alc%C3%A1cer%20do%20Sal%20Set%C3%BAbal%20%2F%20Litoral","🛒 Mercado de Alcácer do Sal")</f>
        <v>🛒 Mercado de Alcácer do Sal</v>
      </c>
    </row>
    <row r="165" spans="1:10" ht="60" customHeight="1" x14ac:dyDescent="0.35">
      <c r="A165" s="540">
        <v>159</v>
      </c>
      <c r="B165" s="539" t="s">
        <v>3535</v>
      </c>
      <c r="C165" s="539" t="s">
        <v>853</v>
      </c>
      <c r="D165" s="539" t="s">
        <v>18138</v>
      </c>
      <c r="E165" s="539" t="s">
        <v>3536</v>
      </c>
      <c r="F165" s="539" t="s">
        <v>18084</v>
      </c>
      <c r="G165" s="539" t="s">
        <v>18107</v>
      </c>
      <c r="H165" s="539" t="s">
        <v>3096</v>
      </c>
      <c r="I165" s="539" t="s">
        <v>18143</v>
      </c>
      <c r="J165" s="551" t="str">
        <f>HYPERLINK("https://maps.google.com/?q=Feira%20de%20Agosto%20(Gr%C3%A2ndola)%20Set%C3%BAbal%20%2F%20Litoral","🛒 Feira de Agosto (Grândola)")</f>
        <v>🛒 Feira de Agosto (Grândola)</v>
      </c>
    </row>
    <row r="166" spans="1:10" ht="60" customHeight="1" x14ac:dyDescent="0.35">
      <c r="A166" s="540">
        <v>160</v>
      </c>
      <c r="B166" s="539" t="s">
        <v>3661</v>
      </c>
      <c r="C166" s="539" t="s">
        <v>853</v>
      </c>
      <c r="D166" s="539" t="s">
        <v>1233</v>
      </c>
      <c r="E166" s="539" t="s">
        <v>3662</v>
      </c>
      <c r="F166" s="539" t="s">
        <v>18144</v>
      </c>
      <c r="G166" s="539" t="s">
        <v>18145</v>
      </c>
      <c r="H166" s="539" t="s">
        <v>3096</v>
      </c>
      <c r="I166" s="539" t="s">
        <v>18146</v>
      </c>
      <c r="J166" s="551" t="str">
        <f>HYPERLINK("https://maps.google.com/?q=FACECO%20%E2%80%94%20Odemira%20Beja","🛒 FACECO — Odemira")</f>
        <v>🛒 FACECO — Odemira</v>
      </c>
    </row>
    <row r="167" spans="1:10" ht="60" customHeight="1" x14ac:dyDescent="0.35">
      <c r="A167" s="540">
        <v>161</v>
      </c>
      <c r="B167" s="539" t="s">
        <v>3663</v>
      </c>
      <c r="C167" s="539" t="s">
        <v>853</v>
      </c>
      <c r="D167" s="539" t="s">
        <v>18138</v>
      </c>
      <c r="E167" s="539" t="s">
        <v>3664</v>
      </c>
      <c r="F167" s="539" t="s">
        <v>3133</v>
      </c>
      <c r="G167" s="539" t="s">
        <v>3134</v>
      </c>
      <c r="H167" s="539" t="s">
        <v>3096</v>
      </c>
      <c r="I167" s="539" t="s">
        <v>18147</v>
      </c>
      <c r="J167" s="551" t="str">
        <f>HYPERLINK("https://maps.google.com/?q=Mercado%20de%20Santo%20Andr%C3%A9%20Set%C3%BAbal%20%2F%20Litoral","🛒 Mercado de Santo André")</f>
        <v>🛒 Mercado de Santo André</v>
      </c>
    </row>
    <row r="168" spans="1:10" ht="30" customHeight="1" x14ac:dyDescent="0.35">
      <c r="A168" s="1492" t="s">
        <v>18148</v>
      </c>
      <c r="B168" s="1493"/>
      <c r="C168" s="1494"/>
      <c r="D168" s="1494"/>
      <c r="E168" s="1494"/>
      <c r="F168" s="1494"/>
      <c r="G168" s="1494"/>
      <c r="H168" s="1494"/>
      <c r="I168" s="1494"/>
      <c r="J168" s="1494"/>
    </row>
    <row r="169" spans="1:10" ht="60" customHeight="1" x14ac:dyDescent="0.35">
      <c r="A169" s="540">
        <v>162</v>
      </c>
      <c r="B169" s="539" t="s">
        <v>3537</v>
      </c>
      <c r="C169" s="539" t="s">
        <v>767</v>
      </c>
      <c r="D169" s="539" t="s">
        <v>2201</v>
      </c>
      <c r="E169" s="539" t="s">
        <v>3538</v>
      </c>
      <c r="F169" s="539" t="s">
        <v>3133</v>
      </c>
      <c r="G169" s="539" t="s">
        <v>18059</v>
      </c>
      <c r="H169" s="539" t="s">
        <v>3096</v>
      </c>
      <c r="I169" s="539" t="s">
        <v>18149</v>
      </c>
      <c r="J169" s="551" t="str">
        <f>HYPERLINK("https://maps.google.com/?q=Mercado%20Municipal%20de%20Lagos%20Lagos","🛒 Mercado Municipal de Lagos")</f>
        <v>🛒 Mercado Municipal de Lagos</v>
      </c>
    </row>
    <row r="170" spans="1:10" ht="60" customHeight="1" x14ac:dyDescent="0.35">
      <c r="A170" s="540">
        <v>163</v>
      </c>
      <c r="B170" s="539" t="s">
        <v>3539</v>
      </c>
      <c r="C170" s="539" t="s">
        <v>767</v>
      </c>
      <c r="D170" s="539" t="s">
        <v>2201</v>
      </c>
      <c r="E170" s="539" t="s">
        <v>3540</v>
      </c>
      <c r="F170" s="539" t="s">
        <v>18150</v>
      </c>
      <c r="G170" s="539" t="s">
        <v>3108</v>
      </c>
      <c r="H170" s="539" t="s">
        <v>3096</v>
      </c>
      <c r="I170" s="539" t="s">
        <v>18151</v>
      </c>
      <c r="J170" s="551" t="str">
        <f>HYPERLINK("https://maps.google.com/?q=Mercado%20do%20Levante%20(Lagos)%20Lagos","🛒 Mercado do Levante (Lagos)")</f>
        <v>🛒 Mercado do Levante (Lagos)</v>
      </c>
    </row>
    <row r="171" spans="1:10" ht="60" customHeight="1" x14ac:dyDescent="0.35">
      <c r="A171" s="540">
        <v>164</v>
      </c>
      <c r="B171" s="539" t="s">
        <v>3541</v>
      </c>
      <c r="C171" s="539" t="s">
        <v>767</v>
      </c>
      <c r="D171" s="539" t="s">
        <v>2205</v>
      </c>
      <c r="E171" s="539" t="s">
        <v>3542</v>
      </c>
      <c r="F171" s="539" t="s">
        <v>3133</v>
      </c>
      <c r="G171" s="539" t="s">
        <v>18152</v>
      </c>
      <c r="H171" s="539" t="s">
        <v>3096</v>
      </c>
      <c r="I171" s="539" t="s">
        <v>18153</v>
      </c>
      <c r="J171" s="551" t="str">
        <f>HYPERLINK("https://maps.google.com/?q=Mercado%20Municipal%20de%20Portim%C3%A3o%20Portim%C3%A3o","🛒 Mercado Municipal de Portimã")</f>
        <v>🛒 Mercado Municipal de Portimã</v>
      </c>
    </row>
    <row r="172" spans="1:10" ht="60" customHeight="1" x14ac:dyDescent="0.35">
      <c r="A172" s="540">
        <v>165</v>
      </c>
      <c r="B172" s="539" t="s">
        <v>3543</v>
      </c>
      <c r="C172" s="539" t="s">
        <v>767</v>
      </c>
      <c r="D172" s="539" t="s">
        <v>2194</v>
      </c>
      <c r="E172" s="539" t="s">
        <v>3544</v>
      </c>
      <c r="F172" s="539" t="s">
        <v>3133</v>
      </c>
      <c r="G172" s="539" t="s">
        <v>18154</v>
      </c>
      <c r="H172" s="539" t="s">
        <v>3096</v>
      </c>
      <c r="I172" s="539" t="s">
        <v>18155</v>
      </c>
      <c r="J172" s="551" t="str">
        <f>HYPERLINK("https://maps.google.com/?q=Mercado%20Municipal%20de%20Aljezur%20Aljezur","🛒 Mercado Municipal de Aljezur")</f>
        <v>🛒 Mercado Municipal de Aljezur</v>
      </c>
    </row>
    <row r="173" spans="1:10" ht="60" customHeight="1" x14ac:dyDescent="0.35">
      <c r="A173" s="540">
        <v>166</v>
      </c>
      <c r="B173" s="539" t="s">
        <v>3545</v>
      </c>
      <c r="C173" s="539" t="s">
        <v>767</v>
      </c>
      <c r="D173" s="539" t="s">
        <v>2201</v>
      </c>
      <c r="E173" s="539" t="s">
        <v>3546</v>
      </c>
      <c r="F173" s="539" t="s">
        <v>3133</v>
      </c>
      <c r="G173" s="539" t="s">
        <v>3134</v>
      </c>
      <c r="H173" s="539" t="s">
        <v>3096</v>
      </c>
      <c r="I173" s="539" t="s">
        <v>18083</v>
      </c>
      <c r="J173" s="551" t="str">
        <f>HYPERLINK("https://maps.google.com/?q=Mercado%20de%20Vila%20do%20Bispo%20Lagos","🛒 Mercado de Vila do Bispo")</f>
        <v>🛒 Mercado de Vila do Bispo</v>
      </c>
    </row>
    <row r="174" spans="1:10" ht="60" customHeight="1" x14ac:dyDescent="0.35">
      <c r="A174" s="540">
        <v>167</v>
      </c>
      <c r="B174" s="539" t="s">
        <v>3547</v>
      </c>
      <c r="C174" s="539" t="s">
        <v>767</v>
      </c>
      <c r="D174" s="539" t="s">
        <v>2201</v>
      </c>
      <c r="E174" s="539" t="s">
        <v>3548</v>
      </c>
      <c r="F174" s="539" t="s">
        <v>3133</v>
      </c>
      <c r="G174" s="539" t="s">
        <v>18061</v>
      </c>
      <c r="H174" s="539" t="s">
        <v>3096</v>
      </c>
      <c r="I174" s="539" t="s">
        <v>18083</v>
      </c>
      <c r="J174" s="551" t="str">
        <f>HYPERLINK("https://maps.google.com/?q=Mercado%20Municipal%20de%20Sagres%20Lagos","🛒 Mercado Municipal de Sagres")</f>
        <v>🛒 Mercado Municipal de Sagres</v>
      </c>
    </row>
    <row r="175" spans="1:10" ht="60" customHeight="1" x14ac:dyDescent="0.35">
      <c r="A175" s="540">
        <v>168</v>
      </c>
      <c r="B175" s="539" t="s">
        <v>3549</v>
      </c>
      <c r="C175" s="539" t="s">
        <v>767</v>
      </c>
      <c r="D175" s="539" t="s">
        <v>2205</v>
      </c>
      <c r="E175" s="539" t="s">
        <v>3550</v>
      </c>
      <c r="F175" s="539" t="s">
        <v>3133</v>
      </c>
      <c r="G175" s="539" t="s">
        <v>18156</v>
      </c>
      <c r="H175" s="539" t="s">
        <v>3096</v>
      </c>
      <c r="I175" s="539" t="s">
        <v>18135</v>
      </c>
      <c r="J175" s="551" t="str">
        <f>HYPERLINK("https://maps.google.com/?q=Mercado%20de%20Monchique%20Portim%C3%A3o","🛒 Mercado de Monchique")</f>
        <v>🛒 Mercado de Monchique</v>
      </c>
    </row>
    <row r="176" spans="1:10" ht="60" customHeight="1" x14ac:dyDescent="0.35">
      <c r="A176" s="540">
        <v>169</v>
      </c>
      <c r="B176" s="539" t="s">
        <v>3551</v>
      </c>
      <c r="C176" s="539" t="s">
        <v>767</v>
      </c>
      <c r="D176" s="539" t="s">
        <v>2180</v>
      </c>
      <c r="E176" s="539" t="s">
        <v>3552</v>
      </c>
      <c r="F176" s="539" t="s">
        <v>3133</v>
      </c>
      <c r="G176" s="539" t="s">
        <v>18157</v>
      </c>
      <c r="H176" s="539" t="s">
        <v>3096</v>
      </c>
      <c r="I176" s="539" t="s">
        <v>18158</v>
      </c>
      <c r="J176" s="551" t="str">
        <f>HYPERLINK("https://maps.google.com/?q=Mercado%20de%20Silves%20Silves","🛒 Mercado de Silves")</f>
        <v>🛒 Mercado de Silves</v>
      </c>
    </row>
    <row r="177" spans="1:10" ht="60" customHeight="1" x14ac:dyDescent="0.35">
      <c r="A177" s="540">
        <v>170</v>
      </c>
      <c r="B177" s="539" t="s">
        <v>3553</v>
      </c>
      <c r="C177" s="539" t="s">
        <v>767</v>
      </c>
      <c r="D177" s="539" t="s">
        <v>2180</v>
      </c>
      <c r="E177" s="539" t="s">
        <v>3554</v>
      </c>
      <c r="F177" s="539" t="s">
        <v>3133</v>
      </c>
      <c r="G177" s="539" t="s">
        <v>3134</v>
      </c>
      <c r="H177" s="539" t="s">
        <v>3096</v>
      </c>
      <c r="I177" s="539" t="s">
        <v>18083</v>
      </c>
      <c r="J177" s="551" t="str">
        <f>HYPERLINK("https://maps.google.com/?q=Mercado%20Municipal%20de%20Lagoa%20Silves","🛒 Mercado Municipal de Lagoa")</f>
        <v>🛒 Mercado Municipal de Lagoa</v>
      </c>
    </row>
    <row r="178" spans="1:10" ht="60" customHeight="1" x14ac:dyDescent="0.35">
      <c r="A178" s="540">
        <v>171</v>
      </c>
      <c r="B178" s="539" t="s">
        <v>3555</v>
      </c>
      <c r="C178" s="539" t="s">
        <v>767</v>
      </c>
      <c r="D178" s="539" t="s">
        <v>2180</v>
      </c>
      <c r="E178" s="539" t="s">
        <v>3556</v>
      </c>
      <c r="F178" s="539" t="s">
        <v>18084</v>
      </c>
      <c r="G178" s="539" t="s">
        <v>18107</v>
      </c>
      <c r="H178" s="539" t="s">
        <v>3096</v>
      </c>
      <c r="I178" s="539" t="s">
        <v>18116</v>
      </c>
      <c r="J178" s="551" t="str">
        <f>HYPERLINK("https://maps.google.com/?q=FATACIL%20(Lagoa)%20Silves","🛒 FATACIL (Lagoa)")</f>
        <v>🛒 FATACIL (Lagoa)</v>
      </c>
    </row>
    <row r="179" spans="1:10" ht="60" customHeight="1" x14ac:dyDescent="0.35">
      <c r="A179" s="540">
        <v>172</v>
      </c>
      <c r="B179" s="539" t="s">
        <v>3557</v>
      </c>
      <c r="C179" s="539" t="s">
        <v>767</v>
      </c>
      <c r="D179" s="539" t="s">
        <v>5761</v>
      </c>
      <c r="E179" s="539" t="s">
        <v>3558</v>
      </c>
      <c r="F179" s="539" t="s">
        <v>3133</v>
      </c>
      <c r="G179" s="539" t="s">
        <v>18159</v>
      </c>
      <c r="H179" s="539" t="s">
        <v>3096</v>
      </c>
      <c r="I179" s="539" t="s">
        <v>18070</v>
      </c>
      <c r="J179" s="551" t="str">
        <f>HYPERLINK("https://maps.google.com/?q=Mercado%20Municipal%20de%20Loul%C3%A9%20Faro","🛒 Mercado Municipal de Loulé")</f>
        <v>🛒 Mercado Municipal de Loulé</v>
      </c>
    </row>
    <row r="180" spans="1:10" ht="60" customHeight="1" x14ac:dyDescent="0.35">
      <c r="A180" s="540">
        <v>173</v>
      </c>
      <c r="B180" s="539" t="s">
        <v>3559</v>
      </c>
      <c r="C180" s="539" t="s">
        <v>767</v>
      </c>
      <c r="D180" s="539" t="s">
        <v>5761</v>
      </c>
      <c r="E180" s="539" t="s">
        <v>3560</v>
      </c>
      <c r="F180" s="539" t="s">
        <v>3133</v>
      </c>
      <c r="G180" s="539" t="s">
        <v>3134</v>
      </c>
      <c r="H180" s="539" t="s">
        <v>3096</v>
      </c>
      <c r="I180" s="539" t="s">
        <v>18160</v>
      </c>
      <c r="J180" s="551" t="str">
        <f>HYPERLINK("https://maps.google.com/?q=Mercado%20Municipal%20de%20Quarteira%20Faro","🛒 Mercado Municipal de Quartei")</f>
        <v>🛒 Mercado Municipal de Quartei</v>
      </c>
    </row>
    <row r="181" spans="1:10" ht="60" customHeight="1" x14ac:dyDescent="0.35">
      <c r="A181" s="540">
        <v>174</v>
      </c>
      <c r="B181" s="539" t="s">
        <v>3561</v>
      </c>
      <c r="C181" s="539" t="s">
        <v>767</v>
      </c>
      <c r="D181" s="539" t="s">
        <v>5761</v>
      </c>
      <c r="E181" s="539" t="s">
        <v>3562</v>
      </c>
      <c r="F181" s="539" t="s">
        <v>3179</v>
      </c>
      <c r="G181" s="539" t="s">
        <v>3124</v>
      </c>
      <c r="H181" s="539" t="s">
        <v>3096</v>
      </c>
      <c r="I181" s="539" t="s">
        <v>18161</v>
      </c>
      <c r="J181" s="551" t="str">
        <f>HYPERLINK("https://maps.google.com/?q=Feira%20da%20Quarta-Feira%20(Quarteira)%20Faro","🛒 Feira da Quarta-Feira (Quart")</f>
        <v>🛒 Feira da Quarta-Feira (Quart</v>
      </c>
    </row>
    <row r="182" spans="1:10" ht="60" customHeight="1" x14ac:dyDescent="0.35">
      <c r="A182" s="540">
        <v>175</v>
      </c>
      <c r="B182" s="539" t="s">
        <v>3563</v>
      </c>
      <c r="C182" s="539" t="s">
        <v>767</v>
      </c>
      <c r="D182" s="539" t="s">
        <v>5761</v>
      </c>
      <c r="E182" s="539" t="s">
        <v>3564</v>
      </c>
      <c r="F182" s="539" t="s">
        <v>3133</v>
      </c>
      <c r="G182" s="539" t="s">
        <v>3134</v>
      </c>
      <c r="H182" s="539" t="s">
        <v>3096</v>
      </c>
      <c r="I182" s="539" t="s">
        <v>18155</v>
      </c>
      <c r="J182" s="551" t="str">
        <f>HYPERLINK("https://maps.google.com/?q=Mercado%20Municipal%20de%20Albufeira%20Faro","🛒 Mercado Municipal de Albufei")</f>
        <v>🛒 Mercado Municipal de Albufei</v>
      </c>
    </row>
    <row r="183" spans="1:10" ht="60" customHeight="1" x14ac:dyDescent="0.35">
      <c r="A183" s="540">
        <v>176</v>
      </c>
      <c r="B183" s="539" t="s">
        <v>3565</v>
      </c>
      <c r="C183" s="539" t="s">
        <v>767</v>
      </c>
      <c r="D183" s="539" t="s">
        <v>5761</v>
      </c>
      <c r="E183" s="539" t="s">
        <v>3566</v>
      </c>
      <c r="F183" s="539" t="s">
        <v>3133</v>
      </c>
      <c r="G183" s="539" t="s">
        <v>18052</v>
      </c>
      <c r="H183" s="539" t="s">
        <v>3096</v>
      </c>
      <c r="I183" s="539" t="s">
        <v>18135</v>
      </c>
      <c r="J183" s="551" t="str">
        <f>HYPERLINK("https://maps.google.com/?q=Mercado%20Municipal%20de%20Faro%20Faro","🛒 Mercado Municipal de Faro")</f>
        <v>🛒 Mercado Municipal de Faro</v>
      </c>
    </row>
    <row r="184" spans="1:10" ht="60" customHeight="1" x14ac:dyDescent="0.35">
      <c r="A184" s="540">
        <v>177</v>
      </c>
      <c r="B184" s="539" t="s">
        <v>3567</v>
      </c>
      <c r="C184" s="539" t="s">
        <v>767</v>
      </c>
      <c r="D184" s="539" t="s">
        <v>5761</v>
      </c>
      <c r="E184" s="539" t="s">
        <v>3568</v>
      </c>
      <c r="F184" s="539" t="s">
        <v>18150</v>
      </c>
      <c r="G184" s="539" t="s">
        <v>18162</v>
      </c>
      <c r="H184" s="539" t="s">
        <v>3096</v>
      </c>
      <c r="I184" s="539" t="s">
        <v>18163</v>
      </c>
      <c r="J184" s="551" t="str">
        <f>HYPERLINK("https://maps.google.com/?q=Mercado%20de%20Santa%20B%C3%A1rbara%20de%20Nexe%20Faro","🛒 Mercado de Santa Bárbara de ")</f>
        <v xml:space="preserve">🛒 Mercado de Santa Bárbara de </v>
      </c>
    </row>
    <row r="185" spans="1:10" ht="60" customHeight="1" x14ac:dyDescent="0.35">
      <c r="A185" s="540">
        <v>178</v>
      </c>
      <c r="B185" s="539" t="s">
        <v>3569</v>
      </c>
      <c r="C185" s="539" t="s">
        <v>767</v>
      </c>
      <c r="D185" s="539" t="s">
        <v>5761</v>
      </c>
      <c r="E185" s="539" t="s">
        <v>3570</v>
      </c>
      <c r="F185" s="539" t="s">
        <v>18164</v>
      </c>
      <c r="G185" s="539" t="s">
        <v>18107</v>
      </c>
      <c r="H185" s="539" t="s">
        <v>3096</v>
      </c>
      <c r="I185" s="539" t="s">
        <v>18165</v>
      </c>
      <c r="J185" s="551" t="str">
        <f>HYPERLINK("https://maps.google.com/?q=Feira%20de%20S.%20Iria%20(Faro)%20Faro","🛒 Feira de S. Iria (Faro)")</f>
        <v>🛒 Feira de S. Iria (Faro)</v>
      </c>
    </row>
    <row r="186" spans="1:10" ht="60" customHeight="1" x14ac:dyDescent="0.35">
      <c r="A186" s="540">
        <v>179</v>
      </c>
      <c r="B186" s="539" t="s">
        <v>3571</v>
      </c>
      <c r="C186" s="539" t="s">
        <v>767</v>
      </c>
      <c r="D186" s="539" t="s">
        <v>5761</v>
      </c>
      <c r="E186" s="539" t="s">
        <v>3572</v>
      </c>
      <c r="F186" s="539" t="s">
        <v>3133</v>
      </c>
      <c r="G186" s="539" t="s">
        <v>3134</v>
      </c>
      <c r="H186" s="539" t="s">
        <v>3096</v>
      </c>
      <c r="I186" s="539" t="s">
        <v>18065</v>
      </c>
      <c r="J186" s="551" t="str">
        <f>HYPERLINK("https://maps.google.com/?q=Mercado%20de%20Almancil%20Faro","🛒 Mercado de Almancil")</f>
        <v>🛒 Mercado de Almancil</v>
      </c>
    </row>
    <row r="187" spans="1:10" ht="60" customHeight="1" x14ac:dyDescent="0.35">
      <c r="A187" s="540">
        <v>180</v>
      </c>
      <c r="B187" s="539" t="s">
        <v>3573</v>
      </c>
      <c r="C187" s="539" t="s">
        <v>767</v>
      </c>
      <c r="D187" s="539" t="s">
        <v>5761</v>
      </c>
      <c r="E187" s="539" t="s">
        <v>3574</v>
      </c>
      <c r="F187" s="539" t="s">
        <v>3133</v>
      </c>
      <c r="G187" s="539" t="s">
        <v>18166</v>
      </c>
      <c r="H187" s="539" t="s">
        <v>18167</v>
      </c>
      <c r="I187" s="539" t="s">
        <v>18168</v>
      </c>
      <c r="J187" s="551" t="str">
        <f>HYPERLINK("https://maps.google.com/?q=Mercado%20Municipal%20de%20Olh%C3%A3o%20Faro","🛒 Mercado Municipal de Olhão")</f>
        <v>🛒 Mercado Municipal de Olhão</v>
      </c>
    </row>
    <row r="188" spans="1:10" ht="60" customHeight="1" x14ac:dyDescent="0.35">
      <c r="A188" s="540">
        <v>181</v>
      </c>
      <c r="B188" s="539" t="s">
        <v>3575</v>
      </c>
      <c r="C188" s="539" t="s">
        <v>767</v>
      </c>
      <c r="D188" s="539" t="s">
        <v>5761</v>
      </c>
      <c r="E188" s="539" t="s">
        <v>3576</v>
      </c>
      <c r="F188" s="539" t="s">
        <v>3094</v>
      </c>
      <c r="G188" s="539" t="s">
        <v>18059</v>
      </c>
      <c r="H188" s="539" t="s">
        <v>3096</v>
      </c>
      <c r="I188" s="539" t="s">
        <v>18169</v>
      </c>
      <c r="J188" s="551" t="str">
        <f>HYPERLINK("https://maps.google.com/?q=Mercado%20de%20S%C3%A1bado%20(Olh%C3%A3o)%20Faro","🛒 Mercado de Sábado (Olhão)")</f>
        <v>🛒 Mercado de Sábado (Olhão)</v>
      </c>
    </row>
    <row r="189" spans="1:10" ht="60" customHeight="1" x14ac:dyDescent="0.35">
      <c r="A189" s="540">
        <v>182</v>
      </c>
      <c r="B189" s="539" t="s">
        <v>3577</v>
      </c>
      <c r="C189" s="539" t="s">
        <v>767</v>
      </c>
      <c r="D189" s="539" t="s">
        <v>5761</v>
      </c>
      <c r="E189" s="539" t="s">
        <v>3578</v>
      </c>
      <c r="F189" s="539" t="s">
        <v>3133</v>
      </c>
      <c r="G189" s="539" t="s">
        <v>18051</v>
      </c>
      <c r="H189" s="539" t="s">
        <v>18170</v>
      </c>
      <c r="I189" s="539" t="s">
        <v>18171</v>
      </c>
      <c r="J189" s="551" t="str">
        <f>HYPERLINK("https://maps.google.com/?q=Mercado%20Municipal%20de%20Tavira%20Faro","🛒 Mercado Municipal de Tavira")</f>
        <v>🛒 Mercado Municipal de Tavira</v>
      </c>
    </row>
    <row r="190" spans="1:10" ht="60" customHeight="1" x14ac:dyDescent="0.35">
      <c r="A190" s="540">
        <v>183</v>
      </c>
      <c r="B190" s="539" t="s">
        <v>3579</v>
      </c>
      <c r="C190" s="539" t="s">
        <v>767</v>
      </c>
      <c r="D190" s="539" t="s">
        <v>5761</v>
      </c>
      <c r="E190" s="539" t="s">
        <v>3580</v>
      </c>
      <c r="F190" s="539" t="s">
        <v>3133</v>
      </c>
      <c r="G190" s="539" t="s">
        <v>3134</v>
      </c>
      <c r="H190" s="539" t="s">
        <v>3096</v>
      </c>
      <c r="I190" s="539" t="s">
        <v>18172</v>
      </c>
      <c r="J190" s="551" t="str">
        <f>HYPERLINK("https://maps.google.com/?q=Mercado%20de%20S.%20Br%C3%A1s%20de%20Alportel%20Faro","🛒 Mercado de S. Brás de Alport")</f>
        <v>🛒 Mercado de S. Brás de Alport</v>
      </c>
    </row>
    <row r="191" spans="1:10" ht="60" customHeight="1" x14ac:dyDescent="0.35">
      <c r="A191" s="540">
        <v>184</v>
      </c>
      <c r="B191" s="539" t="s">
        <v>3581</v>
      </c>
      <c r="C191" s="539" t="s">
        <v>767</v>
      </c>
      <c r="D191" s="539" t="s">
        <v>5761</v>
      </c>
      <c r="E191" s="539" t="s">
        <v>3582</v>
      </c>
      <c r="F191" s="539" t="s">
        <v>18090</v>
      </c>
      <c r="G191" s="539" t="s">
        <v>3108</v>
      </c>
      <c r="H191" s="539" t="s">
        <v>3096</v>
      </c>
      <c r="I191" s="539" t="s">
        <v>18173</v>
      </c>
      <c r="J191" s="551" t="str">
        <f>HYPERLINK("https://maps.google.com/?q=Feira%20da%20Serra%20(S.%20Br%C3%A1s%20de%20Alportel)%20Faro","🛒 Feira da Serra (S. Brás de A")</f>
        <v>🛒 Feira da Serra (S. Brás de A</v>
      </c>
    </row>
    <row r="192" spans="1:10" ht="60" customHeight="1" x14ac:dyDescent="0.35">
      <c r="A192" s="540">
        <v>185</v>
      </c>
      <c r="B192" s="539" t="s">
        <v>3583</v>
      </c>
      <c r="C192" s="539" t="s">
        <v>767</v>
      </c>
      <c r="D192" s="539" t="s">
        <v>5761</v>
      </c>
      <c r="E192" s="539" t="s">
        <v>3584</v>
      </c>
      <c r="F192" s="539" t="s">
        <v>3133</v>
      </c>
      <c r="G192" s="539" t="s">
        <v>18051</v>
      </c>
      <c r="H192" s="539" t="s">
        <v>3096</v>
      </c>
      <c r="I192" s="539" t="s">
        <v>18174</v>
      </c>
      <c r="J192" s="551" t="str">
        <f>HYPERLINK("https://maps.google.com/?q=Mercado%20de%20Vila%20Real%20de%20Santo%20Ant%C3%B3nio%20Faro","🛒 Mercado de Vila Real de Sant")</f>
        <v>🛒 Mercado de Vila Real de Sant</v>
      </c>
    </row>
    <row r="193" spans="1:10" ht="60" customHeight="1" x14ac:dyDescent="0.35">
      <c r="A193" s="540">
        <v>186</v>
      </c>
      <c r="B193" s="539" t="s">
        <v>3585</v>
      </c>
      <c r="C193" s="539" t="s">
        <v>767</v>
      </c>
      <c r="D193" s="539" t="s">
        <v>5761</v>
      </c>
      <c r="E193" s="539" t="s">
        <v>3586</v>
      </c>
      <c r="F193" s="539" t="s">
        <v>3133</v>
      </c>
      <c r="G193" s="539" t="s">
        <v>18175</v>
      </c>
      <c r="H193" s="539" t="s">
        <v>3096</v>
      </c>
      <c r="I193" s="539" t="s">
        <v>18083</v>
      </c>
      <c r="J193" s="551" t="str">
        <f>HYPERLINK("https://maps.google.com/?q=Mercado%20de%20Castro%20Marim%20Faro","🛒 Mercado de Castro Marim")</f>
        <v>🛒 Mercado de Castro Marim</v>
      </c>
    </row>
    <row r="194" spans="1:10" ht="60" customHeight="1" x14ac:dyDescent="0.35">
      <c r="A194" s="540">
        <v>187</v>
      </c>
      <c r="B194" s="539" t="s">
        <v>3587</v>
      </c>
      <c r="C194" s="539" t="s">
        <v>767</v>
      </c>
      <c r="D194" s="539" t="s">
        <v>5761</v>
      </c>
      <c r="E194" s="539" t="s">
        <v>3588</v>
      </c>
      <c r="F194" s="539" t="s">
        <v>18123</v>
      </c>
      <c r="G194" s="539" t="s">
        <v>3156</v>
      </c>
      <c r="H194" s="539" t="s">
        <v>3096</v>
      </c>
      <c r="I194" s="539" t="s">
        <v>18176</v>
      </c>
      <c r="J194" s="551" t="str">
        <f>HYPERLINK("https://maps.google.com/?q=Mercado%20de%20Alcoutim%20Faro","🛒 Mercado de Alcoutim")</f>
        <v>🛒 Mercado de Alcoutim</v>
      </c>
    </row>
    <row r="195" spans="1:10" ht="60" customHeight="1" x14ac:dyDescent="0.35">
      <c r="A195" s="540">
        <v>188</v>
      </c>
      <c r="B195" s="539" t="s">
        <v>3589</v>
      </c>
      <c r="C195" s="539" t="s">
        <v>767</v>
      </c>
      <c r="D195" s="539" t="s">
        <v>5761</v>
      </c>
      <c r="E195" s="539" t="s">
        <v>3590</v>
      </c>
      <c r="F195" s="539" t="s">
        <v>3133</v>
      </c>
      <c r="G195" s="539" t="s">
        <v>18177</v>
      </c>
      <c r="H195" s="539" t="s">
        <v>3096</v>
      </c>
      <c r="I195" s="539" t="s">
        <v>18135</v>
      </c>
      <c r="J195" s="551" t="str">
        <f>HYPERLINK("https://maps.google.com/?q=Mercado%20de%20Fuseta%20Faro","🛒 Mercado de Fuseta")</f>
        <v>🛒 Mercado de Fuseta</v>
      </c>
    </row>
    <row r="196" spans="1:10" ht="60" customHeight="1" x14ac:dyDescent="0.35">
      <c r="A196" s="540">
        <v>189</v>
      </c>
      <c r="B196" s="539" t="s">
        <v>3591</v>
      </c>
      <c r="C196" s="539" t="s">
        <v>767</v>
      </c>
      <c r="D196" s="539" t="s">
        <v>5761</v>
      </c>
      <c r="E196" s="539" t="s">
        <v>3592</v>
      </c>
      <c r="F196" s="539" t="s">
        <v>3133</v>
      </c>
      <c r="G196" s="539" t="s">
        <v>3134</v>
      </c>
      <c r="H196" s="539" t="s">
        <v>3096</v>
      </c>
      <c r="I196" s="539" t="s">
        <v>18083</v>
      </c>
      <c r="J196" s="551" t="str">
        <f>HYPERLINK("https://maps.google.com/?q=Mercado%20Municipal%20de%20Moncarapacho%20Faro","🛒 Mercado Municipal de Moncara")</f>
        <v>🛒 Mercado Municipal de Moncara</v>
      </c>
    </row>
    <row r="197" spans="1:10" ht="60" customHeight="1" x14ac:dyDescent="0.35">
      <c r="A197" s="540">
        <v>190</v>
      </c>
      <c r="B197" s="539" t="s">
        <v>3665</v>
      </c>
      <c r="C197" s="539" t="s">
        <v>767</v>
      </c>
      <c r="D197" s="539" t="s">
        <v>5761</v>
      </c>
      <c r="E197" s="539" t="s">
        <v>3666</v>
      </c>
      <c r="F197" s="539" t="s">
        <v>15285</v>
      </c>
      <c r="G197" s="539" t="s">
        <v>18085</v>
      </c>
      <c r="H197" s="539" t="s">
        <v>3096</v>
      </c>
      <c r="I197" s="539" t="s">
        <v>18178</v>
      </c>
      <c r="J197" s="551" t="str">
        <f>HYPERLINK("https://maps.google.com/?q=Mercado%20de%20Cacela%20Velha%20Faro","🛒 Mercado de Cacela Velha")</f>
        <v>🛒 Mercado de Cacela Velha</v>
      </c>
    </row>
    <row r="198" spans="1:10" ht="60" customHeight="1" x14ac:dyDescent="0.35">
      <c r="A198" s="540">
        <v>191</v>
      </c>
      <c r="B198" s="539" t="s">
        <v>3667</v>
      </c>
      <c r="C198" s="539" t="s">
        <v>767</v>
      </c>
      <c r="D198" s="539" t="s">
        <v>2194</v>
      </c>
      <c r="E198" s="539" t="s">
        <v>3668</v>
      </c>
      <c r="F198" s="539" t="s">
        <v>18123</v>
      </c>
      <c r="G198" s="539" t="s">
        <v>3108</v>
      </c>
      <c r="H198" s="539" t="s">
        <v>3096</v>
      </c>
      <c r="I198" s="539" t="s">
        <v>18179</v>
      </c>
      <c r="J198" s="551" t="str">
        <f>HYPERLINK("https://maps.google.com/?q=Feira%20Mensal%20de%20Aljezur%20Aljezur","🛒 Feira Mensal de Aljezur")</f>
        <v>🛒 Feira Mensal de Aljezur</v>
      </c>
    </row>
    <row r="199" spans="1:10" ht="30" customHeight="1" x14ac:dyDescent="0.35">
      <c r="A199" s="1495" t="s">
        <v>18180</v>
      </c>
      <c r="B199" s="1496"/>
      <c r="C199" s="1497"/>
      <c r="D199" s="1497"/>
      <c r="E199" s="1497"/>
      <c r="F199" s="1497"/>
      <c r="G199" s="1497"/>
      <c r="H199" s="1497"/>
      <c r="I199" s="1497"/>
      <c r="J199" s="1497"/>
    </row>
    <row r="200" spans="1:10" ht="60" customHeight="1" x14ac:dyDescent="0.35">
      <c r="A200" s="540">
        <v>192</v>
      </c>
      <c r="B200" s="539" t="s">
        <v>3593</v>
      </c>
      <c r="C200" s="539" t="s">
        <v>524</v>
      </c>
      <c r="D200" s="539" t="s">
        <v>2219</v>
      </c>
      <c r="E200" s="539" t="s">
        <v>3594</v>
      </c>
      <c r="F200" s="539" t="s">
        <v>3133</v>
      </c>
      <c r="G200" s="539" t="s">
        <v>18181</v>
      </c>
      <c r="H200" s="539" t="s">
        <v>18182</v>
      </c>
      <c r="I200" s="539" t="s">
        <v>18183</v>
      </c>
      <c r="J200" s="551" t="str">
        <f>HYPERLINK("https://maps.google.com/?q=Mercado%20dos%20Lavradores%20Funchal","🛒 Mercado dos Lavradores")</f>
        <v>🛒 Mercado dos Lavradores</v>
      </c>
    </row>
    <row r="201" spans="1:10" ht="60" customHeight="1" x14ac:dyDescent="0.35">
      <c r="A201" s="540">
        <v>193</v>
      </c>
      <c r="B201" s="539" t="s">
        <v>3595</v>
      </c>
      <c r="C201" s="539" t="s">
        <v>524</v>
      </c>
      <c r="D201" s="539" t="s">
        <v>2219</v>
      </c>
      <c r="E201" s="539" t="s">
        <v>3596</v>
      </c>
      <c r="F201" s="539" t="s">
        <v>3133</v>
      </c>
      <c r="G201" s="539" t="s">
        <v>18052</v>
      </c>
      <c r="H201" s="539" t="s">
        <v>3096</v>
      </c>
      <c r="I201" s="539" t="s">
        <v>18184</v>
      </c>
      <c r="J201" s="551" t="str">
        <f>HYPERLINK("https://maps.google.com/?q=Mercado%20da%20Penteada%20Funchal","🛒 Mercado da Penteada")</f>
        <v>🛒 Mercado da Penteada</v>
      </c>
    </row>
    <row r="202" spans="1:10" ht="60" customHeight="1" x14ac:dyDescent="0.35">
      <c r="A202" s="540">
        <v>194</v>
      </c>
      <c r="B202" s="539" t="s">
        <v>3599</v>
      </c>
      <c r="C202" s="539" t="s">
        <v>524</v>
      </c>
      <c r="D202" s="539" t="s">
        <v>2219</v>
      </c>
      <c r="E202" s="539" t="s">
        <v>3600</v>
      </c>
      <c r="F202" s="539" t="s">
        <v>3133</v>
      </c>
      <c r="G202" s="539" t="s">
        <v>3134</v>
      </c>
      <c r="H202" s="539" t="s">
        <v>3096</v>
      </c>
      <c r="I202" s="539" t="s">
        <v>18185</v>
      </c>
      <c r="J202" s="551" t="str">
        <f>HYPERLINK("https://maps.google.com/?q=Mercado%20de%20S%C3%A3o%20Martinho%20Funchal","🛒 Mercado de São Martinho")</f>
        <v>🛒 Mercado de São Martinho</v>
      </c>
    </row>
    <row r="203" spans="1:10" ht="60" customHeight="1" x14ac:dyDescent="0.35">
      <c r="A203" s="540">
        <v>195</v>
      </c>
      <c r="B203" s="539" t="s">
        <v>3601</v>
      </c>
      <c r="C203" s="539" t="s">
        <v>524</v>
      </c>
      <c r="D203" s="539" t="s">
        <v>2228</v>
      </c>
      <c r="E203" s="539" t="s">
        <v>3602</v>
      </c>
      <c r="F203" s="539" t="s">
        <v>3133</v>
      </c>
      <c r="G203" s="539" t="s">
        <v>18186</v>
      </c>
      <c r="H203" s="539" t="s">
        <v>3096</v>
      </c>
      <c r="I203" s="539" t="s">
        <v>18187</v>
      </c>
      <c r="J203" s="551" t="str">
        <f>HYPERLINK("https://maps.google.com/?q=Mercado%20Municipal%20de%20C%C3%A2mara%20de%20Lobos%20C%C3%A2mara%20de%20Lobos","🛒 Mercado Municipal de Câmara ")</f>
        <v xml:space="preserve">🛒 Mercado Municipal de Câmara </v>
      </c>
    </row>
    <row r="204" spans="1:10" ht="60" customHeight="1" x14ac:dyDescent="0.35">
      <c r="A204" s="540">
        <v>196</v>
      </c>
      <c r="B204" s="539" t="s">
        <v>3603</v>
      </c>
      <c r="C204" s="539" t="s">
        <v>524</v>
      </c>
      <c r="D204" s="539" t="s">
        <v>2234</v>
      </c>
      <c r="E204" s="539" t="s">
        <v>3604</v>
      </c>
      <c r="F204" s="539" t="s">
        <v>3133</v>
      </c>
      <c r="G204" s="539" t="s">
        <v>18052</v>
      </c>
      <c r="H204" s="539" t="s">
        <v>18188</v>
      </c>
      <c r="I204" s="539" t="s">
        <v>18083</v>
      </c>
      <c r="J204" s="551" t="str">
        <f>HYPERLINK("https://maps.google.com/?q=Mercado%20da%20Ribeira%20Brava%20Ribeira%20Brava","🛒 Mercado da Ribeira Brava")</f>
        <v>🛒 Mercado da Ribeira Brava</v>
      </c>
    </row>
    <row r="205" spans="1:10" ht="60" customHeight="1" x14ac:dyDescent="0.35">
      <c r="A205" s="540">
        <v>197</v>
      </c>
      <c r="B205" s="539" t="s">
        <v>3605</v>
      </c>
      <c r="C205" s="539" t="s">
        <v>524</v>
      </c>
      <c r="D205" s="539" t="s">
        <v>7921</v>
      </c>
      <c r="E205" s="539" t="s">
        <v>3606</v>
      </c>
      <c r="F205" s="539" t="s">
        <v>3133</v>
      </c>
      <c r="G205" s="539" t="s">
        <v>3134</v>
      </c>
      <c r="H205" s="539" t="s">
        <v>3096</v>
      </c>
      <c r="I205" s="539" t="s">
        <v>18087</v>
      </c>
      <c r="J205" s="551" t="str">
        <f>HYPERLINK("https://maps.google.com/?q=Mercado%20Municipal%20da%20Ponta%20do%20Sol%20Ponta%20do%20Sol","🛒 Mercado Municipal da Ponta d")</f>
        <v>🛒 Mercado Municipal da Ponta d</v>
      </c>
    </row>
    <row r="206" spans="1:10" ht="60" customHeight="1" x14ac:dyDescent="0.35">
      <c r="A206" s="540">
        <v>198</v>
      </c>
      <c r="B206" s="539" t="s">
        <v>3607</v>
      </c>
      <c r="C206" s="539" t="s">
        <v>524</v>
      </c>
      <c r="D206" s="539" t="s">
        <v>8733</v>
      </c>
      <c r="E206" s="539" t="s">
        <v>3608</v>
      </c>
      <c r="F206" s="539" t="s">
        <v>3133</v>
      </c>
      <c r="G206" s="539" t="s">
        <v>18052</v>
      </c>
      <c r="H206" s="539" t="s">
        <v>3096</v>
      </c>
      <c r="I206" s="539" t="s">
        <v>18189</v>
      </c>
      <c r="J206" s="551" t="str">
        <f>HYPERLINK("https://maps.google.com/?q=Mercado%20da%20Calheta%20Calheta","🛒 Mercado da Calheta")</f>
        <v>🛒 Mercado da Calheta</v>
      </c>
    </row>
    <row r="207" spans="1:10" ht="60" customHeight="1" x14ac:dyDescent="0.35">
      <c r="A207" s="540">
        <v>199</v>
      </c>
      <c r="B207" s="539" t="s">
        <v>3609</v>
      </c>
      <c r="C207" s="539" t="s">
        <v>524</v>
      </c>
      <c r="D207" s="539" t="s">
        <v>8733</v>
      </c>
      <c r="E207" s="539" t="s">
        <v>3610</v>
      </c>
      <c r="F207" s="539" t="s">
        <v>15285</v>
      </c>
      <c r="G207" s="539" t="s">
        <v>18059</v>
      </c>
      <c r="H207" s="539" t="s">
        <v>3096</v>
      </c>
      <c r="I207" s="539" t="s">
        <v>18190</v>
      </c>
      <c r="J207" s="551" t="str">
        <f>HYPERLINK("https://maps.google.com/?q=Mercado%20do%20Prazeres%20Calheta","🛒 Mercado do Prazeres")</f>
        <v>🛒 Mercado do Prazeres</v>
      </c>
    </row>
    <row r="208" spans="1:10" ht="60" customHeight="1" x14ac:dyDescent="0.35">
      <c r="A208" s="540">
        <v>200</v>
      </c>
      <c r="B208" s="539" t="s">
        <v>3611</v>
      </c>
      <c r="C208" s="539" t="s">
        <v>524</v>
      </c>
      <c r="D208" s="539" t="s">
        <v>5999</v>
      </c>
      <c r="E208" s="539" t="s">
        <v>3612</v>
      </c>
      <c r="F208" s="539" t="s">
        <v>3133</v>
      </c>
      <c r="G208" s="539" t="s">
        <v>3134</v>
      </c>
      <c r="H208" s="539" t="s">
        <v>3096</v>
      </c>
      <c r="I208" s="539" t="s">
        <v>18191</v>
      </c>
      <c r="J208" s="551" t="str">
        <f>HYPERLINK("https://maps.google.com/?q=Mercado%20Municipal%20de%20Porto%20Moniz%20Porto%20Moniz","🛒 Mercado Municipal de Porto M")</f>
        <v>🛒 Mercado Municipal de Porto M</v>
      </c>
    </row>
    <row r="209" spans="1:10" ht="60" customHeight="1" x14ac:dyDescent="0.35">
      <c r="A209" s="540">
        <v>201</v>
      </c>
      <c r="B209" s="539" t="s">
        <v>3613</v>
      </c>
      <c r="C209" s="539" t="s">
        <v>524</v>
      </c>
      <c r="D209" s="539" t="s">
        <v>8728</v>
      </c>
      <c r="E209" s="539" t="s">
        <v>3614</v>
      </c>
      <c r="F209" s="539" t="s">
        <v>3133</v>
      </c>
      <c r="G209" s="539" t="s">
        <v>3134</v>
      </c>
      <c r="H209" s="539" t="s">
        <v>3096</v>
      </c>
      <c r="I209" s="539" t="s">
        <v>18192</v>
      </c>
      <c r="J209" s="551" t="str">
        <f>HYPERLINK("https://maps.google.com/?q=Mercado%20de%20S%C3%A3o%20Vicente%20(Madeira)%20S%C3%A3o%20Vicente","🛒 Mercado de São Vicente (Made")</f>
        <v>🛒 Mercado de São Vicente (Made</v>
      </c>
    </row>
    <row r="210" spans="1:10" ht="60" customHeight="1" x14ac:dyDescent="0.35">
      <c r="A210" s="540">
        <v>202</v>
      </c>
      <c r="B210" s="539" t="s">
        <v>3615</v>
      </c>
      <c r="C210" s="539" t="s">
        <v>524</v>
      </c>
      <c r="D210" s="539" t="s">
        <v>5988</v>
      </c>
      <c r="E210" s="539" t="s">
        <v>3616</v>
      </c>
      <c r="F210" s="539" t="s">
        <v>3133</v>
      </c>
      <c r="G210" s="539" t="s">
        <v>18052</v>
      </c>
      <c r="H210" s="539" t="s">
        <v>3096</v>
      </c>
      <c r="I210" s="539" t="s">
        <v>18193</v>
      </c>
      <c r="J210" s="551" t="str">
        <f>HYPERLINK("https://maps.google.com/?q=Mercado%20de%20Santana%20Santana","🛒 Mercado de Santana")</f>
        <v>🛒 Mercado de Santana</v>
      </c>
    </row>
    <row r="211" spans="1:10" ht="60" customHeight="1" x14ac:dyDescent="0.35">
      <c r="A211" s="540">
        <v>203</v>
      </c>
      <c r="B211" s="539" t="s">
        <v>3617</v>
      </c>
      <c r="C211" s="539" t="s">
        <v>524</v>
      </c>
      <c r="D211" s="539" t="s">
        <v>10009</v>
      </c>
      <c r="E211" s="539" t="s">
        <v>3618</v>
      </c>
      <c r="F211" s="539" t="s">
        <v>3133</v>
      </c>
      <c r="G211" s="539" t="s">
        <v>3134</v>
      </c>
      <c r="H211" s="539" t="s">
        <v>3096</v>
      </c>
      <c r="I211" s="539" t="s">
        <v>18194</v>
      </c>
      <c r="J211" s="551" t="str">
        <f>HYPERLINK("https://maps.google.com/?q=Mercado%20Municipal%20de%20Machico%20Machico","🛒 Mercado Municipal de Machico")</f>
        <v>🛒 Mercado Municipal de Machico</v>
      </c>
    </row>
    <row r="212" spans="1:10" ht="60" customHeight="1" x14ac:dyDescent="0.35">
      <c r="A212" s="540">
        <v>204</v>
      </c>
      <c r="B212" s="539" t="s">
        <v>3619</v>
      </c>
      <c r="C212" s="539" t="s">
        <v>524</v>
      </c>
      <c r="D212" s="539" t="s">
        <v>6690</v>
      </c>
      <c r="E212" s="539" t="s">
        <v>3620</v>
      </c>
      <c r="F212" s="539" t="s">
        <v>3133</v>
      </c>
      <c r="G212" s="539" t="s">
        <v>3134</v>
      </c>
      <c r="H212" s="539" t="s">
        <v>3096</v>
      </c>
      <c r="I212" s="539" t="s">
        <v>18195</v>
      </c>
      <c r="J212" s="551" t="str">
        <f>HYPERLINK("https://maps.google.com/?q=Mercado%20de%20Santa%20Cruz%20(Madeira)%20Santa%20Cruz","🛒 Mercado de Santa Cruz (Madei")</f>
        <v>🛒 Mercado de Santa Cruz (Madei</v>
      </c>
    </row>
    <row r="213" spans="1:10" ht="60" customHeight="1" x14ac:dyDescent="0.35">
      <c r="A213" s="540">
        <v>205</v>
      </c>
      <c r="B213" s="539" t="s">
        <v>3623</v>
      </c>
      <c r="C213" s="539" t="s">
        <v>524</v>
      </c>
      <c r="D213" s="539" t="s">
        <v>6690</v>
      </c>
      <c r="E213" s="539" t="s">
        <v>3624</v>
      </c>
      <c r="F213" s="539" t="s">
        <v>3133</v>
      </c>
      <c r="G213" s="539" t="s">
        <v>3134</v>
      </c>
      <c r="H213" s="539" t="s">
        <v>3096</v>
      </c>
      <c r="I213" s="539" t="s">
        <v>18196</v>
      </c>
      <c r="J213" s="551" t="str">
        <f>HYPERLINK("https://maps.google.com/?q=Mercado%20do%20Cani%C3%A7o%20Santa%20Cruz","🛒 Mercado do Caniço")</f>
        <v>🛒 Mercado do Caniço</v>
      </c>
    </row>
    <row r="214" spans="1:10" ht="60" customHeight="1" x14ac:dyDescent="0.35">
      <c r="A214" s="540">
        <v>206</v>
      </c>
      <c r="B214" s="539" t="s">
        <v>3625</v>
      </c>
      <c r="C214" s="539" t="s">
        <v>524</v>
      </c>
      <c r="D214" s="539" t="s">
        <v>7530</v>
      </c>
      <c r="E214" s="539" t="s">
        <v>3626</v>
      </c>
      <c r="F214" s="539" t="s">
        <v>3133</v>
      </c>
      <c r="G214" s="539" t="s">
        <v>18052</v>
      </c>
      <c r="H214" s="539" t="s">
        <v>3096</v>
      </c>
      <c r="I214" s="539" t="s">
        <v>18197</v>
      </c>
      <c r="J214" s="551" t="str">
        <f>HYPERLINK("https://maps.google.com/?q=Mercado%20Municipal%20do%20Porto%20Santo%20Porto%20Santo","🛒 Mercado Municipal do Porto S")</f>
        <v>🛒 Mercado Municipal do Porto S</v>
      </c>
    </row>
    <row r="215" spans="1:10" ht="60" customHeight="1" x14ac:dyDescent="0.35">
      <c r="A215" s="540">
        <v>207</v>
      </c>
      <c r="B215" s="539" t="s">
        <v>3669</v>
      </c>
      <c r="C215" s="539" t="s">
        <v>524</v>
      </c>
      <c r="D215" s="539" t="s">
        <v>2848</v>
      </c>
      <c r="E215" s="539" t="s">
        <v>3670</v>
      </c>
      <c r="F215" s="539" t="s">
        <v>18123</v>
      </c>
      <c r="G215" s="539" t="s">
        <v>18052</v>
      </c>
      <c r="H215" s="539" t="s">
        <v>3096</v>
      </c>
      <c r="I215" s="539" t="s">
        <v>18198</v>
      </c>
      <c r="J215" s="551" t="str">
        <f>HYPERLINK("https://maps.google.com/?q=Mercado%20de%20S%C3%A3o%20Jorge%20(Madeira)%20S%C3%A3o%20Jorge","🛒 Mercado de São Jorge (Madeir")</f>
        <v>🛒 Mercado de São Jorge (Madeir</v>
      </c>
    </row>
    <row r="216" spans="1:10" ht="60" customHeight="1" x14ac:dyDescent="0.35">
      <c r="A216" s="540">
        <v>208</v>
      </c>
      <c r="B216" s="539" t="s">
        <v>3671</v>
      </c>
      <c r="C216" s="539" t="s">
        <v>524</v>
      </c>
      <c r="D216" s="539" t="s">
        <v>7530</v>
      </c>
      <c r="E216" s="539" t="s">
        <v>3672</v>
      </c>
      <c r="F216" s="539" t="s">
        <v>15285</v>
      </c>
      <c r="G216" s="539" t="s">
        <v>18056</v>
      </c>
      <c r="H216" s="539" t="s">
        <v>3096</v>
      </c>
      <c r="I216" s="539" t="s">
        <v>18199</v>
      </c>
      <c r="J216" s="551" t="str">
        <f>HYPERLINK("https://maps.google.com/?q=Mercado%20do%20Pescador%20(Porto%20Santo)%20Porto%20Santo","🛒 Mercado do Pescador (Porto S")</f>
        <v>🛒 Mercado do Pescador (Porto S</v>
      </c>
    </row>
    <row r="217" spans="1:10" ht="60" customHeight="1" x14ac:dyDescent="0.35">
      <c r="A217" s="540">
        <v>209</v>
      </c>
      <c r="B217" s="539" t="s">
        <v>3673</v>
      </c>
      <c r="C217" s="539" t="s">
        <v>524</v>
      </c>
      <c r="D217" s="539" t="s">
        <v>2219</v>
      </c>
      <c r="E217" s="539" t="s">
        <v>1053</v>
      </c>
      <c r="F217" s="539" t="s">
        <v>18200</v>
      </c>
      <c r="G217" s="539" t="s">
        <v>18201</v>
      </c>
      <c r="H217" s="539" t="s">
        <v>3096</v>
      </c>
      <c r="I217" s="539" t="s">
        <v>18202</v>
      </c>
      <c r="J217" s="551" t="str">
        <f>HYPERLINK("https://maps.google.com/?q=Festa%20da%20Flor%20Funchal%20Funchal","🛒 Festa da Flor Funchal")</f>
        <v>🛒 Festa da Flor Funchal</v>
      </c>
    </row>
    <row r="218" spans="1:10" ht="60" customHeight="1" x14ac:dyDescent="0.35">
      <c r="A218" s="540">
        <v>210</v>
      </c>
      <c r="B218" s="539" t="s">
        <v>3674</v>
      </c>
      <c r="C218" s="539" t="s">
        <v>524</v>
      </c>
      <c r="D218" s="539" t="s">
        <v>2219</v>
      </c>
      <c r="E218" s="539" t="s">
        <v>2226</v>
      </c>
      <c r="F218" s="539" t="s">
        <v>18084</v>
      </c>
      <c r="G218" s="539" t="s">
        <v>18203</v>
      </c>
      <c r="H218" s="539" t="s">
        <v>3096</v>
      </c>
      <c r="I218" s="539" t="s">
        <v>18204</v>
      </c>
      <c r="J218" s="551" t="str">
        <f>HYPERLINK("https://maps.google.com/?q=Festa%20do%20Vinho%20Funchal%20Funchal","🛒 Festa do Vinho Funchal")</f>
        <v>🛒 Festa do Vinho Funchal</v>
      </c>
    </row>
    <row r="219" spans="1:10" ht="60" customHeight="1" x14ac:dyDescent="0.35">
      <c r="A219" s="540">
        <v>211</v>
      </c>
      <c r="B219" s="539" t="s">
        <v>3675</v>
      </c>
      <c r="C219" s="539" t="s">
        <v>524</v>
      </c>
      <c r="D219" s="539" t="s">
        <v>2219</v>
      </c>
      <c r="E219" s="539" t="s">
        <v>3676</v>
      </c>
      <c r="F219" s="539" t="s">
        <v>18205</v>
      </c>
      <c r="G219" s="539" t="s">
        <v>18206</v>
      </c>
      <c r="H219" s="539" t="s">
        <v>3096</v>
      </c>
      <c r="I219" s="539" t="s">
        <v>18207</v>
      </c>
      <c r="J219" s="551" t="str">
        <f>HYPERLINK("https://maps.google.com/?q=Noite%20do%20Mercado%20Funchal%20Funchal","🛒 Noite do Mercado Funchal")</f>
        <v>🛒 Noite do Mercado Funchal</v>
      </c>
    </row>
    <row r="220" spans="1:10" ht="60" customHeight="1" x14ac:dyDescent="0.35">
      <c r="A220" s="540">
        <v>212</v>
      </c>
      <c r="B220" s="539" t="s">
        <v>3677</v>
      </c>
      <c r="C220" s="539" t="s">
        <v>524</v>
      </c>
      <c r="D220" s="539" t="s">
        <v>2219</v>
      </c>
      <c r="E220" s="539" t="s">
        <v>3678</v>
      </c>
      <c r="F220" s="539" t="s">
        <v>18132</v>
      </c>
      <c r="G220" s="539" t="s">
        <v>18133</v>
      </c>
      <c r="H220" s="539" t="s">
        <v>3096</v>
      </c>
      <c r="I220" s="539" t="s">
        <v>18208</v>
      </c>
      <c r="J220" s="551" t="str">
        <f>HYPERLINK("https://maps.google.com/?q=Festa%20da%20Castanha%20do%20Curral%20das%20Freiras%20Funchal","🛒 Festa da Castanha do Curral ")</f>
        <v xml:space="preserve">🛒 Festa da Castanha do Curral </v>
      </c>
    </row>
    <row r="221" spans="1:10" ht="60" customHeight="1" x14ac:dyDescent="0.35">
      <c r="A221" s="540">
        <v>213</v>
      </c>
      <c r="B221" s="539" t="s">
        <v>3679</v>
      </c>
      <c r="C221" s="539" t="s">
        <v>524</v>
      </c>
      <c r="D221" s="539" t="s">
        <v>7530</v>
      </c>
      <c r="E221" s="539" t="s">
        <v>3680</v>
      </c>
      <c r="F221" s="539" t="s">
        <v>18209</v>
      </c>
      <c r="G221" s="539" t="s">
        <v>18107</v>
      </c>
      <c r="H221" s="539" t="s">
        <v>3096</v>
      </c>
      <c r="I221" s="539" t="s">
        <v>18210</v>
      </c>
      <c r="J221" s="551" t="str">
        <f>HYPERLINK("https://maps.google.com/?q=Expo%20Porto%20Santo%20Porto%20Santo","🛒 Expo Porto Santo")</f>
        <v>🛒 Expo Porto Santo</v>
      </c>
    </row>
    <row r="222" spans="1:10" ht="60" customHeight="1" x14ac:dyDescent="0.35">
      <c r="A222" s="540">
        <v>214</v>
      </c>
      <c r="B222" s="539" t="s">
        <v>3597</v>
      </c>
      <c r="C222" s="539" t="s">
        <v>524</v>
      </c>
      <c r="D222" s="539" t="s">
        <v>2219</v>
      </c>
      <c r="E222" s="539" t="s">
        <v>3598</v>
      </c>
      <c r="F222" s="539" t="s">
        <v>18123</v>
      </c>
      <c r="G222" s="539" t="s">
        <v>18211</v>
      </c>
      <c r="H222" s="539" t="s">
        <v>3096</v>
      </c>
      <c r="I222" s="539" t="s">
        <v>18212</v>
      </c>
      <c r="J222" s="551" t="str">
        <f>HYPERLINK("https://maps.google.com/?q=Feira%20da%20Lagartixa%20(Funchal)%20Funchal","🛒 Feira da Lagartixa (Funchal)")</f>
        <v>🛒 Feira da Lagartixa (Funchal)</v>
      </c>
    </row>
    <row r="223" spans="1:10" ht="60" customHeight="1" x14ac:dyDescent="0.35">
      <c r="A223" s="540">
        <v>215</v>
      </c>
      <c r="B223" s="539" t="s">
        <v>3621</v>
      </c>
      <c r="C223" s="539" t="s">
        <v>524</v>
      </c>
      <c r="D223" s="539" t="s">
        <v>6690</v>
      </c>
      <c r="E223" s="539" t="s">
        <v>3622</v>
      </c>
      <c r="F223" s="539" t="s">
        <v>18123</v>
      </c>
      <c r="G223" s="539" t="s">
        <v>18052</v>
      </c>
      <c r="H223" s="539" t="s">
        <v>3096</v>
      </c>
      <c r="I223" s="539" t="s">
        <v>18213</v>
      </c>
      <c r="J223" s="551" t="str">
        <f>HYPERLINK("https://maps.google.com/?q=Mercado%20de%20Santo%20da%20Serra%20Santa%20Cruz","🛒 Mercado de Santo da Serra")</f>
        <v>🛒 Mercado de Santo da Serra</v>
      </c>
    </row>
    <row r="224" spans="1:10" ht="60" customHeight="1" x14ac:dyDescent="0.35">
      <c r="A224" s="540">
        <v>216</v>
      </c>
      <c r="B224" s="539" t="s">
        <v>18214</v>
      </c>
      <c r="C224" s="539" t="s">
        <v>524</v>
      </c>
      <c r="D224" s="539" t="s">
        <v>2219</v>
      </c>
      <c r="E224" s="539" t="s">
        <v>18215</v>
      </c>
      <c r="F224" s="539" t="s">
        <v>3133</v>
      </c>
      <c r="G224" s="539" t="s">
        <v>3134</v>
      </c>
      <c r="H224" s="539" t="s">
        <v>3096</v>
      </c>
      <c r="I224" s="539" t="s">
        <v>18216</v>
      </c>
      <c r="J224" s="551" t="str">
        <f>HYPERLINK("https://maps.google.com/?q=Mercado%20de%20S%C3%A3o%20Roque%20(Funchal)%20Funchal","🛒 Mercado de São Roque (Funcha")</f>
        <v>🛒 Mercado de São Roque (Funcha</v>
      </c>
    </row>
    <row r="225" spans="1:10" ht="30" customHeight="1" x14ac:dyDescent="0.35">
      <c r="A225" s="1498" t="s">
        <v>18217</v>
      </c>
      <c r="B225" s="1499"/>
      <c r="C225" s="1500"/>
      <c r="D225" s="1500"/>
      <c r="E225" s="1500"/>
      <c r="F225" s="1500"/>
      <c r="G225" s="1500"/>
      <c r="H225" s="1500"/>
      <c r="I225" s="1500"/>
      <c r="J225" s="1500"/>
    </row>
    <row r="226" spans="1:10" ht="60" customHeight="1" x14ac:dyDescent="0.35">
      <c r="A226" s="540">
        <v>217</v>
      </c>
      <c r="B226" s="539" t="s">
        <v>3627</v>
      </c>
      <c r="C226" s="539" t="s">
        <v>522</v>
      </c>
      <c r="D226" s="539" t="s">
        <v>2815</v>
      </c>
      <c r="E226" s="539" t="s">
        <v>3628</v>
      </c>
      <c r="F226" s="539" t="s">
        <v>3133</v>
      </c>
      <c r="G226" s="539" t="s">
        <v>18052</v>
      </c>
      <c r="H226" s="539" t="s">
        <v>3096</v>
      </c>
      <c r="I226" s="539" t="s">
        <v>18083</v>
      </c>
      <c r="J226" s="551" t="str">
        <f>HYPERLINK("https://maps.google.com/?q=Mercado%20da%20Gra%C3%A7a%20%E2%80%94%20Ponta%20Delgada%20S%C3%A3o%20Miguel","🛒 Mercado da Graça — Ponta Del")</f>
        <v>🛒 Mercado da Graça — Ponta Del</v>
      </c>
    </row>
    <row r="227" spans="1:10" ht="60" customHeight="1" x14ac:dyDescent="0.35">
      <c r="A227" s="540">
        <v>218</v>
      </c>
      <c r="B227" s="539" t="s">
        <v>3629</v>
      </c>
      <c r="C227" s="539" t="s">
        <v>522</v>
      </c>
      <c r="D227" s="539" t="s">
        <v>2815</v>
      </c>
      <c r="E227" s="539" t="s">
        <v>3630</v>
      </c>
      <c r="F227" s="539" t="s">
        <v>3133</v>
      </c>
      <c r="G227" s="539" t="s">
        <v>18218</v>
      </c>
      <c r="H227" s="539" t="s">
        <v>3096</v>
      </c>
      <c r="I227" s="539" t="s">
        <v>18083</v>
      </c>
      <c r="J227" s="551" t="str">
        <f>HYPERLINK("https://maps.google.com/?q=Mercado%20Municipal%20da%20Ribeira%20Grande%20S%C3%A3o%20Miguel","🛒 Mercado Municipal da Ribeira")</f>
        <v>🛒 Mercado Municipal da Ribeira</v>
      </c>
    </row>
    <row r="228" spans="1:10" ht="60" customHeight="1" x14ac:dyDescent="0.35">
      <c r="A228" s="540">
        <v>219</v>
      </c>
      <c r="B228" s="539" t="s">
        <v>3631</v>
      </c>
      <c r="C228" s="539" t="s">
        <v>522</v>
      </c>
      <c r="D228" s="539" t="s">
        <v>2815</v>
      </c>
      <c r="E228" s="539" t="s">
        <v>3632</v>
      </c>
      <c r="F228" s="539" t="s">
        <v>18144</v>
      </c>
      <c r="G228" s="539" t="s">
        <v>18219</v>
      </c>
      <c r="H228" s="539" t="s">
        <v>3096</v>
      </c>
      <c r="I228" s="539" t="s">
        <v>18220</v>
      </c>
      <c r="J228" s="551" t="str">
        <f>HYPERLINK("https://maps.google.com/?q=Feira%20de%20Santana%20(Ribeira%20Grande)%20S%C3%A3o%20Miguel","🛒 Feira de Santana (Ribeira Gr")</f>
        <v>🛒 Feira de Santana (Ribeira Gr</v>
      </c>
    </row>
    <row r="229" spans="1:10" ht="60" customHeight="1" x14ac:dyDescent="0.35">
      <c r="A229" s="540">
        <v>220</v>
      </c>
      <c r="B229" s="539" t="s">
        <v>3633</v>
      </c>
      <c r="C229" s="539" t="s">
        <v>522</v>
      </c>
      <c r="D229" s="539" t="s">
        <v>2815</v>
      </c>
      <c r="E229" s="539" t="s">
        <v>3634</v>
      </c>
      <c r="F229" s="539" t="s">
        <v>3133</v>
      </c>
      <c r="G229" s="539" t="s">
        <v>3134</v>
      </c>
      <c r="H229" s="539" t="s">
        <v>3096</v>
      </c>
      <c r="I229" s="539" t="s">
        <v>18221</v>
      </c>
      <c r="J229" s="551" t="str">
        <f>HYPERLINK("https://maps.google.com/?q=Mercado%20Municipal%20de%20Vila%20Franca%20do%20Campo%20S%C3%A3o%20Miguel","🛒 Mercado Municipal de Vila Fr")</f>
        <v>🛒 Mercado Municipal de Vila Fr</v>
      </c>
    </row>
    <row r="230" spans="1:10" ht="60" customHeight="1" x14ac:dyDescent="0.35">
      <c r="A230" s="540">
        <v>221</v>
      </c>
      <c r="B230" s="539" t="s">
        <v>3635</v>
      </c>
      <c r="C230" s="539" t="s">
        <v>522</v>
      </c>
      <c r="D230" s="539" t="s">
        <v>2815</v>
      </c>
      <c r="E230" s="539" t="s">
        <v>3636</v>
      </c>
      <c r="F230" s="539" t="s">
        <v>3133</v>
      </c>
      <c r="G230" s="539" t="s">
        <v>3134</v>
      </c>
      <c r="H230" s="539" t="s">
        <v>3096</v>
      </c>
      <c r="I230" s="539" t="s">
        <v>18222</v>
      </c>
      <c r="J230" s="551" t="str">
        <f>HYPERLINK("https://maps.google.com/?q=Mercado%20de%20Povoa%C3%A7%C3%A3o%20(S.%20Miguel)%20S%C3%A3o%20Miguel","🛒 Mercado de Povoação (S. Migu")</f>
        <v>🛒 Mercado de Povoação (S. Migu</v>
      </c>
    </row>
    <row r="231" spans="1:10" ht="60" customHeight="1" x14ac:dyDescent="0.35">
      <c r="A231" s="540">
        <v>222</v>
      </c>
      <c r="B231" s="539" t="s">
        <v>3637</v>
      </c>
      <c r="C231" s="539" t="s">
        <v>522</v>
      </c>
      <c r="D231" s="539" t="s">
        <v>2815</v>
      </c>
      <c r="E231" s="539" t="s">
        <v>3638</v>
      </c>
      <c r="F231" s="539" t="s">
        <v>15285</v>
      </c>
      <c r="G231" s="539" t="s">
        <v>18223</v>
      </c>
      <c r="H231" s="539" t="s">
        <v>3096</v>
      </c>
      <c r="I231" s="539" t="s">
        <v>18224</v>
      </c>
      <c r="J231" s="551" t="str">
        <f>HYPERLINK("https://maps.google.com/?q=Mercado%20das%20Furnas%20S%C3%A3o%20Miguel","🛒 Mercado das Furnas")</f>
        <v>🛒 Mercado das Furnas</v>
      </c>
    </row>
    <row r="232" spans="1:10" ht="60" customHeight="1" x14ac:dyDescent="0.35">
      <c r="A232" s="540">
        <v>223</v>
      </c>
      <c r="B232" s="539" t="s">
        <v>3639</v>
      </c>
      <c r="C232" s="539" t="s">
        <v>522</v>
      </c>
      <c r="D232" s="539" t="s">
        <v>2841</v>
      </c>
      <c r="E232" s="539" t="s">
        <v>3640</v>
      </c>
      <c r="F232" s="539" t="s">
        <v>3133</v>
      </c>
      <c r="G232" s="539" t="s">
        <v>18052</v>
      </c>
      <c r="H232" s="539" t="s">
        <v>3096</v>
      </c>
      <c r="I232" s="539" t="s">
        <v>18083</v>
      </c>
      <c r="J232" s="551" t="str">
        <f>HYPERLINK("https://maps.google.com/?q=Mercado%20Municipal%20de%20Angra%20do%20Hero%C3%ADsmo%20Terceira","🛒 Mercado Municipal de Angra d")</f>
        <v>🛒 Mercado Municipal de Angra d</v>
      </c>
    </row>
    <row r="233" spans="1:10" ht="60" customHeight="1" x14ac:dyDescent="0.35">
      <c r="A233" s="540">
        <v>224</v>
      </c>
      <c r="B233" s="539" t="s">
        <v>3641</v>
      </c>
      <c r="C233" s="539" t="s">
        <v>522</v>
      </c>
      <c r="D233" s="539" t="s">
        <v>2841</v>
      </c>
      <c r="E233" s="539" t="s">
        <v>3642</v>
      </c>
      <c r="F233" s="539" t="s">
        <v>3133</v>
      </c>
      <c r="G233" s="539" t="s">
        <v>3134</v>
      </c>
      <c r="H233" s="539" t="s">
        <v>3096</v>
      </c>
      <c r="I233" s="539" t="s">
        <v>18225</v>
      </c>
      <c r="J233" s="551" t="str">
        <f>HYPERLINK("https://maps.google.com/?q=Mercado%20Municipal%20da%20Praia%20da%20Vit%C3%B3ria%20Terceira","🛒 Mercado Municipal da Praia d")</f>
        <v>🛒 Mercado Municipal da Praia d</v>
      </c>
    </row>
    <row r="234" spans="1:10" ht="60" customHeight="1" x14ac:dyDescent="0.35">
      <c r="A234" s="540">
        <v>225</v>
      </c>
      <c r="B234" s="539" t="s">
        <v>3643</v>
      </c>
      <c r="C234" s="539" t="s">
        <v>522</v>
      </c>
      <c r="D234" s="539" t="s">
        <v>2841</v>
      </c>
      <c r="E234" s="539" t="s">
        <v>3644</v>
      </c>
      <c r="F234" s="539" t="s">
        <v>18209</v>
      </c>
      <c r="G234" s="539" t="s">
        <v>18226</v>
      </c>
      <c r="H234" s="539" t="s">
        <v>3096</v>
      </c>
      <c r="I234" s="539" t="s">
        <v>18227</v>
      </c>
      <c r="J234" s="551" t="str">
        <f>HYPERLINK("https://maps.google.com/?q=Feira%20da%20Vinha%20e%20do%20Vinho%20(Biscoitos)%20Terceira","🛒 Feira da Vinha e do Vinho (B")</f>
        <v>🛒 Feira da Vinha e do Vinho (B</v>
      </c>
    </row>
    <row r="235" spans="1:10" ht="60" customHeight="1" x14ac:dyDescent="0.35">
      <c r="A235" s="540">
        <v>226</v>
      </c>
      <c r="B235" s="539" t="s">
        <v>3645</v>
      </c>
      <c r="C235" s="539" t="s">
        <v>522</v>
      </c>
      <c r="D235" s="539" t="s">
        <v>2823</v>
      </c>
      <c r="E235" s="539" t="s">
        <v>3646</v>
      </c>
      <c r="F235" s="539" t="s">
        <v>3133</v>
      </c>
      <c r="G235" s="539" t="s">
        <v>18052</v>
      </c>
      <c r="H235" s="539" t="s">
        <v>3096</v>
      </c>
      <c r="I235" s="539" t="s">
        <v>18070</v>
      </c>
      <c r="J235" s="551" t="str">
        <f>HYPERLINK("https://maps.google.com/?q=Mercado%20Municipal%20da%20Horta%20Faial","🛒 Mercado Municipal da Horta")</f>
        <v>🛒 Mercado Municipal da Horta</v>
      </c>
    </row>
    <row r="236" spans="1:10" ht="60" customHeight="1" x14ac:dyDescent="0.35">
      <c r="A236" s="540">
        <v>227</v>
      </c>
      <c r="B236" s="539" t="s">
        <v>3647</v>
      </c>
      <c r="C236" s="539" t="s">
        <v>522</v>
      </c>
      <c r="D236" s="539" t="s">
        <v>2828</v>
      </c>
      <c r="E236" s="539" t="s">
        <v>3648</v>
      </c>
      <c r="F236" s="539" t="s">
        <v>3133</v>
      </c>
      <c r="G236" s="539" t="s">
        <v>18228</v>
      </c>
      <c r="H236" s="539" t="s">
        <v>3096</v>
      </c>
      <c r="I236" s="539" t="s">
        <v>18135</v>
      </c>
      <c r="J236" s="551" t="str">
        <f>HYPERLINK("https://maps.google.com/?q=Mercado%20Municipal%20da%20Madalena%20Pico","🛒 Mercado Municipal da Madalen")</f>
        <v>🛒 Mercado Municipal da Madalen</v>
      </c>
    </row>
    <row r="237" spans="1:10" ht="60" customHeight="1" x14ac:dyDescent="0.35">
      <c r="A237" s="540">
        <v>228</v>
      </c>
      <c r="B237" s="539" t="s">
        <v>3649</v>
      </c>
      <c r="C237" s="539" t="s">
        <v>522</v>
      </c>
      <c r="D237" s="539" t="s">
        <v>2828</v>
      </c>
      <c r="E237" s="539" t="s">
        <v>3650</v>
      </c>
      <c r="F237" s="539" t="s">
        <v>18123</v>
      </c>
      <c r="G237" s="539" t="s">
        <v>18052</v>
      </c>
      <c r="H237" s="539" t="s">
        <v>3096</v>
      </c>
      <c r="I237" s="539" t="s">
        <v>18229</v>
      </c>
      <c r="J237" s="551" t="str">
        <f>HYPERLINK("https://maps.google.com/?q=Mercado%20de%20S%C3%A3o%20Roque%20do%20Pico%20Pico","🛒 Mercado de São Roque do Pico")</f>
        <v>🛒 Mercado de São Roque do Pico</v>
      </c>
    </row>
    <row r="238" spans="1:10" ht="60" customHeight="1" x14ac:dyDescent="0.35">
      <c r="A238" s="540">
        <v>229</v>
      </c>
      <c r="B238" s="539" t="s">
        <v>3651</v>
      </c>
      <c r="C238" s="539" t="s">
        <v>522</v>
      </c>
      <c r="D238" s="539" t="s">
        <v>2848</v>
      </c>
      <c r="E238" s="539" t="s">
        <v>3652</v>
      </c>
      <c r="F238" s="539" t="s">
        <v>3133</v>
      </c>
      <c r="G238" s="539" t="s">
        <v>18230</v>
      </c>
      <c r="H238" s="539" t="s">
        <v>3096</v>
      </c>
      <c r="I238" s="539" t="s">
        <v>18231</v>
      </c>
      <c r="J238" s="551" t="str">
        <f>HYPERLINK("https://maps.google.com/?q=Mercado%20Municipal%20de%20Velas%20(S.%20Jorge)%20S%C3%A3o%20Jorge","🛒 Mercado Municipal de Velas (")</f>
        <v>🛒 Mercado Municipal de Velas (</v>
      </c>
    </row>
    <row r="239" spans="1:10" ht="60" customHeight="1" x14ac:dyDescent="0.35">
      <c r="A239" s="540">
        <v>230</v>
      </c>
      <c r="B239" s="539" t="s">
        <v>3653</v>
      </c>
      <c r="C239" s="539" t="s">
        <v>522</v>
      </c>
      <c r="D239" s="539" t="s">
        <v>2850</v>
      </c>
      <c r="E239" s="539" t="s">
        <v>3654</v>
      </c>
      <c r="F239" s="539" t="s">
        <v>3133</v>
      </c>
      <c r="G239" s="539" t="s">
        <v>18052</v>
      </c>
      <c r="H239" s="539" t="s">
        <v>3096</v>
      </c>
      <c r="I239" s="539" t="s">
        <v>18083</v>
      </c>
      <c r="J239" s="551" t="str">
        <f>HYPERLINK("https://maps.google.com/?q=Mercado%20Municipal%20de%20Vila%20do%20Porto%20(S.%20Maria)%20Santa%20Maria","🛒 Mercado Municipal de Vila do")</f>
        <v>🛒 Mercado Municipal de Vila do</v>
      </c>
    </row>
    <row r="240" spans="1:10" ht="60" customHeight="1" x14ac:dyDescent="0.35">
      <c r="A240" s="540">
        <v>231</v>
      </c>
      <c r="B240" s="539" t="s">
        <v>3655</v>
      </c>
      <c r="C240" s="539" t="s">
        <v>522</v>
      </c>
      <c r="D240" s="539" t="s">
        <v>2837</v>
      </c>
      <c r="E240" s="539" t="s">
        <v>3656</v>
      </c>
      <c r="F240" s="539" t="s">
        <v>3133</v>
      </c>
      <c r="G240" s="539" t="s">
        <v>18232</v>
      </c>
      <c r="H240" s="539" t="s">
        <v>3096</v>
      </c>
      <c r="I240" s="539" t="s">
        <v>18135</v>
      </c>
      <c r="J240" s="551" t="str">
        <f>HYPERLINK("https://maps.google.com/?q=Mercado%20de%20Santa%20Cruz%20da%20Graciosa%20Graciosa","🛒 Mercado de Santa Cruz da Gra")</f>
        <v>🛒 Mercado de Santa Cruz da Gra</v>
      </c>
    </row>
    <row r="241" spans="1:10" ht="60" customHeight="1" x14ac:dyDescent="0.35">
      <c r="A241" s="540">
        <v>232</v>
      </c>
      <c r="B241" s="539" t="s">
        <v>3657</v>
      </c>
      <c r="C241" s="539" t="s">
        <v>522</v>
      </c>
      <c r="D241" s="539" t="s">
        <v>2833</v>
      </c>
      <c r="E241" s="539" t="s">
        <v>3658</v>
      </c>
      <c r="F241" s="539" t="s">
        <v>3133</v>
      </c>
      <c r="G241" s="539" t="s">
        <v>18052</v>
      </c>
      <c r="H241" s="539" t="s">
        <v>3096</v>
      </c>
      <c r="I241" s="539" t="s">
        <v>18079</v>
      </c>
      <c r="J241" s="551" t="str">
        <f>HYPERLINK("https://maps.google.com/?q=Mercado%20de%20Santa%20Cruz%20das%20Flores%20Flores","🛒 Mercado de Santa Cruz das Fl")</f>
        <v>🛒 Mercado de Santa Cruz das Fl</v>
      </c>
    </row>
    <row r="242" spans="1:10" ht="60" customHeight="1" x14ac:dyDescent="0.35">
      <c r="A242" s="540">
        <v>233</v>
      </c>
      <c r="B242" s="539" t="s">
        <v>3681</v>
      </c>
      <c r="C242" s="539" t="s">
        <v>522</v>
      </c>
      <c r="D242" s="539" t="s">
        <v>2815</v>
      </c>
      <c r="E242" s="539" t="s">
        <v>3682</v>
      </c>
      <c r="F242" s="539" t="s">
        <v>18144</v>
      </c>
      <c r="G242" s="539" t="s">
        <v>18233</v>
      </c>
      <c r="H242" s="539" t="s">
        <v>3096</v>
      </c>
      <c r="I242" s="539" t="s">
        <v>18234</v>
      </c>
      <c r="J242" s="551" t="str">
        <f>HYPERLINK("https://maps.google.com/?q=Feira%20Agr%C3%ADcola%20dos%20A%C3%A7ores%20S%C3%A3o%20Miguel","🛒 Feira Agrícola dos Açores")</f>
        <v>🛒 Feira Agrícola dos Açores</v>
      </c>
    </row>
    <row r="243" spans="1:10" ht="60" customHeight="1" x14ac:dyDescent="0.35">
      <c r="A243" s="540">
        <v>234</v>
      </c>
      <c r="B243" s="539" t="s">
        <v>3683</v>
      </c>
      <c r="C243" s="539" t="s">
        <v>522</v>
      </c>
      <c r="D243" s="539" t="s">
        <v>2815</v>
      </c>
      <c r="E243" s="539" t="s">
        <v>3684</v>
      </c>
      <c r="F243" s="539" t="s">
        <v>18235</v>
      </c>
      <c r="G243" s="539" t="s">
        <v>18236</v>
      </c>
      <c r="H243" s="539" t="s">
        <v>3096</v>
      </c>
      <c r="I243" s="539" t="s">
        <v>18237</v>
      </c>
      <c r="J243" s="551" t="str">
        <f>HYPERLINK("https://maps.google.com/?q=Mercado%20Quinhentista%20Ponta%20Delgada%20S%C3%A3o%20Miguel","🛒 Mercado Quinhentista Ponta D")</f>
        <v>🛒 Mercado Quinhentista Ponta D</v>
      </c>
    </row>
    <row r="244" spans="1:10" ht="60" customHeight="1" x14ac:dyDescent="0.35">
      <c r="A244" s="540">
        <v>235</v>
      </c>
      <c r="B244" s="539" t="s">
        <v>3685</v>
      </c>
      <c r="C244" s="539" t="s">
        <v>522</v>
      </c>
      <c r="D244" s="539" t="s">
        <v>2848</v>
      </c>
      <c r="E244" s="539" t="s">
        <v>2848</v>
      </c>
      <c r="F244" s="539" t="s">
        <v>18144</v>
      </c>
      <c r="G244" s="539" t="s">
        <v>18219</v>
      </c>
      <c r="H244" s="539" t="s">
        <v>3096</v>
      </c>
      <c r="I244" s="539" t="s">
        <v>18238</v>
      </c>
      <c r="J244" s="551" t="str">
        <f>HYPERLINK("https://maps.google.com/?q=Expofaj%C3%A3%20%E2%80%94%20S%C3%A3o%20Jorge%20S%C3%A3o%20Jorge","🛒 Expofajã — São Jorge")</f>
        <v>🛒 Expofajã — São Jorge</v>
      </c>
    </row>
    <row r="245" spans="1:10" ht="60" customHeight="1" x14ac:dyDescent="0.35">
      <c r="A245" s="540">
        <v>236</v>
      </c>
      <c r="B245" s="539" t="s">
        <v>3686</v>
      </c>
      <c r="C245" s="539" t="s">
        <v>522</v>
      </c>
      <c r="D245" s="539" t="s">
        <v>2841</v>
      </c>
      <c r="E245" s="539" t="s">
        <v>1065</v>
      </c>
      <c r="F245" s="539" t="s">
        <v>18106</v>
      </c>
      <c r="G245" s="539" t="s">
        <v>18206</v>
      </c>
      <c r="H245" s="539" t="s">
        <v>3096</v>
      </c>
      <c r="I245" s="539" t="s">
        <v>18239</v>
      </c>
      <c r="J245" s="551" t="str">
        <f>HYPERLINK("https://maps.google.com/?q=Feira%20de%20S%C3%A3o%20Jo%C3%A3o%20de%20Angra%20Terceira","🛒 Feira de São João de Angra")</f>
        <v>🛒 Feira de São João de Angra</v>
      </c>
    </row>
    <row r="246" spans="1:10" ht="60" customHeight="1" x14ac:dyDescent="0.35">
      <c r="A246" s="540">
        <v>237</v>
      </c>
      <c r="B246" s="539" t="s">
        <v>3687</v>
      </c>
      <c r="C246" s="539" t="s">
        <v>522</v>
      </c>
      <c r="D246" s="539" t="s">
        <v>2848</v>
      </c>
      <c r="E246" s="539" t="s">
        <v>3688</v>
      </c>
      <c r="F246" s="539" t="s">
        <v>18144</v>
      </c>
      <c r="G246" s="539" t="s">
        <v>18240</v>
      </c>
      <c r="H246" s="539" t="s">
        <v>3096</v>
      </c>
      <c r="I246" s="539" t="s">
        <v>18241</v>
      </c>
      <c r="J246" s="551" t="str">
        <f>HYPERLINK("https://maps.google.com/?q=Feira%20do%20Queijo%20S%C3%A3o%20Jorge%20S%C3%A3o%20Jorge","🛒 Feira do Queijo São Jorge")</f>
        <v>🛒 Feira do Queijo São Jorge</v>
      </c>
    </row>
    <row r="247" spans="1:10" ht="60" customHeight="1" x14ac:dyDescent="0.35">
      <c r="A247" s="540">
        <v>238</v>
      </c>
      <c r="B247" s="539" t="s">
        <v>3689</v>
      </c>
      <c r="C247" s="539" t="s">
        <v>522</v>
      </c>
      <c r="D247" s="539" t="s">
        <v>2823</v>
      </c>
      <c r="E247" s="539" t="s">
        <v>3690</v>
      </c>
      <c r="F247" s="539" t="s">
        <v>18123</v>
      </c>
      <c r="G247" s="539" t="s">
        <v>18242</v>
      </c>
      <c r="H247" s="539" t="s">
        <v>3096</v>
      </c>
      <c r="I247" s="539" t="s">
        <v>18243</v>
      </c>
      <c r="J247" s="551" t="str">
        <f>HYPERLINK("https://maps.google.com/?q=Mercado%20Bio-Az%C3%B3rica%20Faial%20Faial","🛒 Mercado Bio-Azórica Faial")</f>
        <v>🛒 Mercado Bio-Azórica Faial</v>
      </c>
    </row>
    <row r="248" spans="1:10" ht="60" customHeight="1" x14ac:dyDescent="0.35">
      <c r="A248" s="540">
        <v>239</v>
      </c>
      <c r="B248" s="539" t="s">
        <v>3691</v>
      </c>
      <c r="C248" s="539" t="s">
        <v>522</v>
      </c>
      <c r="D248" s="539" t="s">
        <v>2815</v>
      </c>
      <c r="E248" s="539" t="s">
        <v>3692</v>
      </c>
      <c r="F248" s="539" t="s">
        <v>18144</v>
      </c>
      <c r="G248" s="539" t="s">
        <v>18244</v>
      </c>
      <c r="H248" s="539" t="s">
        <v>3096</v>
      </c>
      <c r="I248" s="539" t="s">
        <v>18245</v>
      </c>
      <c r="J248" s="551" t="str">
        <f>HYPERLINK("https://maps.google.com/?q=Festa%20do%20Ch%C3%A1%20Ponta%20Formosa%20S%C3%A3o%20Miguel","🛒 Festa do Chá Ponta Formosa")</f>
        <v>🛒 Festa do Chá Ponta Formosa</v>
      </c>
    </row>
    <row r="249" spans="1:10" ht="60" customHeight="1" x14ac:dyDescent="0.35">
      <c r="A249" s="540">
        <v>240</v>
      </c>
      <c r="B249" s="539" t="s">
        <v>3693</v>
      </c>
      <c r="C249" s="539" t="s">
        <v>522</v>
      </c>
      <c r="D249" s="539" t="s">
        <v>2823</v>
      </c>
      <c r="E249" s="539" t="s">
        <v>3690</v>
      </c>
      <c r="F249" s="539" t="s">
        <v>18209</v>
      </c>
      <c r="G249" s="539" t="s">
        <v>18246</v>
      </c>
      <c r="H249" s="539" t="s">
        <v>3096</v>
      </c>
      <c r="I249" s="539" t="s">
        <v>18243</v>
      </c>
      <c r="J249" s="551" t="str">
        <f>HYPERLINK("https://maps.google.com/?q=Feira%20do%20Mar%20Horta%20Faial","🛒 Feira do Mar Horta")</f>
        <v>🛒 Feira do Mar Horta</v>
      </c>
    </row>
    <row r="250" spans="1:10" ht="22" customHeight="1" x14ac:dyDescent="0.35">
      <c r="A250" s="1481" t="s">
        <v>18247</v>
      </c>
      <c r="B250" s="1482"/>
      <c r="C250" s="1483"/>
      <c r="D250" s="1483"/>
      <c r="E250" s="1483"/>
      <c r="F250" s="1483"/>
      <c r="G250" s="1483"/>
      <c r="H250" s="1483"/>
      <c r="I250" s="1483"/>
      <c r="J250" s="1483"/>
    </row>
  </sheetData>
  <mergeCells count="9">
    <mergeCell ref="A250:J250"/>
    <mergeCell ref="A1:J1"/>
    <mergeCell ref="A2:J2"/>
    <mergeCell ref="A4:J4"/>
    <mergeCell ref="A105:J105"/>
    <mergeCell ref="A137:J137"/>
    <mergeCell ref="A168:J168"/>
    <mergeCell ref="A199:J199"/>
    <mergeCell ref="A225:J22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6"/>
  <sheetViews>
    <sheetView topLeftCell="D1" workbookViewId="0">
      <pane ySplit="3" topLeftCell="A97" activePane="bottomLeft" state="frozen"/>
      <selection pane="bottomLeft" activeCell="J102" sqref="J102"/>
    </sheetView>
  </sheetViews>
  <sheetFormatPr defaultRowHeight="14.5" x14ac:dyDescent="0.35"/>
  <cols>
    <col min="1" max="1" width="4" customWidth="1"/>
    <col min="2" max="2" width="36" customWidth="1"/>
    <col min="3" max="3" width="12" customWidth="1"/>
    <col min="4" max="4" width="36" customWidth="1"/>
    <col min="5" max="5" width="12" customWidth="1"/>
    <col min="6" max="6" width="28" customWidth="1"/>
    <col min="7" max="7" width="52" customWidth="1"/>
    <col min="8" max="8" width="24" customWidth="1"/>
    <col min="9" max="9" width="26" customWidth="1"/>
    <col min="10" max="10" width="58" customWidth="1"/>
  </cols>
  <sheetData>
    <row r="1" spans="1:10" ht="32" customHeight="1" x14ac:dyDescent="0.35">
      <c r="A1" s="1476" t="s">
        <v>3695</v>
      </c>
      <c r="B1" s="1313"/>
      <c r="C1" s="1313"/>
      <c r="D1" s="1313"/>
      <c r="E1" s="1313"/>
      <c r="F1" s="1313"/>
      <c r="G1" s="1313"/>
      <c r="H1" s="1313"/>
      <c r="I1" s="1313"/>
    </row>
    <row r="2" spans="1:10" ht="16" customHeight="1" x14ac:dyDescent="0.35">
      <c r="A2" s="1365" t="s">
        <v>3696</v>
      </c>
      <c r="B2" s="1313"/>
      <c r="C2" s="1313"/>
      <c r="D2" s="1313"/>
      <c r="E2" s="1313"/>
      <c r="F2" s="1313"/>
      <c r="G2" s="1313"/>
      <c r="H2" s="1313"/>
      <c r="I2" s="1313"/>
    </row>
    <row r="3" spans="1:10" ht="24" customHeight="1" x14ac:dyDescent="0.35">
      <c r="A3" s="238" t="s">
        <v>141</v>
      </c>
      <c r="B3" s="238" t="s">
        <v>785</v>
      </c>
      <c r="C3" s="238" t="s">
        <v>906</v>
      </c>
      <c r="D3" s="238" t="s">
        <v>16417</v>
      </c>
      <c r="E3" s="238" t="s">
        <v>3698</v>
      </c>
      <c r="F3" s="238" t="s">
        <v>539</v>
      </c>
      <c r="G3" s="303" t="s">
        <v>8</v>
      </c>
      <c r="H3" s="238" t="s">
        <v>8764</v>
      </c>
      <c r="I3" s="238" t="s">
        <v>910</v>
      </c>
      <c r="J3" s="238" t="s">
        <v>789</v>
      </c>
    </row>
    <row r="4" spans="1:10" ht="22" customHeight="1" x14ac:dyDescent="0.35">
      <c r="A4" s="1479" t="s">
        <v>3699</v>
      </c>
      <c r="B4" s="1313"/>
      <c r="C4" s="1313"/>
      <c r="D4" s="1313"/>
      <c r="E4" s="1313"/>
      <c r="F4" s="1313"/>
      <c r="G4" s="1313"/>
      <c r="H4" s="1313"/>
      <c r="I4" s="1313"/>
    </row>
    <row r="5" spans="1:10" ht="110" customHeight="1" x14ac:dyDescent="0.35">
      <c r="A5" s="338">
        <v>1</v>
      </c>
      <c r="B5" s="239" t="s">
        <v>3700</v>
      </c>
      <c r="C5" s="240" t="s">
        <v>3701</v>
      </c>
      <c r="D5" s="239" t="s">
        <v>3082</v>
      </c>
      <c r="E5" s="239" t="s">
        <v>3702</v>
      </c>
      <c r="F5" s="239" t="str">
        <f>HYPERLINK("https://casapiedade.pt","casapiedade.pt")</f>
        <v>casapiedade.pt</v>
      </c>
      <c r="G5" s="304" t="s">
        <v>3703</v>
      </c>
      <c r="H5" s="239" t="s">
        <v>3704</v>
      </c>
      <c r="I5" s="241"/>
      <c r="J5" s="257" t="str">
        <f>HYPERLINK("https://www.google.com/maps/search/Adega%20Rio%20Douro%20%28Casa%20Piedade%29%20Porto%20Portugal/@41.1483,-8.6331,17z","🍷 Adega Rio Douro (Casa Pieda…")</f>
        <v>🍷 Adega Rio Douro (Casa Pieda…</v>
      </c>
    </row>
    <row r="6" spans="1:10" ht="110" customHeight="1" x14ac:dyDescent="0.35">
      <c r="A6" s="336">
        <v>2</v>
      </c>
      <c r="B6" s="242" t="s">
        <v>3705</v>
      </c>
      <c r="C6" s="243" t="s">
        <v>3706</v>
      </c>
      <c r="D6" s="242" t="s">
        <v>3082</v>
      </c>
      <c r="E6" s="242" t="s">
        <v>3707</v>
      </c>
      <c r="F6" s="244" t="str">
        <f>HYPERLINK("https://tabernados mercadores.pt","tabernados mercadores.pt")</f>
        <v>tabernados mercadores.pt</v>
      </c>
      <c r="G6" s="305" t="s">
        <v>3708</v>
      </c>
      <c r="H6" s="242" t="s">
        <v>3709</v>
      </c>
      <c r="I6" s="244"/>
      <c r="J6" s="258" t="str">
        <f>HYPERLINK("https://www.google.com/maps/search/Taberna%20dos%20Mercadores%20Porto%20Portugal/@41.1404,-8.6142,17z","🍷 Taberna dos Mercadores")</f>
        <v>🍷 Taberna dos Mercadores</v>
      </c>
    </row>
    <row r="7" spans="1:10" ht="110" customHeight="1" x14ac:dyDescent="0.35">
      <c r="A7" s="338">
        <v>3</v>
      </c>
      <c r="B7" s="239" t="s">
        <v>3710</v>
      </c>
      <c r="C7" s="240" t="s">
        <v>3711</v>
      </c>
      <c r="D7" s="239" t="s">
        <v>3082</v>
      </c>
      <c r="E7" s="239" t="s">
        <v>3712</v>
      </c>
      <c r="F7" s="241" t="str">
        <f>HYPERLINK("https://florcongressados.pt","florcongressados.pt")</f>
        <v>florcongressados.pt</v>
      </c>
      <c r="G7" s="304" t="s">
        <v>3713</v>
      </c>
      <c r="H7" s="239" t="s">
        <v>3714</v>
      </c>
      <c r="I7" s="241"/>
      <c r="J7" s="257" t="str">
        <f>HYPERLINK("https://www.google.com/maps/search/Flor%20dos%20Congregados%20Porto%20Portugal/@41.1467,-8.6112,17z","🍷 Flor dos Congregados")</f>
        <v>🍷 Flor dos Congregados</v>
      </c>
    </row>
    <row r="8" spans="1:10" ht="110" customHeight="1" x14ac:dyDescent="0.35">
      <c r="A8" s="336">
        <v>4</v>
      </c>
      <c r="B8" s="242" t="s">
        <v>3715</v>
      </c>
      <c r="C8" s="243" t="s">
        <v>3716</v>
      </c>
      <c r="D8" s="242" t="s">
        <v>3082</v>
      </c>
      <c r="E8" s="242" t="s">
        <v>3717</v>
      </c>
      <c r="F8" s="242" t="str">
        <f>HYPERLINK("https://casaguedes.pt","casaguedes.pt")</f>
        <v>casaguedes.pt</v>
      </c>
      <c r="G8" s="305" t="s">
        <v>3718</v>
      </c>
      <c r="H8" s="242" t="s">
        <v>3719</v>
      </c>
      <c r="I8" s="244"/>
      <c r="J8" s="258" t="str">
        <f>HYPERLINK("https://www.google.com/maps/search/Casa%20Guedes%20Porto%20Portugal/@41.146,-8.6052,17z","🍷 Casa Guedes")</f>
        <v>🍷 Casa Guedes</v>
      </c>
    </row>
    <row r="9" spans="1:10" ht="110" customHeight="1" x14ac:dyDescent="0.35">
      <c r="A9" s="338">
        <v>5</v>
      </c>
      <c r="B9" s="239" t="s">
        <v>3720</v>
      </c>
      <c r="C9" s="240" t="s">
        <v>3721</v>
      </c>
      <c r="D9" s="239" t="s">
        <v>3082</v>
      </c>
      <c r="E9" s="239" t="s">
        <v>3722</v>
      </c>
      <c r="F9" s="241" t="str">
        <f>HYPERLINK("https://tabernasantoantonioporco.pt","tabernasantoantonioporco.pt")</f>
        <v>tabernasantoantonioporco.pt</v>
      </c>
      <c r="G9" s="304" t="s">
        <v>3723</v>
      </c>
      <c r="H9" s="239" t="s">
        <v>3724</v>
      </c>
      <c r="I9" s="241"/>
      <c r="J9" s="257" t="str">
        <f>HYPERLINK("https://www.google.com/maps/search/Taberna%20Santo%20Ant%C3%B3nio%20Porto%20Portugal/@41.1458,-8.6164,17z","🍷 Taberna Santo António")</f>
        <v>🍷 Taberna Santo António</v>
      </c>
    </row>
    <row r="10" spans="1:10" ht="110" customHeight="1" x14ac:dyDescent="0.35">
      <c r="A10" s="336">
        <v>6</v>
      </c>
      <c r="B10" s="242" t="s">
        <v>3725</v>
      </c>
      <c r="C10" s="243" t="s">
        <v>3726</v>
      </c>
      <c r="D10" s="242" t="s">
        <v>3082</v>
      </c>
      <c r="E10" s="242" t="s">
        <v>3727</v>
      </c>
      <c r="F10" s="244" t="str">
        <f>HYPERLINK("https://restaurantes.sapo.pt/porto/o-buraquinho","restaurantes.sapo.pt/porto/o-buraquinho")</f>
        <v>restaurantes.sapo.pt/porto/o-buraquinho</v>
      </c>
      <c r="G10" s="305" t="s">
        <v>3728</v>
      </c>
      <c r="H10" s="242" t="s">
        <v>3729</v>
      </c>
      <c r="I10" s="244"/>
      <c r="J10" s="258" t="str">
        <f>HYPERLINK("https://www.google.com/maps/search/O%20Buraquinho%20Porto%20Portugal/@41.1463,-8.605,17z","🍷 O Buraquinho")</f>
        <v>🍷 O Buraquinho</v>
      </c>
    </row>
    <row r="11" spans="1:10" ht="110" customHeight="1" x14ac:dyDescent="0.35">
      <c r="A11" s="338">
        <v>7</v>
      </c>
      <c r="B11" s="239" t="s">
        <v>3730</v>
      </c>
      <c r="C11" s="240" t="s">
        <v>3731</v>
      </c>
      <c r="D11" s="239" t="s">
        <v>3082</v>
      </c>
      <c r="E11" s="239" t="s">
        <v>3732</v>
      </c>
      <c r="F11" s="239" t="str">
        <f>HYPERLINK("https://badalhoca.com","badalhoca.com")</f>
        <v>badalhoca.com</v>
      </c>
      <c r="G11" s="304" t="s">
        <v>3733</v>
      </c>
      <c r="H11" s="239" t="s">
        <v>3734</v>
      </c>
      <c r="I11" s="241"/>
      <c r="J11" s="257" t="str">
        <f>HYPERLINK("https://www.google.com/maps/search/A%20Badalhoca%20Porto%20Portugal/@41.169,-8.6455,17z","🍷 A Badalhoca")</f>
        <v>🍷 A Badalhoca</v>
      </c>
    </row>
    <row r="12" spans="1:10" ht="110" customHeight="1" x14ac:dyDescent="0.35">
      <c r="A12" s="336">
        <v>8</v>
      </c>
      <c r="B12" s="242" t="s">
        <v>3735</v>
      </c>
      <c r="C12" s="243" t="s">
        <v>3736</v>
      </c>
      <c r="D12" s="242" t="s">
        <v>3082</v>
      </c>
      <c r="E12" s="242" t="s">
        <v>3737</v>
      </c>
      <c r="F12" s="242" t="str">
        <f>HYPERLINK("https://adegasaopedro.com","adegasaopedro.com")</f>
        <v>adegasaopedro.com</v>
      </c>
      <c r="G12" s="305" t="s">
        <v>3738</v>
      </c>
      <c r="H12" s="242" t="s">
        <v>3739</v>
      </c>
      <c r="I12" s="244"/>
      <c r="J12" s="258" t="str">
        <f>HYPERLINK("https://www.google.com/maps/search/Adega%20S%C3%A3o%20Pedro%20Porto%20Portugal/@41.1505,-8.583,17z","🍷 Adega São Pedro")</f>
        <v>🍷 Adega São Pedro</v>
      </c>
    </row>
    <row r="13" spans="1:10" ht="110" customHeight="1" x14ac:dyDescent="0.35">
      <c r="A13" s="338">
        <v>9</v>
      </c>
      <c r="B13" s="239" t="s">
        <v>3740</v>
      </c>
      <c r="C13" s="240" t="s">
        <v>3741</v>
      </c>
      <c r="D13" s="239" t="s">
        <v>3082</v>
      </c>
      <c r="E13" s="239" t="s">
        <v>3742</v>
      </c>
      <c r="F13" s="241" t="str">
        <f>HYPERLINK("https://tripadvisor.pt/Restaurant_Review-g189180-d1009226.html","tripadvisor.pt/Restaurant_Review-g189180-d1009226.html")</f>
        <v>tripadvisor.pt/Restaurant_Review-g189180-d1009226.html</v>
      </c>
      <c r="G13" s="304" t="s">
        <v>3743</v>
      </c>
      <c r="H13" s="239" t="s">
        <v>3744</v>
      </c>
      <c r="I13" s="241"/>
      <c r="J13" s="257" t="str">
        <f>HYPERLINK("https://www.google.com/maps/search/Cervejaria%20Gazela%20Porto%20Portugal/@41.1442,-8.6081,17z","🍷 Cervejaria Gazela")</f>
        <v>🍷 Cervejaria Gazela</v>
      </c>
    </row>
    <row r="14" spans="1:10" ht="110" customHeight="1" x14ac:dyDescent="0.35">
      <c r="A14" s="336">
        <v>10</v>
      </c>
      <c r="B14" s="242" t="s">
        <v>3745</v>
      </c>
      <c r="C14" s="243" t="s">
        <v>3746</v>
      </c>
      <c r="D14" s="242" t="s">
        <v>3082</v>
      </c>
      <c r="E14" s="242" t="s">
        <v>3747</v>
      </c>
      <c r="F14" s="242" t="str">
        <f>HYPERLINK("https://aconga.pt","aconga.pt")</f>
        <v>aconga.pt</v>
      </c>
      <c r="G14" s="305" t="s">
        <v>3748</v>
      </c>
      <c r="H14" s="242" t="s">
        <v>3749</v>
      </c>
      <c r="I14" s="244"/>
      <c r="J14" s="258" t="str">
        <f>HYPERLINK("https://www.google.com/maps/search/A%20Conga%20Porto%20Portugal/@41.1486,-8.608,17z","🍷 A Conga")</f>
        <v>🍷 A Conga</v>
      </c>
    </row>
    <row r="15" spans="1:10" ht="110" customHeight="1" x14ac:dyDescent="0.35">
      <c r="A15" s="338">
        <v>11</v>
      </c>
      <c r="B15" s="239" t="s">
        <v>3750</v>
      </c>
      <c r="C15" s="240" t="s">
        <v>3751</v>
      </c>
      <c r="D15" s="239" t="s">
        <v>3082</v>
      </c>
      <c r="E15" s="239" t="s">
        <v>3752</v>
      </c>
      <c r="F15" s="239" t="str">
        <f>HYPERLINK("https://casananda.pt","casananda.pt")</f>
        <v>casananda.pt</v>
      </c>
      <c r="G15" s="304" t="s">
        <v>3753</v>
      </c>
      <c r="H15" s="239" t="s">
        <v>3754</v>
      </c>
      <c r="I15" s="241"/>
      <c r="J15" s="257" t="str">
        <f>HYPERLINK("https://www.google.com/maps/search/Casa%20Nanda%20Porto%20Portugal/@41.1503,-8.6042,17z","🍷 Casa Nanda")</f>
        <v>🍷 Casa Nanda</v>
      </c>
    </row>
    <row r="16" spans="1:10" ht="110" customHeight="1" x14ac:dyDescent="0.35">
      <c r="A16" s="336">
        <v>12</v>
      </c>
      <c r="B16" s="242" t="s">
        <v>3755</v>
      </c>
      <c r="C16" s="243" t="s">
        <v>3756</v>
      </c>
      <c r="D16" s="242" t="s">
        <v>3082</v>
      </c>
      <c r="E16" s="242" t="s">
        <v>3757</v>
      </c>
      <c r="F16" s="242" t="str">
        <f>HYPERLINK("https://oburaco.pt","oburaco.pt")</f>
        <v>oburaco.pt</v>
      </c>
      <c r="G16" s="305" t="s">
        <v>3758</v>
      </c>
      <c r="H16" s="242" t="s">
        <v>3759</v>
      </c>
      <c r="I16" s="244"/>
      <c r="J16" s="258" t="str">
        <f>HYPERLINK("https://www.google.com/maps/search/O%20Buraco%20Porto%20Portugal/@41.1489,-8.6072,17z","🍷 O Buraco")</f>
        <v>🍷 O Buraco</v>
      </c>
    </row>
    <row r="17" spans="1:10" ht="110" customHeight="1" x14ac:dyDescent="0.35">
      <c r="A17" s="338">
        <v>13</v>
      </c>
      <c r="B17" s="239" t="s">
        <v>3760</v>
      </c>
      <c r="C17" s="240" t="s">
        <v>3761</v>
      </c>
      <c r="D17" s="239" t="s">
        <v>3082</v>
      </c>
      <c r="E17" s="239" t="s">
        <v>3762</v>
      </c>
      <c r="F17" s="241" t="str">
        <f>HYPERLINK("https://tripadvisor.pt/adega-do-carregal-porto","tripadvisor.pt/adega-do-carregal-porto")</f>
        <v>tripadvisor.pt/adega-do-carregal-porto</v>
      </c>
      <c r="G17" s="304" t="s">
        <v>3763</v>
      </c>
      <c r="H17" s="239" t="s">
        <v>3764</v>
      </c>
      <c r="I17" s="241"/>
      <c r="J17" s="257" t="str">
        <f>HYPERLINK("https://www.google.com/maps/search/Adega%20do%20Carregal%20Porto%20Portugal/@41.1494,-8.6192,17z","🍷 Adega do Carregal")</f>
        <v>🍷 Adega do Carregal</v>
      </c>
    </row>
    <row r="18" spans="1:10" ht="110" customHeight="1" x14ac:dyDescent="0.35">
      <c r="A18" s="336">
        <v>14</v>
      </c>
      <c r="B18" s="242" t="s">
        <v>3765</v>
      </c>
      <c r="C18" s="243" t="s">
        <v>3766</v>
      </c>
      <c r="D18" s="242" t="s">
        <v>3082</v>
      </c>
      <c r="E18" s="242" t="s">
        <v>3767</v>
      </c>
      <c r="F18" s="244" t="str">
        <f>HYPERLINK("https://tripadvisor.pt/sai-cao-porto","tripadvisor.pt/sai-cao-porto")</f>
        <v>tripadvisor.pt/sai-cao-porto</v>
      </c>
      <c r="G18" s="305" t="s">
        <v>3768</v>
      </c>
      <c r="H18" s="242" t="s">
        <v>3769</v>
      </c>
      <c r="I18" s="244"/>
      <c r="J18" s="258" t="str">
        <f>HYPERLINK("https://www.google.com/maps/search/Sai%20C%C3%A3o%20Porto%20Portugal/@41.1536,-8.6061,17z","🍷 Sai Cão")</f>
        <v>🍷 Sai Cão</v>
      </c>
    </row>
    <row r="19" spans="1:10" ht="110" customHeight="1" x14ac:dyDescent="0.35">
      <c r="A19" s="338">
        <v>15</v>
      </c>
      <c r="B19" s="239" t="s">
        <v>3770</v>
      </c>
      <c r="C19" s="240" t="s">
        <v>3771</v>
      </c>
      <c r="D19" s="239" t="s">
        <v>3082</v>
      </c>
      <c r="E19" s="239" t="s">
        <v>3772</v>
      </c>
      <c r="F19" s="239" t="str">
        <f>HYPERLINK("https://casalouro.pt","casalouro.pt")</f>
        <v>casalouro.pt</v>
      </c>
      <c r="G19" s="304" t="s">
        <v>3773</v>
      </c>
      <c r="H19" s="239" t="s">
        <v>3774</v>
      </c>
      <c r="I19" s="241"/>
      <c r="J19" s="257" t="str">
        <f>HYPERLINK("https://www.google.com/maps/search/Casa%20Louro%20Porto%20Portugal/@41.1447,-8.6092,17z","🍷 Casa Louro")</f>
        <v>🍷 Casa Louro</v>
      </c>
    </row>
    <row r="20" spans="1:10" ht="110" customHeight="1" x14ac:dyDescent="0.35">
      <c r="A20" s="336">
        <v>16</v>
      </c>
      <c r="B20" s="242" t="s">
        <v>3775</v>
      </c>
      <c r="C20" s="243" t="s">
        <v>3776</v>
      </c>
      <c r="D20" s="242" t="s">
        <v>3082</v>
      </c>
      <c r="E20" s="242" t="s">
        <v>3777</v>
      </c>
      <c r="F20" s="242" t="str">
        <f>HYPERLINK("https://palmeira.pt","palmeira.pt")</f>
        <v>palmeira.pt</v>
      </c>
      <c r="G20" s="305" t="s">
        <v>3778</v>
      </c>
      <c r="H20" s="242" t="s">
        <v>3779</v>
      </c>
      <c r="I20" s="244"/>
      <c r="J20" s="258" t="str">
        <f>HYPERLINK("https://www.google.com/maps/search/Casa%20de%20Pasto%20da%20Palmeira%20Porto%20Portugal/@41.148,-8.671,17z","🍷 Casa de Pasto da Palmeira")</f>
        <v>🍷 Casa de Pasto da Palmeira</v>
      </c>
    </row>
    <row r="21" spans="1:10" ht="110" customHeight="1" x14ac:dyDescent="0.35">
      <c r="A21" s="338">
        <v>17</v>
      </c>
      <c r="B21" s="239" t="s">
        <v>3780</v>
      </c>
      <c r="C21" s="240" t="s">
        <v>3781</v>
      </c>
      <c r="D21" s="239" t="s">
        <v>3082</v>
      </c>
      <c r="E21" s="239" t="s">
        <v>3782</v>
      </c>
      <c r="F21" s="239" t="str">
        <f>HYPERLINK("https://tabernadavo.pt","tabernadavo.pt")</f>
        <v>tabernadavo.pt</v>
      </c>
      <c r="G21" s="304" t="s">
        <v>3783</v>
      </c>
      <c r="H21" s="239" t="s">
        <v>3784</v>
      </c>
      <c r="I21" s="241"/>
      <c r="J21" s="257" t="str">
        <f>HYPERLINK("https://www.google.com/maps/search/Taberna%20d%27Av%C3%B3%20Porto%20Portugal/@41.132,-8.603,17z","🍷 Taberna d'Avó")</f>
        <v>🍷 Taberna d'Avó</v>
      </c>
    </row>
    <row r="22" spans="1:10" ht="110" customHeight="1" x14ac:dyDescent="0.35">
      <c r="A22" s="336">
        <v>18</v>
      </c>
      <c r="B22" s="242" t="s">
        <v>3785</v>
      </c>
      <c r="C22" s="243" t="s">
        <v>3786</v>
      </c>
      <c r="D22" s="242" t="s">
        <v>3082</v>
      </c>
      <c r="E22" s="242" t="s">
        <v>3787</v>
      </c>
      <c r="F22" s="242" t="str">
        <f>HYPERLINK("https://ogaveto.pt","ogaveto.pt")</f>
        <v>ogaveto.pt</v>
      </c>
      <c r="G22" s="305" t="s">
        <v>3788</v>
      </c>
      <c r="H22" s="242" t="s">
        <v>3789</v>
      </c>
      <c r="I22" s="244"/>
      <c r="J22" s="258" t="str">
        <f>HYPERLINK("https://www.google.com/maps/search/O%20Gaveto%20Porto%20Portugal/@41.1838,-8.692,17z","🍷 O Gaveto")</f>
        <v>🍷 O Gaveto</v>
      </c>
    </row>
    <row r="23" spans="1:10" ht="110" customHeight="1" x14ac:dyDescent="0.35">
      <c r="A23" s="338">
        <v>19</v>
      </c>
      <c r="B23" s="239" t="s">
        <v>3790</v>
      </c>
      <c r="C23" s="240" t="s">
        <v>3791</v>
      </c>
      <c r="D23" s="239" t="s">
        <v>3082</v>
      </c>
      <c r="E23" s="239" t="s">
        <v>3792</v>
      </c>
      <c r="F23" s="241" t="str">
        <f>HYPERLINK("https://tripadvisor.pt/adega-do-olho-porto","tripadvisor.pt/adega-do-olho-porto")</f>
        <v>tripadvisor.pt/adega-do-olho-porto</v>
      </c>
      <c r="G23" s="304" t="s">
        <v>3793</v>
      </c>
      <c r="H23" s="239" t="s">
        <v>3794</v>
      </c>
      <c r="I23" s="241"/>
      <c r="J23" s="257" t="str">
        <f>HYPERLINK("https://www.google.com/maps/search/Adega%20do%20Olho%20Porto%20Portugal/@41.1462,-8.6128,17z","🍷 Adega do Olho")</f>
        <v>🍷 Adega do Olho</v>
      </c>
    </row>
    <row r="24" spans="1:10" ht="110" customHeight="1" x14ac:dyDescent="0.35">
      <c r="A24" s="336">
        <v>20</v>
      </c>
      <c r="B24" s="242" t="s">
        <v>3795</v>
      </c>
      <c r="C24" s="243" t="s">
        <v>3796</v>
      </c>
      <c r="D24" s="242" t="s">
        <v>3082</v>
      </c>
      <c r="E24" s="242" t="s">
        <v>3797</v>
      </c>
      <c r="F24" s="244" t="str">
        <f>HYPERLINK("https://taberna-da-vila.pt","taberna-da-vila.pt")</f>
        <v>taberna-da-vila.pt</v>
      </c>
      <c r="G24" s="305" t="s">
        <v>3798</v>
      </c>
      <c r="H24" s="242" t="s">
        <v>3799</v>
      </c>
      <c r="I24" s="244"/>
      <c r="J24" s="258" t="str">
        <f>HYPERLINK("https://www.google.com/maps/search/Taberna%20da%20Vila%20Porto%20Portugal/@41.152,-8.6118,17z","🍷 Taberna da Vila")</f>
        <v>🍷 Taberna da Vila</v>
      </c>
    </row>
    <row r="25" spans="1:10" ht="110" customHeight="1" x14ac:dyDescent="0.35">
      <c r="A25" s="338">
        <v>21</v>
      </c>
      <c r="B25" s="239" t="s">
        <v>3800</v>
      </c>
      <c r="C25" s="240" t="s">
        <v>3801</v>
      </c>
      <c r="D25" s="239" t="s">
        <v>3082</v>
      </c>
      <c r="E25" s="239" t="s">
        <v>3802</v>
      </c>
      <c r="F25" s="241" t="str">
        <f>HYPERLINK("https://tasquinhaoporto.pt","tasquinhaoporto.pt")</f>
        <v>tasquinhaoporto.pt</v>
      </c>
      <c r="G25" s="304" t="s">
        <v>3803</v>
      </c>
      <c r="H25" s="239" t="s">
        <v>3804</v>
      </c>
      <c r="I25" s="241"/>
      <c r="J25" s="257" t="str">
        <f>HYPERLINK("https://www.google.com/maps/search/A%20Tasquinha%20Porto%20Portugal/@41.1478,-8.6162,17z","🍷 A Tasquinha")</f>
        <v>🍷 A Tasquinha</v>
      </c>
    </row>
    <row r="26" spans="1:10" ht="110" customHeight="1" x14ac:dyDescent="0.35">
      <c r="A26" s="336">
        <v>22</v>
      </c>
      <c r="B26" s="242" t="s">
        <v>3805</v>
      </c>
      <c r="C26" s="243" t="s">
        <v>3806</v>
      </c>
      <c r="D26" s="242" t="s">
        <v>3082</v>
      </c>
      <c r="E26" s="242" t="s">
        <v>3807</v>
      </c>
      <c r="F26" s="244" t="str">
        <f>HYPERLINK("https://tripadvisor.pt/o-afonso-porto","tripadvisor.pt/o-afonso-porto")</f>
        <v>tripadvisor.pt/o-afonso-porto</v>
      </c>
      <c r="G26" s="305" t="s">
        <v>3808</v>
      </c>
      <c r="H26" s="242" t="s">
        <v>3809</v>
      </c>
      <c r="I26" s="244"/>
      <c r="J26" s="258" t="str">
        <f>HYPERLINK("https://www.google.com/maps/search/O%20Afonso%20Porto%20Portugal/@41.1525,-8.619,17z","🍷 O Afonso")</f>
        <v>🍷 O Afonso</v>
      </c>
    </row>
    <row r="27" spans="1:10" ht="110" customHeight="1" x14ac:dyDescent="0.35">
      <c r="A27" s="338">
        <v>23</v>
      </c>
      <c r="B27" s="239" t="s">
        <v>3810</v>
      </c>
      <c r="C27" s="240" t="s">
        <v>3811</v>
      </c>
      <c r="D27" s="239" t="s">
        <v>3812</v>
      </c>
      <c r="E27" s="239" t="s">
        <v>3813</v>
      </c>
      <c r="F27" s="239" t="str">
        <f>HYPERLINK("https://adegasabino.pt","adegasabino.pt")</f>
        <v>adegasabino.pt</v>
      </c>
      <c r="G27" s="304" t="s">
        <v>3814</v>
      </c>
      <c r="H27" s="239" t="s">
        <v>3815</v>
      </c>
      <c r="I27" s="241"/>
      <c r="J27" s="257" t="str">
        <f>HYPERLINK("https://www.google.com/maps/search/Adega%20Sabino%20Minho%20Portugal/@41.6945,-8.827,17z","🍷 Adega Sabino")</f>
        <v>🍷 Adega Sabino</v>
      </c>
    </row>
    <row r="28" spans="1:10" ht="110" customHeight="1" x14ac:dyDescent="0.35">
      <c r="A28" s="336">
        <v>24</v>
      </c>
      <c r="B28" s="242" t="s">
        <v>3816</v>
      </c>
      <c r="C28" s="243" t="s">
        <v>3817</v>
      </c>
      <c r="D28" s="242" t="s">
        <v>3812</v>
      </c>
      <c r="E28" s="242" t="s">
        <v>3818</v>
      </c>
      <c r="F28" s="244" t="str">
        <f>HYPERLINK("https://tripadvisor.pt/tasquinha-linda-viana","tripadvisor.pt/tasquinha-linda-viana")</f>
        <v>tripadvisor.pt/tasquinha-linda-viana</v>
      </c>
      <c r="G28" s="305" t="s">
        <v>3819</v>
      </c>
      <c r="H28" s="242" t="s">
        <v>3820</v>
      </c>
      <c r="I28" s="244"/>
      <c r="J28" s="258" t="str">
        <f>HYPERLINK("https://www.google.com/maps/search/Tasquinha%20da%20Linda%20Minho%20Portugal/@41.6905,-8.833,17z","🍷 Tasquinha da Linda")</f>
        <v>🍷 Tasquinha da Linda</v>
      </c>
    </row>
    <row r="29" spans="1:10" ht="110" customHeight="1" x14ac:dyDescent="0.35">
      <c r="A29" s="338">
        <v>25</v>
      </c>
      <c r="B29" s="239" t="s">
        <v>3821</v>
      </c>
      <c r="C29" s="240" t="s">
        <v>3822</v>
      </c>
      <c r="D29" s="239" t="s">
        <v>3812</v>
      </c>
      <c r="E29" s="239" t="s">
        <v>3823</v>
      </c>
      <c r="F29" s="241" t="str">
        <f>HYPERLINK("https://tripadvisor.pt/o-tabernao-viana","tripadvisor.pt/o-tabernao-viana")</f>
        <v>tripadvisor.pt/o-tabernao-viana</v>
      </c>
      <c r="G29" s="304" t="s">
        <v>3824</v>
      </c>
      <c r="H29" s="239" t="s">
        <v>3825</v>
      </c>
      <c r="I29" s="241"/>
      <c r="J29" s="257" t="str">
        <f>HYPERLINK("https://www.google.com/maps/search/O%20Tabern%C3%A3o%20Minho%20Portugal/@41.692,-8.825,17z","🍷 O Tabernão")</f>
        <v>🍷 O Tabernão</v>
      </c>
    </row>
    <row r="30" spans="1:10" ht="110" customHeight="1" x14ac:dyDescent="0.35">
      <c r="A30" s="336">
        <v>26</v>
      </c>
      <c r="B30" s="242" t="s">
        <v>3826</v>
      </c>
      <c r="C30" s="243" t="s">
        <v>3827</v>
      </c>
      <c r="D30" s="242" t="s">
        <v>3812</v>
      </c>
      <c r="E30" s="242" t="s">
        <v>3828</v>
      </c>
      <c r="F30" s="244" t="str">
        <f>HYPERLINK("https://tripadvisor.pt/tasquinha-portela-braga","tripadvisor.pt/tasquinha-portela-braga")</f>
        <v>tripadvisor.pt/tasquinha-portela-braga</v>
      </c>
      <c r="G30" s="305" t="s">
        <v>3829</v>
      </c>
      <c r="H30" s="242" t="s">
        <v>3830</v>
      </c>
      <c r="I30" s="244"/>
      <c r="J30" s="258" t="str">
        <f>HYPERLINK("https://www.google.com/maps/search/Tasquinha%20da%20Portela%20Minho%20Portugal/@41.5505,-8.422,17z","🍷 Tasquinha da Portela")</f>
        <v>🍷 Tasquinha da Portela</v>
      </c>
    </row>
    <row r="31" spans="1:10" ht="110" customHeight="1" x14ac:dyDescent="0.35">
      <c r="A31" s="338">
        <v>27</v>
      </c>
      <c r="B31" s="239" t="s">
        <v>3831</v>
      </c>
      <c r="C31" s="240" t="s">
        <v>3832</v>
      </c>
      <c r="D31" s="239" t="s">
        <v>3812</v>
      </c>
      <c r="E31" s="239" t="s">
        <v>3833</v>
      </c>
      <c r="F31" s="241" t="str">
        <f>HYPERLINK("https://tripadvisor.pt/taberna-migaitas-braga","tripadvisor.pt/taberna-migaitas-braga")</f>
        <v>tripadvisor.pt/taberna-migaitas-braga</v>
      </c>
      <c r="G31" s="304" t="s">
        <v>3834</v>
      </c>
      <c r="H31" s="239" t="s">
        <v>3835</v>
      </c>
      <c r="I31" s="241"/>
      <c r="J31" s="257" t="str">
        <f>HYPERLINK("https://www.google.com/maps/search/Taberna%20do%20Migaitas%20Minho%20Portugal/@41.5498,-8.4275,17z","🍷 Taberna do Migaitas")</f>
        <v>🍷 Taberna do Migaitas</v>
      </c>
    </row>
    <row r="32" spans="1:10" ht="110" customHeight="1" x14ac:dyDescent="0.35">
      <c r="A32" s="336">
        <v>28</v>
      </c>
      <c r="B32" s="242" t="s">
        <v>3836</v>
      </c>
      <c r="C32" s="243" t="s">
        <v>3837</v>
      </c>
      <c r="D32" s="242" t="s">
        <v>3812</v>
      </c>
      <c r="E32" s="242" t="s">
        <v>3838</v>
      </c>
      <c r="F32" s="242" t="str">
        <f>HYPERLINK("https://tabernabelga.pt","tabernabelga.pt")</f>
        <v>tabernabelga.pt</v>
      </c>
      <c r="G32" s="305" t="s">
        <v>3839</v>
      </c>
      <c r="H32" s="242" t="s">
        <v>3840</v>
      </c>
      <c r="I32" s="244"/>
      <c r="J32" s="258" t="str">
        <f>HYPERLINK("https://www.google.com/maps/search/Taberna%20Belga%20Minho%20Portugal/@41.542,-8.435,17z","🍷 Taberna Belga")</f>
        <v>🍷 Taberna Belga</v>
      </c>
    </row>
    <row r="33" spans="1:10" ht="110" customHeight="1" x14ac:dyDescent="0.35">
      <c r="A33" s="338">
        <v>29</v>
      </c>
      <c r="B33" s="239" t="s">
        <v>3841</v>
      </c>
      <c r="C33" s="240" t="s">
        <v>3842</v>
      </c>
      <c r="D33" s="239" t="s">
        <v>3812</v>
      </c>
      <c r="E33" s="239" t="s">
        <v>3843</v>
      </c>
      <c r="F33" s="239" t="str">
        <f>HYPERLINK("https://carvalheiras.pt","carvalheiras.pt")</f>
        <v>carvalheiras.pt</v>
      </c>
      <c r="G33" s="304" t="s">
        <v>3844</v>
      </c>
      <c r="H33" s="239" t="s">
        <v>3845</v>
      </c>
      <c r="I33" s="241"/>
      <c r="J33" s="257" t="str">
        <f>HYPERLINK("https://www.google.com/maps/search/Casa%20de%20Pasto%20das%20Carvalheiras%20Minho%20Portugal/@41.551,-8.424,17z","🍷 Casa de Pasto das Carvalhei…")</f>
        <v>🍷 Casa de Pasto das Carvalhei…</v>
      </c>
    </row>
    <row r="34" spans="1:10" ht="110" customHeight="1" x14ac:dyDescent="0.35">
      <c r="A34" s="336">
        <v>30</v>
      </c>
      <c r="B34" s="242" t="s">
        <v>3846</v>
      </c>
      <c r="C34" s="243" t="s">
        <v>3847</v>
      </c>
      <c r="D34" s="242" t="s">
        <v>3812</v>
      </c>
      <c r="E34" s="242" t="s">
        <v>3848</v>
      </c>
      <c r="F34" s="242" t="str">
        <f>HYPERLINK("https://pedrafurada.pt","pedrafurada.pt")</f>
        <v>pedrafurada.pt</v>
      </c>
      <c r="G34" s="305" t="s">
        <v>3849</v>
      </c>
      <c r="H34" s="242" t="s">
        <v>3850</v>
      </c>
      <c r="I34" s="244"/>
      <c r="J34" s="258" t="str">
        <f>HYPERLINK("https://www.google.com/maps/search/Restaurante%20Pedra%20Furada%20Minho%20Portugal/@41.518,-8.578,17z","🍷 Restaurante Pedra Furada")</f>
        <v>🍷 Restaurante Pedra Furada</v>
      </c>
    </row>
    <row r="35" spans="1:10" ht="110" customHeight="1" x14ac:dyDescent="0.35">
      <c r="A35" s="338">
        <v>31</v>
      </c>
      <c r="B35" s="239" t="s">
        <v>3851</v>
      </c>
      <c r="C35" s="240" t="s">
        <v>3852</v>
      </c>
      <c r="D35" s="239" t="s">
        <v>3812</v>
      </c>
      <c r="E35" s="239" t="s">
        <v>3853</v>
      </c>
      <c r="F35" s="241" t="str">
        <f>HYPERLINK("https://tripadvisor.pt/taberna-adro-ponte-lima","tripadvisor.pt/taberna-adro-ponte-lima")</f>
        <v>tripadvisor.pt/taberna-adro-ponte-lima</v>
      </c>
      <c r="G35" s="304" t="s">
        <v>3854</v>
      </c>
      <c r="H35" s="239" t="s">
        <v>3855</v>
      </c>
      <c r="I35" s="241"/>
      <c r="J35" s="257" t="str">
        <f>HYPERLINK("https://www.google.com/maps/search/Taberna%20do%20Adro%20Minho%20Portugal/@41.766,-8.584,17z","🍷 Taberna do Adro")</f>
        <v>🍷 Taberna do Adro</v>
      </c>
    </row>
    <row r="36" spans="1:10" ht="110" customHeight="1" x14ac:dyDescent="0.35">
      <c r="A36" s="336">
        <v>32</v>
      </c>
      <c r="B36" s="242" t="s">
        <v>3856</v>
      </c>
      <c r="C36" s="243" t="s">
        <v>3857</v>
      </c>
      <c r="D36" s="242" t="s">
        <v>3812</v>
      </c>
      <c r="E36" s="242" t="s">
        <v>3275</v>
      </c>
      <c r="F36" s="244" t="str">
        <f>HYPERLINK("https://tripadvisor.pt/tasca-fodinhas-ponte-lima","tripadvisor.pt/tasca-fodinhas-ponte-lima")</f>
        <v>tripadvisor.pt/tasca-fodinhas-ponte-lima</v>
      </c>
      <c r="G36" s="305" t="s">
        <v>3858</v>
      </c>
      <c r="H36" s="242" t="s">
        <v>3859</v>
      </c>
      <c r="I36" s="244"/>
      <c r="J36" s="258" t="str">
        <f>HYPERLINK("https://www.google.com/maps/search/Tasca%20das%20Fodinhas%20Minho%20Portugal/@41.768,-8.583,17z","🍷 Tasca das Fodinhas")</f>
        <v>🍷 Tasca das Fodinhas</v>
      </c>
    </row>
    <row r="37" spans="1:10" ht="110" customHeight="1" x14ac:dyDescent="0.35">
      <c r="A37" s="338">
        <v>33</v>
      </c>
      <c r="B37" s="239" t="s">
        <v>3860</v>
      </c>
      <c r="C37" s="240" t="s">
        <v>3861</v>
      </c>
      <c r="D37" s="239" t="s">
        <v>3812</v>
      </c>
      <c r="E37" s="239" t="s">
        <v>3862</v>
      </c>
      <c r="F37" s="241" t="str">
        <f>HYPERLINK("https://tripadvisor.pt/casa-expresso-guimaraes","tripadvisor.pt/casa-expresso-guimaraes")</f>
        <v>tripadvisor.pt/casa-expresso-guimaraes</v>
      </c>
      <c r="G37" s="304" t="s">
        <v>3863</v>
      </c>
      <c r="H37" s="239" t="s">
        <v>3864</v>
      </c>
      <c r="I37" s="241"/>
      <c r="J37" s="257" t="str">
        <f>HYPERLINK("https://www.google.com/maps/search/Casa%20Expresso%20Minho%20Portugal/@41.4425,-8.294,17z","🍷 Casa Expresso")</f>
        <v>🍷 Casa Expresso</v>
      </c>
    </row>
    <row r="38" spans="1:10" ht="110" customHeight="1" x14ac:dyDescent="0.35">
      <c r="A38" s="336">
        <v>34</v>
      </c>
      <c r="B38" s="242" t="s">
        <v>3865</v>
      </c>
      <c r="C38" s="243" t="s">
        <v>3866</v>
      </c>
      <c r="D38" s="242" t="s">
        <v>3812</v>
      </c>
      <c r="E38" s="242" t="s">
        <v>3867</v>
      </c>
      <c r="F38" s="244" t="str">
        <f>HYPERLINK("https://restaurantebuxa.pt","restaurantebuxa.pt")</f>
        <v>restaurantebuxa.pt</v>
      </c>
      <c r="G38" s="305" t="s">
        <v>3868</v>
      </c>
      <c r="H38" s="242" t="s">
        <v>3869</v>
      </c>
      <c r="I38" s="244"/>
      <c r="J38" s="258" t="str">
        <f>HYPERLINK("https://www.google.com/maps/search/Buxa%20Minho%20Portugal/@41.4428,-8.2945,17z","🍷 Buxa")</f>
        <v>🍷 Buxa</v>
      </c>
    </row>
    <row r="39" spans="1:10" ht="110" customHeight="1" x14ac:dyDescent="0.35">
      <c r="A39" s="338">
        <v>35</v>
      </c>
      <c r="B39" s="239" t="s">
        <v>3870</v>
      </c>
      <c r="C39" s="240" t="s">
        <v>3871</v>
      </c>
      <c r="D39" s="239" t="s">
        <v>3812</v>
      </c>
      <c r="E39" s="239" t="s">
        <v>3872</v>
      </c>
      <c r="F39" s="241" t="str">
        <f>HYPERLINK("https://tabernatrovador.pt","tabernatrovador.pt")</f>
        <v>tabernatrovador.pt</v>
      </c>
      <c r="G39" s="304" t="s">
        <v>3873</v>
      </c>
      <c r="H39" s="239" t="s">
        <v>3874</v>
      </c>
      <c r="I39" s="241"/>
      <c r="J39" s="257" t="str">
        <f>HYPERLINK("https://www.google.com/maps/search/Taberna%20Trovador%20Minho%20Portugal/@41.443,-8.2942,17z","🍷 Taberna Trovador")</f>
        <v>🍷 Taberna Trovador</v>
      </c>
    </row>
    <row r="40" spans="1:10" ht="110" customHeight="1" x14ac:dyDescent="0.35">
      <c r="A40" s="336">
        <v>36</v>
      </c>
      <c r="B40" s="242" t="s">
        <v>3875</v>
      </c>
      <c r="C40" s="243" t="s">
        <v>3876</v>
      </c>
      <c r="D40" s="242" t="s">
        <v>3812</v>
      </c>
      <c r="E40" s="242" t="s">
        <v>3877</v>
      </c>
      <c r="F40" s="244" t="str">
        <f>HYPERLINK("https://tripadvisor.pt/adega-testas-vfxira","tripadvisor.pt/adega-testas-vfxira")</f>
        <v>tripadvisor.pt/adega-testas-vfxira</v>
      </c>
      <c r="G40" s="305" t="s">
        <v>3878</v>
      </c>
      <c r="H40" s="242" t="s">
        <v>3879</v>
      </c>
      <c r="I40" s="244"/>
      <c r="J40" s="258" t="str">
        <f>HYPERLINK("https://www.google.com/maps/search/Adega%20do%20Testas%20Minho%20Portugal/@41.353,-8.742,17z","🍷 Adega do Testas")</f>
        <v>🍷 Adega do Testas</v>
      </c>
    </row>
    <row r="41" spans="1:10" ht="110" customHeight="1" x14ac:dyDescent="0.35">
      <c r="A41" s="338">
        <v>37</v>
      </c>
      <c r="B41" s="239" t="s">
        <v>3880</v>
      </c>
      <c r="C41" s="240" t="s">
        <v>3881</v>
      </c>
      <c r="D41" s="239" t="s">
        <v>3812</v>
      </c>
      <c r="E41" s="239" t="s">
        <v>3882</v>
      </c>
      <c r="F41" s="241" t="str">
        <f>HYPERLINK("https://tripadvisor.pt/adega-vila-viana","tripadvisor.pt/adega-vila-viana")</f>
        <v>tripadvisor.pt/adega-vila-viana</v>
      </c>
      <c r="G41" s="304" t="s">
        <v>3883</v>
      </c>
      <c r="H41" s="239" t="s">
        <v>3884</v>
      </c>
      <c r="I41" s="241"/>
      <c r="J41" s="257" t="str">
        <f>HYPERLINK("https://www.google.com/maps/search/Adega%20da%20Vila%20Minho%20Portugal/@41.3515,-8.743,17z","🍷 Adega da Vila")</f>
        <v>🍷 Adega da Vila</v>
      </c>
    </row>
    <row r="42" spans="1:10" ht="110" customHeight="1" x14ac:dyDescent="0.35">
      <c r="A42" s="336">
        <v>38</v>
      </c>
      <c r="B42" s="242" t="s">
        <v>3885</v>
      </c>
      <c r="C42" s="243" t="s">
        <v>3886</v>
      </c>
      <c r="D42" s="242" t="s">
        <v>3812</v>
      </c>
      <c r="E42" s="242" t="s">
        <v>3887</v>
      </c>
      <c r="F42" s="244" t="str">
        <f>HYPERLINK("https://tripadvisor.pt/o-lagar-guimaraes","tripadvisor.pt/o-lagar-guimaraes")</f>
        <v>tripadvisor.pt/o-lagar-guimaraes</v>
      </c>
      <c r="G42" s="305" t="s">
        <v>3888</v>
      </c>
      <c r="H42" s="242" t="s">
        <v>3889</v>
      </c>
      <c r="I42" s="244"/>
      <c r="J42" s="258" t="str">
        <f>HYPERLINK("https://www.google.com/maps/search/O%20Lagar%20Minho%20Portugal/@41.631,-8.373,17z","🍷 O Lagar")</f>
        <v>🍷 O Lagar</v>
      </c>
    </row>
    <row r="43" spans="1:10" ht="110" customHeight="1" x14ac:dyDescent="0.35">
      <c r="A43" s="338">
        <v>39</v>
      </c>
      <c r="B43" s="239" t="s">
        <v>3890</v>
      </c>
      <c r="C43" s="240" t="s">
        <v>3891</v>
      </c>
      <c r="D43" s="239" t="s">
        <v>3812</v>
      </c>
      <c r="E43" s="239" t="s">
        <v>3290</v>
      </c>
      <c r="F43" s="241" t="str">
        <f>HYPERLINK("https://tripadvisor.pt/cacana-caminha","tripadvisor.pt/cacana-caminha")</f>
        <v>tripadvisor.pt/cacana-caminha</v>
      </c>
      <c r="G43" s="304" t="s">
        <v>3892</v>
      </c>
      <c r="H43" s="239" t="s">
        <v>3893</v>
      </c>
      <c r="I43" s="241"/>
      <c r="J43" s="257" t="str">
        <f>HYPERLINK("https://www.google.com/maps/search/Restaurante%20Ca%C3%A7ana%20Minho%20Portugal/@41.846,-8.418,17z","🍷 Restaurante Caçana")</f>
        <v>🍷 Restaurante Caçana</v>
      </c>
    </row>
    <row r="44" spans="1:10" ht="110" customHeight="1" x14ac:dyDescent="0.35">
      <c r="A44" s="336">
        <v>40</v>
      </c>
      <c r="B44" s="242" t="s">
        <v>3894</v>
      </c>
      <c r="C44" s="243" t="s">
        <v>3895</v>
      </c>
      <c r="D44" s="242" t="s">
        <v>3812</v>
      </c>
      <c r="E44" s="242" t="s">
        <v>3896</v>
      </c>
      <c r="F44" s="244" t="str">
        <f>HYPERLINK("https://tripadvisor.pt/adega-sossego-melgaco","tripadvisor.pt/adega-sossego-melgaco")</f>
        <v>tripadvisor.pt/adega-sossego-melgaco</v>
      </c>
      <c r="G44" s="305" t="s">
        <v>3897</v>
      </c>
      <c r="H44" s="242" t="s">
        <v>3898</v>
      </c>
      <c r="I44" s="244"/>
      <c r="J44" s="258" t="str">
        <f>HYPERLINK("https://www.google.com/maps/search/Adega%20do%20Sossego%20Minho%20Portugal/@42.0664,-8.4552,17z","🍷 Adega do Sossego")</f>
        <v>🍷 Adega do Sossego</v>
      </c>
    </row>
    <row r="45" spans="1:10" ht="110" customHeight="1" x14ac:dyDescent="0.35">
      <c r="A45" s="338">
        <v>41</v>
      </c>
      <c r="B45" s="239" t="s">
        <v>3899</v>
      </c>
      <c r="C45" s="240" t="s">
        <v>3900</v>
      </c>
      <c r="D45" s="239" t="s">
        <v>3812</v>
      </c>
      <c r="E45" s="239" t="s">
        <v>3901</v>
      </c>
      <c r="F45" s="241" t="str">
        <f>HYPERLINK("https://tripadvisor.pt/adega-valentim-viana","tripadvisor.pt/adega-valentim-viana")</f>
        <v>tripadvisor.pt/adega-valentim-viana</v>
      </c>
      <c r="G45" s="304" t="s">
        <v>3902</v>
      </c>
      <c r="H45" s="239" t="s">
        <v>3903</v>
      </c>
      <c r="I45" s="241"/>
      <c r="J45" s="257" t="str">
        <f>HYPERLINK("https://www.google.com/maps/search/Adega%20do%20Valentim%20Minho%20Portugal/@41.6922,-8.8351,17z","🍷 Adega do Valentim")</f>
        <v>🍷 Adega do Valentim</v>
      </c>
    </row>
    <row r="46" spans="1:10" ht="110" customHeight="1" x14ac:dyDescent="0.35">
      <c r="A46" s="336">
        <v>42</v>
      </c>
      <c r="B46" s="242" t="s">
        <v>3904</v>
      </c>
      <c r="C46" s="243" t="s">
        <v>3905</v>
      </c>
      <c r="D46" s="242" t="s">
        <v>3812</v>
      </c>
      <c r="E46" s="242" t="s">
        <v>3290</v>
      </c>
      <c r="F46" s="244" t="str">
        <f>HYPERLINK("https://tripadvisor.pt/adega-regional-caminha","tripadvisor.pt/adega-regional-caminha")</f>
        <v>tripadvisor.pt/adega-regional-caminha</v>
      </c>
      <c r="G46" s="305" t="s">
        <v>3892</v>
      </c>
      <c r="H46" s="242" t="s">
        <v>3906</v>
      </c>
      <c r="I46" s="244"/>
      <c r="J46" s="258" t="str">
        <f>HYPERLINK("https://www.google.com/maps/search/Adega%20do%20Regional%20Minho%20Portugal/@41.8465,-8.4185,17z","🍷 Adega do Regional")</f>
        <v>🍷 Adega do Regional</v>
      </c>
    </row>
    <row r="47" spans="1:10" ht="110" customHeight="1" x14ac:dyDescent="0.35">
      <c r="A47" s="338">
        <v>43</v>
      </c>
      <c r="B47" s="239" t="s">
        <v>3907</v>
      </c>
      <c r="C47" s="240" t="s">
        <v>3908</v>
      </c>
      <c r="D47" s="239" t="s">
        <v>3812</v>
      </c>
      <c r="E47" s="239" t="s">
        <v>3909</v>
      </c>
      <c r="F47" s="241" t="str">
        <f>HYPERLINK("https://tripadvisor.pt/tasca-aderito-monção","tripadvisor.pt/tasca-aderito-monção")</f>
        <v>tripadvisor.pt/tasca-aderito-monção</v>
      </c>
      <c r="G47" s="304" t="s">
        <v>3910</v>
      </c>
      <c r="H47" s="239" t="s">
        <v>3911</v>
      </c>
      <c r="I47" s="241"/>
      <c r="J47" s="257" t="str">
        <f>HYPERLINK("https://www.google.com/maps/search/Tasca%20do%20Ad%C3%A9rito%20Minho%20Portugal/@42.091,-8.274,17z","🍷 Tasca do Adérito")</f>
        <v>🍷 Tasca do Adérito</v>
      </c>
    </row>
    <row r="48" spans="1:10" ht="110" customHeight="1" x14ac:dyDescent="0.35">
      <c r="A48" s="336">
        <v>44</v>
      </c>
      <c r="B48" s="242" t="s">
        <v>3912</v>
      </c>
      <c r="C48" s="243" t="s">
        <v>3913</v>
      </c>
      <c r="D48" s="242" t="s">
        <v>3812</v>
      </c>
      <c r="E48" s="242" t="s">
        <v>3914</v>
      </c>
      <c r="F48" s="244" t="str">
        <f>HYPERLINK("https://tripadvisor.pt/adega-canastro-paredes","tripadvisor.pt/adega-canastro-paredes")</f>
        <v>tripadvisor.pt/adega-canastro-paredes</v>
      </c>
      <c r="G48" s="305" t="s">
        <v>3915</v>
      </c>
      <c r="H48" s="242" t="s">
        <v>3916</v>
      </c>
      <c r="I48" s="244"/>
      <c r="J48" s="258" t="str">
        <f>HYPERLINK("https://www.google.com/maps/search/Adega%20do%20Canastro%20Minho%20Portugal/@41.942,-8.745,17z","🍷 Adega do Canastro")</f>
        <v>🍷 Adega do Canastro</v>
      </c>
    </row>
    <row r="49" spans="1:10" ht="110" customHeight="1" x14ac:dyDescent="0.35">
      <c r="A49" s="338">
        <v>45</v>
      </c>
      <c r="B49" s="239" t="s">
        <v>3917</v>
      </c>
      <c r="C49" s="240" t="s">
        <v>3918</v>
      </c>
      <c r="D49" s="239" t="s">
        <v>3812</v>
      </c>
      <c r="E49" s="239" t="s">
        <v>3919</v>
      </c>
      <c r="F49" s="241" t="str">
        <f>HYPERLINK("https://tripadvisor.pt/o-tasco-viana","tripadvisor.pt/o-tasco-viana")</f>
        <v>tripadvisor.pt/o-tasco-viana</v>
      </c>
      <c r="G49" s="304" t="s">
        <v>3920</v>
      </c>
      <c r="H49" s="239" t="s">
        <v>3921</v>
      </c>
      <c r="I49" s="241"/>
      <c r="J49" s="257" t="str">
        <f>HYPERLINK("https://www.google.com/maps/search/O%20Tasco%20Minho%20Portugal/@41.8765,-8.834,17z","🍷 O Tasco")</f>
        <v>🍷 O Tasco</v>
      </c>
    </row>
    <row r="50" spans="1:10" ht="110" customHeight="1" x14ac:dyDescent="0.35">
      <c r="A50" s="336">
        <v>46</v>
      </c>
      <c r="B50" s="242" t="s">
        <v>3922</v>
      </c>
      <c r="C50" s="243" t="s">
        <v>3923</v>
      </c>
      <c r="D50" s="242" t="s">
        <v>3812</v>
      </c>
      <c r="E50" s="242" t="s">
        <v>3924</v>
      </c>
      <c r="F50" s="244" t="str">
        <f>HYPERLINK("https://tripadvisor.pt/tasquinha-fugitivo-braga","tripadvisor.pt/tasquinha-fugitivo-braga")</f>
        <v>tripadvisor.pt/tasquinha-fugitivo-braga</v>
      </c>
      <c r="G50" s="305" t="s">
        <v>3925</v>
      </c>
      <c r="H50" s="242" t="s">
        <v>3926</v>
      </c>
      <c r="I50" s="244"/>
      <c r="J50" s="258" t="str">
        <f>HYPERLINK("https://www.google.com/maps/search/Tasquinha%20do%20Fugitivo%20Minho%20Portugal/@41.5512,-8.4168,17z","🍷 Tasquinha do Fugitivo")</f>
        <v>🍷 Tasquinha do Fugitivo</v>
      </c>
    </row>
    <row r="51" spans="1:10" ht="110" customHeight="1" x14ac:dyDescent="0.35">
      <c r="A51" s="338">
        <v>47</v>
      </c>
      <c r="B51" s="239" t="s">
        <v>3927</v>
      </c>
      <c r="C51" s="240" t="s">
        <v>3928</v>
      </c>
      <c r="D51" s="239" t="s">
        <v>3812</v>
      </c>
      <c r="E51" s="239" t="s">
        <v>3929</v>
      </c>
      <c r="F51" s="241" t="str">
        <f>HYPERLINK("https://tripadvisor.pt/taberna-manuela-guimaraes","tripadvisor.pt/taberna-manuela-guimaraes")</f>
        <v>tripadvisor.pt/taberna-manuela-guimaraes</v>
      </c>
      <c r="G51" s="304" t="s">
        <v>3930</v>
      </c>
      <c r="H51" s="239" t="s">
        <v>3931</v>
      </c>
      <c r="I51" s="241"/>
      <c r="J51" s="257" t="str">
        <f>HYPERLINK("https://www.google.com/maps/search/Taberna%20da%20Manuela%20Minho%20Portugal/@41.603,-8.435,17z","🍷 Taberna da Manuela")</f>
        <v>🍷 Taberna da Manuela</v>
      </c>
    </row>
    <row r="52" spans="1:10" ht="110" customHeight="1" x14ac:dyDescent="0.35">
      <c r="A52" s="336">
        <v>48</v>
      </c>
      <c r="B52" s="242" t="s">
        <v>3932</v>
      </c>
      <c r="C52" s="243" t="s">
        <v>3933</v>
      </c>
      <c r="D52" s="242" t="s">
        <v>3812</v>
      </c>
      <c r="E52" s="242" t="s">
        <v>3934</v>
      </c>
      <c r="F52" s="244" t="str">
        <f>HYPERLINK("https://tripadvisor.pt/adega-cantor-barcelos","tripadvisor.pt/adega-cantor-barcelos")</f>
        <v>tripadvisor.pt/adega-cantor-barcelos</v>
      </c>
      <c r="G52" s="305" t="s">
        <v>3935</v>
      </c>
      <c r="H52" s="242" t="s">
        <v>3936</v>
      </c>
      <c r="I52" s="244"/>
      <c r="J52" s="258" t="str">
        <f>HYPERLINK("https://www.google.com/maps/search/Adega%20do%20Cantor%20Minho%20Portugal/@41.7682,-8.5832,17z","🍷 Adega do Cantor")</f>
        <v>🍷 Adega do Cantor</v>
      </c>
    </row>
    <row r="53" spans="1:10" ht="110" customHeight="1" x14ac:dyDescent="0.35">
      <c r="A53" s="338">
        <v>49</v>
      </c>
      <c r="B53" s="239" t="s">
        <v>3937</v>
      </c>
      <c r="C53" s="240" t="s">
        <v>3938</v>
      </c>
      <c r="D53" s="239" t="s">
        <v>3812</v>
      </c>
      <c r="E53" s="239" t="s">
        <v>3939</v>
      </c>
      <c r="F53" s="241" t="str">
        <f>HYPERLINK("https://tripadvisor.pt/taberna-ferreiro-guimaraes","tripadvisor.pt/taberna-ferreiro-guimaraes")</f>
        <v>tripadvisor.pt/taberna-ferreiro-guimaraes</v>
      </c>
      <c r="G53" s="304" t="s">
        <v>3940</v>
      </c>
      <c r="H53" s="239" t="s">
        <v>3941</v>
      </c>
      <c r="I53" s="241"/>
      <c r="J53" s="257" t="str">
        <f>HYPERLINK("https://www.google.com/maps/search/Taberna%20do%20Ferreiro%20Minho%20Portugal/@41.4428,-8.2935,17z","🍷 Taberna do Ferreiro")</f>
        <v>🍷 Taberna do Ferreiro</v>
      </c>
    </row>
    <row r="54" spans="1:10" ht="110" customHeight="1" x14ac:dyDescent="0.35">
      <c r="A54" s="336">
        <v>50</v>
      </c>
      <c r="B54" s="242" t="s">
        <v>3942</v>
      </c>
      <c r="C54" s="243" t="s">
        <v>3943</v>
      </c>
      <c r="D54" s="242" t="s">
        <v>3812</v>
      </c>
      <c r="E54" s="242" t="s">
        <v>3128</v>
      </c>
      <c r="F54" s="244" t="str">
        <f>HYPERLINK("https://tripadvisor.pt/casa-gurita-caminha","tripadvisor.pt/casa-gurita-caminha")</f>
        <v>tripadvisor.pt/casa-gurita-caminha</v>
      </c>
      <c r="G54" s="305" t="s">
        <v>3944</v>
      </c>
      <c r="H54" s="242" t="s">
        <v>3945</v>
      </c>
      <c r="I54" s="244"/>
      <c r="J54" s="258" t="str">
        <f>HYPERLINK("https://www.google.com/maps/search/Casa%20da%20Gurita%20Minho%20Portugal/@41.745,-8.878,17z","🍷 Casa da Gurita")</f>
        <v>🍷 Casa da Gurita</v>
      </c>
    </row>
    <row r="55" spans="1:10" ht="110" customHeight="1" x14ac:dyDescent="0.35">
      <c r="A55" s="338">
        <v>51</v>
      </c>
      <c r="B55" s="239" t="s">
        <v>3946</v>
      </c>
      <c r="C55" s="240" t="s">
        <v>3947</v>
      </c>
      <c r="D55" s="239" t="s">
        <v>3948</v>
      </c>
      <c r="E55" s="239" t="s">
        <v>3949</v>
      </c>
      <c r="F55" s="241" t="str">
        <f>HYPERLINK("https://tripadvisor.pt/adega-torgal-sabrosa","tripadvisor.pt/adega-torgal-sabrosa")</f>
        <v>tripadvisor.pt/adega-torgal-sabrosa</v>
      </c>
      <c r="G55" s="304" t="s">
        <v>3950</v>
      </c>
      <c r="H55" s="239" t="s">
        <v>3951</v>
      </c>
      <c r="I55" s="241"/>
      <c r="J55" s="257" t="str">
        <f>HYPERLINK("https://www.google.com/maps/search/Adega%20T%C3%ADpica%20O%20Torgal%20Douro%20Portugal/@41.301,-7.743,17z","🍷 Adega Típica O Torgal")</f>
        <v>🍷 Adega Típica O Torgal</v>
      </c>
    </row>
    <row r="56" spans="1:10" ht="110" customHeight="1" x14ac:dyDescent="0.35">
      <c r="A56" s="336">
        <v>52</v>
      </c>
      <c r="B56" s="242" t="s">
        <v>3952</v>
      </c>
      <c r="C56" s="243" t="s">
        <v>3953</v>
      </c>
      <c r="D56" s="242" t="s">
        <v>3948</v>
      </c>
      <c r="E56" s="242" t="s">
        <v>3954</v>
      </c>
      <c r="F56" s="244" t="str">
        <f>HYPERLINK("https://tripadvisor.pt/cardoso-sabrosa","tripadvisor.pt/cardoso-sabrosa")</f>
        <v>tripadvisor.pt/cardoso-sabrosa</v>
      </c>
      <c r="G56" s="305" t="s">
        <v>3955</v>
      </c>
      <c r="H56" s="242" t="s">
        <v>3956</v>
      </c>
      <c r="I56" s="244"/>
      <c r="J56" s="258" t="str">
        <f>HYPERLINK("https://www.google.com/maps/search/Cardoso%20Douro%20Portugal/@41.296,-7.746,17z","🍷 Cardoso")</f>
        <v>🍷 Cardoso</v>
      </c>
    </row>
    <row r="57" spans="1:10" ht="110" customHeight="1" x14ac:dyDescent="0.35">
      <c r="A57" s="338">
        <v>53</v>
      </c>
      <c r="B57" s="239" t="s">
        <v>3957</v>
      </c>
      <c r="C57" s="240" t="s">
        <v>3958</v>
      </c>
      <c r="D57" s="239" t="s">
        <v>3948</v>
      </c>
      <c r="E57" s="239" t="s">
        <v>3959</v>
      </c>
      <c r="F57" s="239" t="str">
        <f>HYPERLINK("https://chaxoila.com","chaxoila.com")</f>
        <v>chaxoila.com</v>
      </c>
      <c r="G57" s="304" t="s">
        <v>3960</v>
      </c>
      <c r="H57" s="239" t="s">
        <v>3961</v>
      </c>
      <c r="I57" s="241"/>
      <c r="J57" s="257" t="str">
        <f>HYPERLINK("https://www.google.com/maps/search/Chaxoila%20Douro%20Portugal/@41.278,-7.736,17z","🍷 Chaxoila")</f>
        <v>🍷 Chaxoila</v>
      </c>
    </row>
    <row r="58" spans="1:10" ht="110" customHeight="1" x14ac:dyDescent="0.35">
      <c r="A58" s="336">
        <v>54</v>
      </c>
      <c r="B58" s="242" t="s">
        <v>3962</v>
      </c>
      <c r="C58" s="243" t="s">
        <v>3963</v>
      </c>
      <c r="D58" s="242" t="s">
        <v>3948</v>
      </c>
      <c r="E58" s="242" t="s">
        <v>3964</v>
      </c>
      <c r="F58" s="244" t="str">
        <f>HYPERLINK("https://tripadvisor.pt/taberna-jeco-lamego","tripadvisor.pt/taberna-jeco-lamego")</f>
        <v>tripadvisor.pt/taberna-jeco-lamego</v>
      </c>
      <c r="G58" s="305" t="s">
        <v>3965</v>
      </c>
      <c r="H58" s="242" t="s">
        <v>3966</v>
      </c>
      <c r="I58" s="244"/>
      <c r="J58" s="258" t="str">
        <f>HYPERLINK("https://www.google.com/maps/search/Taberna%20do%20Jeco%20Douro%20Portugal/@41.16,-7.894,17z","🍷 Taberna do Jeco")</f>
        <v>🍷 Taberna do Jeco</v>
      </c>
    </row>
    <row r="59" spans="1:10" ht="110" customHeight="1" x14ac:dyDescent="0.35">
      <c r="A59" s="338">
        <v>55</v>
      </c>
      <c r="B59" s="239" t="s">
        <v>3967</v>
      </c>
      <c r="C59" s="240" t="s">
        <v>3968</v>
      </c>
      <c r="D59" s="239" t="s">
        <v>3948</v>
      </c>
      <c r="E59" s="239" t="s">
        <v>3969</v>
      </c>
      <c r="F59" s="241" t="str">
        <f>HYPERLINK("https://tripadvisor.pt/toca-raposa-lamego","tripadvisor.pt/toca-raposa-lamego")</f>
        <v>tripadvisor.pt/toca-raposa-lamego</v>
      </c>
      <c r="G59" s="304" t="s">
        <v>3970</v>
      </c>
      <c r="H59" s="239" t="s">
        <v>3971</v>
      </c>
      <c r="I59" s="241"/>
      <c r="J59" s="257" t="str">
        <f>HYPERLINK("https://www.google.com/maps/search/Toca%20da%20Raposa%20Douro%20Portugal/@41.166,-7.494,17z","🍷 Toca da Raposa")</f>
        <v>🍷 Toca da Raposa</v>
      </c>
    </row>
    <row r="60" spans="1:10" ht="110" customHeight="1" x14ac:dyDescent="0.35">
      <c r="A60" s="336">
        <v>56</v>
      </c>
      <c r="B60" s="242" t="s">
        <v>3972</v>
      </c>
      <c r="C60" s="243" t="s">
        <v>3973</v>
      </c>
      <c r="D60" s="242" t="s">
        <v>3948</v>
      </c>
      <c r="E60" s="242" t="s">
        <v>3974</v>
      </c>
      <c r="F60" s="244" t="str">
        <f>HYPERLINK("https://tripadvisor.pt/tasca-quinta-tarouca","tripadvisor.pt/tasca-quinta-tarouca")</f>
        <v>tripadvisor.pt/tasca-quinta-tarouca</v>
      </c>
      <c r="G60" s="305" t="s">
        <v>3975</v>
      </c>
      <c r="H60" s="242" t="s">
        <v>3976</v>
      </c>
      <c r="I60" s="244"/>
      <c r="J60" s="258" t="str">
        <f>HYPERLINK("https://www.google.com/maps/search/Tasca%20da%20Quinta%20Douro%20Portugal/@41.163,-7.787,17z","🍷 Tasca da Quinta")</f>
        <v>🍷 Tasca da Quinta</v>
      </c>
    </row>
    <row r="61" spans="1:10" ht="110" customHeight="1" x14ac:dyDescent="0.35">
      <c r="A61" s="338">
        <v>57</v>
      </c>
      <c r="B61" s="239" t="s">
        <v>3977</v>
      </c>
      <c r="C61" s="240" t="s">
        <v>3978</v>
      </c>
      <c r="D61" s="239" t="s">
        <v>3948</v>
      </c>
      <c r="E61" s="239" t="s">
        <v>3979</v>
      </c>
      <c r="F61" s="239" t="str">
        <f>HYPERLINK("https://caisda villa.pt","caisda villa.pt")</f>
        <v>caisda villa.pt</v>
      </c>
      <c r="G61" s="304" t="s">
        <v>3980</v>
      </c>
      <c r="H61" s="239" t="s">
        <v>3981</v>
      </c>
      <c r="I61" s="241"/>
      <c r="J61" s="257" t="str">
        <f>HYPERLINK("https://www.google.com/maps/search/Cais%20da%20Villa%20Douro%20Portugal/@41.158,-7.79,17z","🍷 Cais da Villa")</f>
        <v>🍷 Cais da Villa</v>
      </c>
    </row>
    <row r="62" spans="1:10" ht="110" customHeight="1" x14ac:dyDescent="0.35">
      <c r="A62" s="336">
        <v>58</v>
      </c>
      <c r="B62" s="242" t="s">
        <v>3982</v>
      </c>
      <c r="C62" s="243" t="s">
        <v>3983</v>
      </c>
      <c r="D62" s="242" t="s">
        <v>3948</v>
      </c>
      <c r="E62" s="242" t="s">
        <v>3984</v>
      </c>
      <c r="F62" s="244" t="str">
        <f>HYPERLINK("https://solarbragancano.com","solarbragancano.com")</f>
        <v>solarbragancano.com</v>
      </c>
      <c r="G62" s="305" t="s">
        <v>3985</v>
      </c>
      <c r="H62" s="242" t="s">
        <v>3986</v>
      </c>
      <c r="I62" s="244"/>
      <c r="J62" s="258" t="str">
        <f>HYPERLINK("https://www.google.com/maps/search/Solar%20Bragan%C3%A7ano%20Douro%20Portugal/@41.806,-6.758,17z","🍷 Solar Bragançano")</f>
        <v>🍷 Solar Bragançano</v>
      </c>
    </row>
    <row r="63" spans="1:10" ht="110" customHeight="1" x14ac:dyDescent="0.35">
      <c r="A63" s="338">
        <v>59</v>
      </c>
      <c r="B63" s="239" t="s">
        <v>3987</v>
      </c>
      <c r="C63" s="240" t="s">
        <v>3988</v>
      </c>
      <c r="D63" s="239" t="s">
        <v>3948</v>
      </c>
      <c r="E63" s="239" t="s">
        <v>3767</v>
      </c>
      <c r="F63" s="241" t="str">
        <f>HYPERLINK("https://tripadvisor.pt/o-abel-braganca","tripadvisor.pt/o-abel-braganca")</f>
        <v>tripadvisor.pt/o-abel-braganca</v>
      </c>
      <c r="G63" s="304" t="s">
        <v>3989</v>
      </c>
      <c r="H63" s="239" t="s">
        <v>3990</v>
      </c>
      <c r="I63" s="241"/>
      <c r="J63" s="257" t="str">
        <f>HYPERLINK("https://www.google.com/maps/search/O%20Abel%20Douro%20Portugal/@41.799,-6.703,17z","🍷 O Abel")</f>
        <v>🍷 O Abel</v>
      </c>
    </row>
    <row r="64" spans="1:10" ht="110" customHeight="1" x14ac:dyDescent="0.35">
      <c r="A64" s="336">
        <v>60</v>
      </c>
      <c r="B64" s="242" t="s">
        <v>3991</v>
      </c>
      <c r="C64" s="243" t="s">
        <v>3992</v>
      </c>
      <c r="D64" s="242" t="s">
        <v>3948</v>
      </c>
      <c r="E64" s="242" t="s">
        <v>3993</v>
      </c>
      <c r="F64" s="244" t="str">
        <f>HYPERLINK("https://tripadvisor.pt/o-maria-sabrosa","tripadvisor.pt/o-maria-sabrosa")</f>
        <v>tripadvisor.pt/o-maria-sabrosa</v>
      </c>
      <c r="G64" s="305" t="s">
        <v>3994</v>
      </c>
      <c r="H64" s="242" t="s">
        <v>3951</v>
      </c>
      <c r="I64" s="244"/>
      <c r="J64" s="258" t="str">
        <f>HYPERLINK("https://www.google.com/maps/search/O%20Maria%20Douro%20Portugal/@41.298,-7.745,17z","🍷 O Maria")</f>
        <v>🍷 O Maria</v>
      </c>
    </row>
    <row r="65" spans="1:10" ht="110" customHeight="1" x14ac:dyDescent="0.35">
      <c r="A65" s="338">
        <v>61</v>
      </c>
      <c r="B65" s="239" t="s">
        <v>3995</v>
      </c>
      <c r="C65" s="240" t="s">
        <v>3996</v>
      </c>
      <c r="D65" s="239" t="s">
        <v>3948</v>
      </c>
      <c r="E65" s="239" t="s">
        <v>3997</v>
      </c>
      <c r="F65" s="241" t="str">
        <f>HYPERLINK("https://tripadvisor.pt/bem-me-quer-mogadouro","tripadvisor.pt/bem-me-quer-mogadouro")</f>
        <v>tripadvisor.pt/bem-me-quer-mogadouro</v>
      </c>
      <c r="G65" s="304" t="s">
        <v>3998</v>
      </c>
      <c r="H65" s="239" t="s">
        <v>3999</v>
      </c>
      <c r="I65" s="241"/>
      <c r="J65" s="257" t="str">
        <f>HYPERLINK("https://www.google.com/maps/search/Restaurante%20Bem-Me-Quer%20Douro%20Portugal/@41.485,-7.184,17z","🍷 Restaurante Bem-Me-Quer")</f>
        <v>🍷 Restaurante Bem-Me-Quer</v>
      </c>
    </row>
    <row r="66" spans="1:10" ht="110" customHeight="1" x14ac:dyDescent="0.35">
      <c r="A66" s="336">
        <v>62</v>
      </c>
      <c r="B66" s="242" t="s">
        <v>4000</v>
      </c>
      <c r="C66" s="243" t="s">
        <v>4001</v>
      </c>
      <c r="D66" s="242" t="s">
        <v>3948</v>
      </c>
      <c r="E66" s="242" t="s">
        <v>4002</v>
      </c>
      <c r="F66" s="244" t="str">
        <f>HYPERLINK("https://tripadvisor.pt/tasca-ze-tuga-braganca","tripadvisor.pt/tasca-ze-tuga-braganca")</f>
        <v>tripadvisor.pt/tasca-ze-tuga-braganca</v>
      </c>
      <c r="G66" s="305" t="s">
        <v>4003</v>
      </c>
      <c r="H66" s="242" t="s">
        <v>4004</v>
      </c>
      <c r="I66" s="244"/>
      <c r="J66" s="258" t="str">
        <f>HYPERLINK("https://www.google.com/maps/search/Tasca%20do%20Z%C3%A9%20Tuga%20Douro%20Portugal/@41.8035,-6.7495,17z","🍷 Tasca do Zé Tuga")</f>
        <v>🍷 Tasca do Zé Tuga</v>
      </c>
    </row>
    <row r="67" spans="1:10" ht="110" customHeight="1" x14ac:dyDescent="0.35">
      <c r="A67" s="338">
        <v>63</v>
      </c>
      <c r="B67" s="239" t="s">
        <v>4005</v>
      </c>
      <c r="C67" s="240" t="s">
        <v>4006</v>
      </c>
      <c r="D67" s="239" t="s">
        <v>3948</v>
      </c>
      <c r="E67" s="239" t="s">
        <v>4007</v>
      </c>
      <c r="F67" s="241" t="str">
        <f>HYPERLINK("https://tripadvisor.pt/adega-isaltino-sabrosa","tripadvisor.pt/adega-isaltino-sabrosa")</f>
        <v>tripadvisor.pt/adega-isaltino-sabrosa</v>
      </c>
      <c r="G67" s="304" t="s">
        <v>4008</v>
      </c>
      <c r="H67" s="239" t="s">
        <v>4009</v>
      </c>
      <c r="I67" s="241"/>
      <c r="J67" s="257" t="str">
        <f>HYPERLINK("https://www.google.com/maps/search/Adega%20do%20Isaltino%20Douro%20Portugal/@41.2982,-7.741,17z","🍷 Adega do Isaltino")</f>
        <v>🍷 Adega do Isaltino</v>
      </c>
    </row>
    <row r="68" spans="1:10" ht="110" customHeight="1" x14ac:dyDescent="0.35">
      <c r="A68" s="336">
        <v>64</v>
      </c>
      <c r="B68" s="242" t="s">
        <v>4010</v>
      </c>
      <c r="C68" s="243" t="s">
        <v>4011</v>
      </c>
      <c r="D68" s="242" t="s">
        <v>3948</v>
      </c>
      <c r="E68" s="242" t="s">
        <v>4012</v>
      </c>
      <c r="F68" s="244" t="str">
        <f>HYPERLINK("https://tripadvisor.pt/o-abocanhado-guimaraes","tripadvisor.pt/o-abocanhado-guimaraes")</f>
        <v>tripadvisor.pt/o-abocanhado-guimaraes</v>
      </c>
      <c r="G68" s="305" t="s">
        <v>4013</v>
      </c>
      <c r="H68" s="242" t="s">
        <v>4014</v>
      </c>
      <c r="I68" s="244"/>
      <c r="J68" s="258" t="str">
        <f>HYPERLINK("https://www.google.com/maps/search/O%20Abocanhado%20Douro%20Portugal/@41.769,-8.211,17z","🍷 O Abocanhado")</f>
        <v>🍷 O Abocanhado</v>
      </c>
    </row>
    <row r="69" spans="1:10" ht="110" customHeight="1" x14ac:dyDescent="0.35">
      <c r="A69" s="338">
        <v>65</v>
      </c>
      <c r="B69" s="239" t="s">
        <v>4015</v>
      </c>
      <c r="C69" s="240" t="s">
        <v>4016</v>
      </c>
      <c r="D69" s="239" t="s">
        <v>3948</v>
      </c>
      <c r="E69" s="239" t="s">
        <v>4017</v>
      </c>
      <c r="F69" s="241" t="str">
        <f>HYPERLINK("https://tripadvisor.pt/taberna-ti-aderito-moncao","tripadvisor.pt/taberna-ti-aderito-moncao")</f>
        <v>tripadvisor.pt/taberna-ti-aderito-moncao</v>
      </c>
      <c r="G69" s="304" t="s">
        <v>4018</v>
      </c>
      <c r="H69" s="239" t="s">
        <v>4019</v>
      </c>
      <c r="I69" s="241"/>
      <c r="J69" s="257" t="str">
        <f>HYPERLINK("https://www.google.com/maps/search/Taberna%20do%20Ti%20Ad%C3%A9rito%20Douro%20Portugal/@42.0285,-8.158,17z","🍷 Taberna do Ti Adérito")</f>
        <v>🍷 Taberna do Ti Adérito</v>
      </c>
    </row>
    <row r="70" spans="1:10" ht="110" customHeight="1" x14ac:dyDescent="0.35">
      <c r="A70" s="336">
        <v>66</v>
      </c>
      <c r="B70" s="242" t="s">
        <v>4020</v>
      </c>
      <c r="C70" s="243" t="s">
        <v>4021</v>
      </c>
      <c r="D70" s="242" t="s">
        <v>3948</v>
      </c>
      <c r="E70" s="242" t="s">
        <v>4022</v>
      </c>
      <c r="F70" s="244" t="str">
        <f>HYPERLINK("https://tripadvisor.pt/restaurante-costa-mogadouro","tripadvisor.pt/restaurante-costa-mogadouro")</f>
        <v>tripadvisor.pt/restaurante-costa-mogadouro</v>
      </c>
      <c r="G70" s="305" t="s">
        <v>4023</v>
      </c>
      <c r="H70" s="242" t="s">
        <v>4024</v>
      </c>
      <c r="I70" s="244"/>
      <c r="J70" s="258" t="str">
        <f>HYPERLINK("https://www.google.com/maps/search/Restaurante%20Costa%20Douro%20Portugal/@41.6085,-7.3115,17z","🍷 Restaurante Costa")</f>
        <v>🍷 Restaurante Costa</v>
      </c>
    </row>
    <row r="71" spans="1:10" ht="110" customHeight="1" x14ac:dyDescent="0.35">
      <c r="A71" s="338">
        <v>67</v>
      </c>
      <c r="B71" s="239" t="s">
        <v>4025</v>
      </c>
      <c r="C71" s="240" t="s">
        <v>4026</v>
      </c>
      <c r="D71" s="239" t="s">
        <v>3948</v>
      </c>
      <c r="E71" s="239" t="s">
        <v>4027</v>
      </c>
      <c r="F71" s="241" t="str">
        <f>HYPERLINK("https://tripadvisor.pt/adega-pena-resende","tripadvisor.pt/adega-pena-resende")</f>
        <v>tripadvisor.pt/adega-pena-resende</v>
      </c>
      <c r="G71" s="304" t="s">
        <v>4028</v>
      </c>
      <c r="H71" s="239" t="s">
        <v>4029</v>
      </c>
      <c r="I71" s="241"/>
      <c r="J71" s="257" t="str">
        <f>HYPERLINK("https://www.google.com/maps/search/Adega%20T%C3%ADpica%20da%20Pena%20Douro%20Portugal/@41.3155,-7.8805,17z","🍷 Adega Típica da Pena")</f>
        <v>🍷 Adega Típica da Pena</v>
      </c>
    </row>
    <row r="72" spans="1:10" ht="110" customHeight="1" x14ac:dyDescent="0.35">
      <c r="A72" s="336">
        <v>68</v>
      </c>
      <c r="B72" s="242" t="s">
        <v>4030</v>
      </c>
      <c r="C72" s="243" t="s">
        <v>4031</v>
      </c>
      <c r="D72" s="242" t="s">
        <v>3948</v>
      </c>
      <c r="E72" s="242" t="s">
        <v>4032</v>
      </c>
      <c r="F72" s="244" t="str">
        <f>HYPERLINK("https://tripadvisor.pt/tasca-xico-castro-daire","tripadvisor.pt/tasca-xico-castro-daire")</f>
        <v>tripadvisor.pt/tasca-xico-castro-daire</v>
      </c>
      <c r="G72" s="305" t="s">
        <v>4033</v>
      </c>
      <c r="H72" s="242" t="s">
        <v>4034</v>
      </c>
      <c r="I72" s="244"/>
      <c r="J72" s="258" t="str">
        <f>HYPERLINK("https://www.google.com/maps/search/Tasca%20do%20Xico%20Douro%20Portugal/@40.9295,-8.246,17z","🍷 Tasca do Xico")</f>
        <v>🍷 Tasca do Xico</v>
      </c>
    </row>
    <row r="73" spans="1:10" ht="110" customHeight="1" x14ac:dyDescent="0.35">
      <c r="A73" s="338">
        <v>69</v>
      </c>
      <c r="B73" s="239" t="s">
        <v>4035</v>
      </c>
      <c r="C73" s="240" t="s">
        <v>4036</v>
      </c>
      <c r="D73" s="239" t="s">
        <v>3948</v>
      </c>
      <c r="E73" s="239" t="s">
        <v>4037</v>
      </c>
      <c r="F73" s="239" t="str">
        <f>HYPERLINK("https://tabernado meio.pt","tabernado meio.pt")</f>
        <v>tabernado meio.pt</v>
      </c>
      <c r="G73" s="304" t="s">
        <v>4038</v>
      </c>
      <c r="H73" s="239" t="s">
        <v>4039</v>
      </c>
      <c r="I73" s="241"/>
      <c r="J73" s="257" t="str">
        <f>HYPERLINK("https://www.google.com/maps/search/Taberna%20do%20Meio%20Douro%20Portugal/@41.191,-7.548,17z","🍷 Taberna do Meio")</f>
        <v>🍷 Taberna do Meio</v>
      </c>
    </row>
    <row r="74" spans="1:10" ht="110" customHeight="1" x14ac:dyDescent="0.35">
      <c r="A74" s="336">
        <v>70</v>
      </c>
      <c r="B74" s="242" t="s">
        <v>4040</v>
      </c>
      <c r="C74" s="243" t="s">
        <v>4041</v>
      </c>
      <c r="D74" s="242" t="s">
        <v>3948</v>
      </c>
      <c r="E74" s="242" t="s">
        <v>4042</v>
      </c>
      <c r="F74" s="244" t="str">
        <f>HYPERLINK("https://tripadvisor.pt/o-mirandes-miranda","tripadvisor.pt/o-mirandes-miranda")</f>
        <v>tripadvisor.pt/o-mirandes-miranda</v>
      </c>
      <c r="G74" s="305" t="s">
        <v>4043</v>
      </c>
      <c r="H74" s="242" t="s">
        <v>4044</v>
      </c>
      <c r="I74" s="244"/>
      <c r="J74" s="258" t="str">
        <f>HYPERLINK("https://www.google.com/maps/search/O%20Mirand%C3%AAs%20Douro%20Portugal/@41.4942,-6.2725,17z","🍷 O Mirandês")</f>
        <v>🍷 O Mirandês</v>
      </c>
    </row>
    <row r="75" spans="1:10" ht="110" customHeight="1" x14ac:dyDescent="0.35">
      <c r="A75" s="338">
        <v>71</v>
      </c>
      <c r="B75" s="239" t="s">
        <v>4045</v>
      </c>
      <c r="C75" s="240" t="s">
        <v>4046</v>
      </c>
      <c r="D75" s="239" t="s">
        <v>3948</v>
      </c>
      <c r="E75" s="239" t="s">
        <v>4047</v>
      </c>
      <c r="F75" s="241" t="str">
        <f>HYPERLINK("https://tripadvisor.pt/adega-manel-porto","tripadvisor.pt/adega-manel-porto")</f>
        <v>tripadvisor.pt/adega-manel-porto</v>
      </c>
      <c r="G75" s="304" t="s">
        <v>4048</v>
      </c>
      <c r="H75" s="239" t="s">
        <v>4049</v>
      </c>
      <c r="I75" s="241"/>
      <c r="J75" s="257" t="str">
        <f>HYPERLINK("https://www.google.com/maps/search/Adega%20do%20Manel%20Douro%20Portugal/@41.134,-8.615,17z","🍷 Adega do Manel")</f>
        <v>🍷 Adega do Manel</v>
      </c>
    </row>
    <row r="76" spans="1:10" ht="110" customHeight="1" x14ac:dyDescent="0.35">
      <c r="A76" s="336">
        <v>72</v>
      </c>
      <c r="B76" s="242" t="s">
        <v>4050</v>
      </c>
      <c r="C76" s="243" t="s">
        <v>4051</v>
      </c>
      <c r="D76" s="242" t="s">
        <v>644</v>
      </c>
      <c r="E76" s="242" t="s">
        <v>4052</v>
      </c>
      <c r="F76" s="242" t="str">
        <f>HYPERLINK("https://otrovador.com","otrovador.com")</f>
        <v>otrovador.com</v>
      </c>
      <c r="G76" s="305" t="s">
        <v>4053</v>
      </c>
      <c r="H76" s="242" t="s">
        <v>4054</v>
      </c>
      <c r="I76" s="244"/>
      <c r="J76" s="258" t="str">
        <f>HYPERLINK("https://www.google.com/maps/search/Restaurante%20O%20Trovador%20Coimbra%20Portugal/@40.2033,-8.4103,17z","🍷 Restaurante O Trovador")</f>
        <v>🍷 Restaurante O Trovador</v>
      </c>
    </row>
    <row r="77" spans="1:10" ht="110" customHeight="1" x14ac:dyDescent="0.35">
      <c r="A77" s="338">
        <v>73</v>
      </c>
      <c r="B77" s="239" t="s">
        <v>4055</v>
      </c>
      <c r="C77" s="240" t="s">
        <v>4056</v>
      </c>
      <c r="D77" s="239" t="s">
        <v>644</v>
      </c>
      <c r="E77" s="239" t="s">
        <v>4057</v>
      </c>
      <c r="F77" s="241" t="str">
        <f>HYPERLINK("https://quintadaslagrimas.pt","quintadaslagrimas.pt")</f>
        <v>quintadaslagrimas.pt</v>
      </c>
      <c r="G77" s="304" t="s">
        <v>4058</v>
      </c>
      <c r="H77" s="239" t="s">
        <v>4059</v>
      </c>
      <c r="I77" s="241"/>
      <c r="J77" s="257" t="str">
        <f>HYPERLINK("https://www.google.com/maps/search/Taberna%20da%20Quinta%20das%20L%C3%A1grimas%20Coimbra%20Portugal/@40.2033,-8.4103,17z","🍷 Taberna da Quinta das Lágri…")</f>
        <v>🍷 Taberna da Quinta das Lágri…</v>
      </c>
    </row>
    <row r="78" spans="1:10" ht="110" customHeight="1" x14ac:dyDescent="0.35">
      <c r="A78" s="336">
        <v>74</v>
      </c>
      <c r="B78" s="242" t="s">
        <v>4060</v>
      </c>
      <c r="C78" s="243" t="s">
        <v>4061</v>
      </c>
      <c r="D78" s="242" t="s">
        <v>644</v>
      </c>
      <c r="E78" s="242" t="s">
        <v>4062</v>
      </c>
      <c r="F78" s="242" t="str">
        <f>HYPERLINK("https://oserenata.pt","oserenata.pt")</f>
        <v>oserenata.pt</v>
      </c>
      <c r="G78" s="305" t="s">
        <v>4063</v>
      </c>
      <c r="H78" s="242" t="s">
        <v>4064</v>
      </c>
      <c r="I78" s="244"/>
      <c r="J78" s="258" t="str">
        <f>HYPERLINK("https://www.google.com/maps/search/O%20Serenata%20Coimbra%20Portugal/@40.2033,-8.4103,17z","🍷 O Serenata")</f>
        <v>🍷 O Serenata</v>
      </c>
    </row>
    <row r="79" spans="1:10" ht="110" customHeight="1" x14ac:dyDescent="0.35">
      <c r="A79" s="338">
        <v>75</v>
      </c>
      <c r="B79" s="239" t="s">
        <v>4065</v>
      </c>
      <c r="C79" s="240" t="s">
        <v>4066</v>
      </c>
      <c r="D79" s="239" t="s">
        <v>644</v>
      </c>
      <c r="E79" s="239" t="s">
        <v>4067</v>
      </c>
      <c r="F79" s="239" t="str">
        <f>HYPERLINK("https://lagardel-rei.pt","lagardel-rei.pt")</f>
        <v>lagardel-rei.pt</v>
      </c>
      <c r="G79" s="304" t="s">
        <v>4068</v>
      </c>
      <c r="H79" s="239" t="s">
        <v>4069</v>
      </c>
      <c r="I79" s="241"/>
      <c r="J79" s="257" t="str">
        <f>HYPERLINK("https://www.google.com/maps/search/Restaurante%20Lagar%20d%27El%20Rei%20Coimbra%20Portugal/@40.2033,-8.4103,17z","🍷 Restaurante Lagar d'El Rei")</f>
        <v>🍷 Restaurante Lagar d'El Rei</v>
      </c>
    </row>
    <row r="80" spans="1:10" ht="110" customHeight="1" x14ac:dyDescent="0.35">
      <c r="A80" s="336">
        <v>76</v>
      </c>
      <c r="B80" s="242" t="s">
        <v>4070</v>
      </c>
      <c r="C80" s="243" t="s">
        <v>4071</v>
      </c>
      <c r="D80" s="242" t="s">
        <v>650</v>
      </c>
      <c r="E80" s="242" t="s">
        <v>4072</v>
      </c>
      <c r="F80" s="242" t="str">
        <f>HYPERLINK("https://tascadosimao.pt","tascadosimao.pt")</f>
        <v>tascadosimao.pt</v>
      </c>
      <c r="G80" s="305" t="s">
        <v>4073</v>
      </c>
      <c r="H80" s="242" t="s">
        <v>4074</v>
      </c>
      <c r="I80" s="244"/>
      <c r="J80" s="258" t="str">
        <f>HYPERLINK("https://www.google.com/maps/search/A%20Tasca%20do%20Sim%C3%A3o%20Aveiro%20Portugal/@40.6412,-8.6535,17z","🍷 A Tasca do Simão")</f>
        <v>🍷 A Tasca do Simão</v>
      </c>
    </row>
    <row r="81" spans="1:10" ht="110" customHeight="1" x14ac:dyDescent="0.35">
      <c r="A81" s="338">
        <v>77</v>
      </c>
      <c r="B81" s="239" t="s">
        <v>4075</v>
      </c>
      <c r="C81" s="240" t="s">
        <v>4076</v>
      </c>
      <c r="D81" s="239" t="s">
        <v>650</v>
      </c>
      <c r="E81" s="239" t="s">
        <v>4077</v>
      </c>
      <c r="F81" s="239" t="str">
        <f>HYPERLINK("https://mercantel.com","mercantel.com")</f>
        <v>mercantel.com</v>
      </c>
      <c r="G81" s="304" t="s">
        <v>4078</v>
      </c>
      <c r="H81" s="239" t="s">
        <v>4079</v>
      </c>
      <c r="I81" s="241"/>
      <c r="J81" s="257" t="str">
        <f>HYPERLINK("https://www.google.com/maps/search/O%20Mercantel%20Aveiro%20Portugal/@40.6412,-8.6535,17z","🍷 O Mercantel")</f>
        <v>🍷 O Mercantel</v>
      </c>
    </row>
    <row r="82" spans="1:10" ht="110" customHeight="1" x14ac:dyDescent="0.35">
      <c r="A82" s="336">
        <v>78</v>
      </c>
      <c r="B82" s="242" t="s">
        <v>4080</v>
      </c>
      <c r="C82" s="243" t="s">
        <v>4081</v>
      </c>
      <c r="D82" s="242" t="s">
        <v>4082</v>
      </c>
      <c r="E82" s="242" t="s">
        <v>4083</v>
      </c>
      <c r="F82" s="242" t="str">
        <f>HYPERLINK("https://amurteira.pt","amurteira.pt")</f>
        <v>amurteira.pt</v>
      </c>
      <c r="G82" s="305" t="s">
        <v>4084</v>
      </c>
      <c r="H82" s="242" t="s">
        <v>4085</v>
      </c>
      <c r="I82" s="244"/>
      <c r="J82" s="258" t="str">
        <f>HYPERLINK("https://www.google.com/maps/search/Taberna%20A%20Murteira%20Viseu%20Portugal/@40.6574,-7.9101,17z","🍷 Taberna A Murteira")</f>
        <v>🍷 Taberna A Murteira</v>
      </c>
    </row>
    <row r="83" spans="1:10" ht="110" customHeight="1" x14ac:dyDescent="0.35">
      <c r="A83" s="338">
        <v>79</v>
      </c>
      <c r="B83" s="239" t="s">
        <v>4086</v>
      </c>
      <c r="C83" s="240" t="s">
        <v>4087</v>
      </c>
      <c r="D83" s="239" t="s">
        <v>4082</v>
      </c>
      <c r="E83" s="239" t="s">
        <v>4088</v>
      </c>
      <c r="F83" s="239" t="str">
        <f>HYPERLINK("https://casadosqueijos.pt","casadosqueijos.pt")</f>
        <v>casadosqueijos.pt</v>
      </c>
      <c r="G83" s="304" t="s">
        <v>4089</v>
      </c>
      <c r="H83" s="239" t="s">
        <v>4090</v>
      </c>
      <c r="I83" s="241"/>
      <c r="J83" s="257" t="str">
        <f>HYPERLINK("https://www.google.com/maps/search/Casa%20dos%20Queijos%20Viseu%20Portugal/@40.6574,-7.9101,17z","🍷 Casa dos Queijos")</f>
        <v>🍷 Casa dos Queijos</v>
      </c>
    </row>
    <row r="84" spans="1:10" ht="110" customHeight="1" x14ac:dyDescent="0.35">
      <c r="A84" s="336">
        <v>80</v>
      </c>
      <c r="B84" s="242" t="s">
        <v>4091</v>
      </c>
      <c r="C84" s="243" t="s">
        <v>4092</v>
      </c>
      <c r="D84" s="242" t="s">
        <v>4093</v>
      </c>
      <c r="E84" s="242" t="s">
        <v>4094</v>
      </c>
      <c r="F84" s="242" t="str">
        <f>HYPERLINK("https://museudaguarda.pt","museudaguarda.pt")</f>
        <v>museudaguarda.pt</v>
      </c>
      <c r="G84" s="305" t="s">
        <v>4095</v>
      </c>
      <c r="H84" s="242" t="s">
        <v>4096</v>
      </c>
      <c r="I84" s="244"/>
      <c r="J84" s="258" t="str">
        <f>HYPERLINK("https://www.google.com/maps/search/Restaurante%20do%20Museu%20da%20Guarda%20Portugal/@40.5362,-7.2683,17z","🍷 Restaurante do Museu da Gua…")</f>
        <v>🍷 Restaurante do Museu da Gua…</v>
      </c>
    </row>
    <row r="85" spans="1:10" ht="110" customHeight="1" x14ac:dyDescent="0.35">
      <c r="A85" s="338">
        <v>81</v>
      </c>
      <c r="B85" s="239" t="s">
        <v>4097</v>
      </c>
      <c r="C85" s="240" t="s">
        <v>4098</v>
      </c>
      <c r="D85" s="239" t="s">
        <v>4099</v>
      </c>
      <c r="E85" s="239" t="s">
        <v>4100</v>
      </c>
      <c r="F85" s="239" t="str">
        <f>HYPERLINK("https://tabelernachefe.pt","tabelernachefe.pt")</f>
        <v>tabelernachefe.pt</v>
      </c>
      <c r="G85" s="304" t="s">
        <v>4101</v>
      </c>
      <c r="H85" s="239" t="s">
        <v>4102</v>
      </c>
      <c r="I85" s="241"/>
      <c r="J85" s="257" t="str">
        <f>HYPERLINK("https://www.google.com/maps/search/A%20Taberna%20do%20Chefe%20Covilh%C3%A3%20Portugal/@39.8225,-7.4929,17z","🍷 A Taberna do Chefe")</f>
        <v>🍷 A Taberna do Chefe</v>
      </c>
    </row>
    <row r="86" spans="1:10" ht="110" customHeight="1" x14ac:dyDescent="0.35">
      <c r="A86" s="336">
        <v>82</v>
      </c>
      <c r="B86" s="242" t="s">
        <v>4103</v>
      </c>
      <c r="C86" s="243" t="s">
        <v>4104</v>
      </c>
      <c r="D86" s="242" t="s">
        <v>4105</v>
      </c>
      <c r="E86" s="242" t="s">
        <v>4106</v>
      </c>
      <c r="F86" s="242" t="str">
        <f>HYPERLINK("https://zedornorte.pt","zedornorte.pt")</f>
        <v>zedornorte.pt</v>
      </c>
      <c r="G86" s="305" t="s">
        <v>4107</v>
      </c>
      <c r="H86" s="242" t="s">
        <v>4108</v>
      </c>
      <c r="I86" s="244"/>
      <c r="J86" s="258" t="str">
        <f>HYPERLINK("https://www.google.com/maps/search/O%20Z%C3%A9%20do%20Norte%20Serra%20da%20Estrela%20Portugal/@40.5362,-7.2683,17z","🍷 O Zé do Norte")</f>
        <v>🍷 O Zé do Norte</v>
      </c>
    </row>
    <row r="87" spans="1:10" ht="110" customHeight="1" x14ac:dyDescent="0.35">
      <c r="A87" s="338">
        <v>83</v>
      </c>
      <c r="B87" s="239" t="s">
        <v>4109</v>
      </c>
      <c r="C87" s="240" t="s">
        <v>4110</v>
      </c>
      <c r="D87" s="239" t="s">
        <v>644</v>
      </c>
      <c r="E87" s="239" t="s">
        <v>4111</v>
      </c>
      <c r="F87" s="239" t="str">
        <f>HYPERLINK("https://adegaestacao.pt","adegaestacao.pt")</f>
        <v>adegaestacao.pt</v>
      </c>
      <c r="G87" s="304" t="s">
        <v>4112</v>
      </c>
      <c r="H87" s="239" t="s">
        <v>4113</v>
      </c>
      <c r="I87" s="241"/>
      <c r="J87" s="257" t="str">
        <f>HYPERLINK("https://www.google.com/maps/search/Adega%20Tipica%20Esta%C3%A7%C3%A3o%20Coimbra%20Portugal/@40.2033,-8.4103,17z","🍷 Adega Tipica Estação")</f>
        <v>🍷 Adega Tipica Estação</v>
      </c>
    </row>
    <row r="88" spans="1:10" ht="110" customHeight="1" x14ac:dyDescent="0.35">
      <c r="A88" s="336">
        <v>84</v>
      </c>
      <c r="B88" s="242" t="s">
        <v>4114</v>
      </c>
      <c r="C88" s="243" t="s">
        <v>4115</v>
      </c>
      <c r="D88" s="242" t="s">
        <v>666</v>
      </c>
      <c r="E88" s="242" t="s">
        <v>4116</v>
      </c>
      <c r="F88" s="244" t="str">
        <f>HYPERLINK("https://quartafeirataberna.pt","quartafeirataberna.pt")</f>
        <v>quartafeirataberna.pt</v>
      </c>
      <c r="G88" s="305" t="s">
        <v>4117</v>
      </c>
      <c r="H88" s="242" t="s">
        <v>4118</v>
      </c>
      <c r="I88" s="244"/>
      <c r="J88" s="258" t="str">
        <f>HYPERLINK("https://www.google.com/maps/search/Taberna%20T%C3%ADpica%20Quarta-Feira%20%C3%89vora%20Portugal/@38.572,-7.9087,17z","🍷 Taberna Típica Quarta-Feira")</f>
        <v>🍷 Taberna Típica Quarta-Feira</v>
      </c>
    </row>
    <row r="89" spans="1:10" ht="110" customHeight="1" x14ac:dyDescent="0.35">
      <c r="A89" s="338">
        <v>85</v>
      </c>
      <c r="B89" s="239" t="s">
        <v>4119</v>
      </c>
      <c r="C89" s="240" t="s">
        <v>4120</v>
      </c>
      <c r="D89" s="239" t="s">
        <v>666</v>
      </c>
      <c r="E89" s="239" t="s">
        <v>4121</v>
      </c>
      <c r="F89" s="239" t="str">
        <f>HYPERLINK("https://adegaalentejo.pt","adegaalentejo.pt")</f>
        <v>adegaalentejo.pt</v>
      </c>
      <c r="G89" s="304" t="s">
        <v>4122</v>
      </c>
      <c r="H89" s="239" t="s">
        <v>4123</v>
      </c>
      <c r="I89" s="241"/>
      <c r="J89" s="257" t="str">
        <f>HYPERLINK("https://www.google.com/maps/search/Adega%20do%20Alentejo%20%C3%89vora%20Portugal/@38.572,-7.9087,17z","🍷 Adega do Alentejo")</f>
        <v>🍷 Adega do Alentejo</v>
      </c>
    </row>
    <row r="90" spans="1:10" ht="110" customHeight="1" x14ac:dyDescent="0.35">
      <c r="A90" s="336">
        <v>86</v>
      </c>
      <c r="B90" s="242" t="s">
        <v>4124</v>
      </c>
      <c r="C90" s="243" t="s">
        <v>4125</v>
      </c>
      <c r="D90" s="242" t="s">
        <v>4126</v>
      </c>
      <c r="E90" s="244" t="s">
        <v>4127</v>
      </c>
      <c r="F90" s="242" t="str">
        <f>HYPERLINK("https://achoupana-beja.pt","achoupana-beja.pt")</f>
        <v>achoupana-beja.pt</v>
      </c>
      <c r="G90" s="305" t="s">
        <v>4128</v>
      </c>
      <c r="H90" s="242" t="s">
        <v>4129</v>
      </c>
      <c r="I90" s="244"/>
      <c r="J90" s="258" t="str">
        <f>HYPERLINK("https://www.google.com/maps/search/A%20Choupana%20Beja%20Portugal/@38.0155,-7.8637,17z","🍷 A Choupana")</f>
        <v>🍷 A Choupana</v>
      </c>
    </row>
    <row r="91" spans="1:10" ht="110" customHeight="1" x14ac:dyDescent="0.35">
      <c r="A91" s="338">
        <v>87</v>
      </c>
      <c r="B91" s="239" t="s">
        <v>4130</v>
      </c>
      <c r="C91" s="240" t="s">
        <v>4131</v>
      </c>
      <c r="D91" s="239" t="s">
        <v>4132</v>
      </c>
      <c r="E91" s="239" t="s">
        <v>4133</v>
      </c>
      <c r="F91" s="239" t="str">
        <f>HYPERLINK("https://tascacortica.pt","tascacortica.pt")</f>
        <v>tascacortica.pt</v>
      </c>
      <c r="G91" s="304" t="s">
        <v>4134</v>
      </c>
      <c r="H91" s="239" t="s">
        <v>4135</v>
      </c>
      <c r="I91" s="241"/>
      <c r="J91" s="257" t="str">
        <f>HYPERLINK("https://www.google.com/maps/search/Tasca%20da%20Corti%C3%A7a%20Serpa%20Portugal/@37.9437,-7.5981,17z","🍷 Tasca da Cortiça")</f>
        <v>🍷 Tasca da Cortiça</v>
      </c>
    </row>
    <row r="92" spans="1:10" ht="110" customHeight="1" x14ac:dyDescent="0.35">
      <c r="A92" s="336">
        <v>88</v>
      </c>
      <c r="B92" s="242" t="s">
        <v>4136</v>
      </c>
      <c r="C92" s="243" t="s">
        <v>4137</v>
      </c>
      <c r="D92" s="242" t="s">
        <v>671</v>
      </c>
      <c r="E92" s="242" t="s">
        <v>4138</v>
      </c>
      <c r="F92" s="244" t="str">
        <f>HYPERLINK("https://restaurantealentejano.pt","restaurantealentejano.pt")</f>
        <v>restaurantealentejano.pt</v>
      </c>
      <c r="G92" s="305" t="s">
        <v>4139</v>
      </c>
      <c r="H92" s="242" t="s">
        <v>4140</v>
      </c>
      <c r="I92" s="244"/>
      <c r="J92" s="258" t="str">
        <f>HYPERLINK("https://www.google.com/maps/search/Restaurante%20Alentejano%20Portalegre%20Portugal/@39.2915,-7.428,17z","🍷 Restaurante Alentejano")</f>
        <v>🍷 Restaurante Alentejano</v>
      </c>
    </row>
    <row r="93" spans="1:10" ht="110" customHeight="1" x14ac:dyDescent="0.35">
      <c r="A93" s="338">
        <v>89</v>
      </c>
      <c r="B93" s="239" t="s">
        <v>4141</v>
      </c>
      <c r="C93" s="240" t="s">
        <v>4142</v>
      </c>
      <c r="D93" s="239" t="s">
        <v>4143</v>
      </c>
      <c r="E93" s="239" t="s">
        <v>4144</v>
      </c>
      <c r="F93" s="241" t="str">
        <f>HYPERLINK("https://tabernasalgueiro.pt","tabernasalgueiro.pt")</f>
        <v>tabernasalgueiro.pt</v>
      </c>
      <c r="G93" s="304" t="s">
        <v>4145</v>
      </c>
      <c r="H93" s="239" t="s">
        <v>4146</v>
      </c>
      <c r="I93" s="241"/>
      <c r="J93" s="257" t="str">
        <f>HYPERLINK("https://www.google.com/maps/search/Taberna%20do%20Salgueiro%20Elvas%20Portugal/@38.8799,-7.1634,17z","🍷 Taberna do Salgueiro")</f>
        <v>🍷 Taberna do Salgueiro</v>
      </c>
    </row>
    <row r="94" spans="1:10" ht="110" customHeight="1" x14ac:dyDescent="0.35">
      <c r="A94" s="336">
        <v>90</v>
      </c>
      <c r="B94" s="242" t="s">
        <v>4147</v>
      </c>
      <c r="C94" s="243" t="s">
        <v>4148</v>
      </c>
      <c r="D94" s="242" t="s">
        <v>4149</v>
      </c>
      <c r="E94" s="242" t="s">
        <v>4150</v>
      </c>
      <c r="F94" s="244" t="str">
        <f>HYPERLINK("https://moinhodalentejo.pt","moinhodalentejo.pt")</f>
        <v>moinhodalentejo.pt</v>
      </c>
      <c r="G94" s="305" t="s">
        <v>4151</v>
      </c>
      <c r="H94" s="242" t="s">
        <v>4152</v>
      </c>
      <c r="I94" s="244"/>
      <c r="J94" s="258" t="str">
        <f>HYPERLINK("https://www.google.com/maps/search/O%20Moinho%20da%20Mouraria%20Estremoz%20Portugal/@38.8453,-7.5863,17z","🍷 O Moinho da Mouraria")</f>
        <v>🍷 O Moinho da Mouraria</v>
      </c>
    </row>
    <row r="95" spans="1:10" ht="110" customHeight="1" x14ac:dyDescent="0.35">
      <c r="A95" s="338">
        <v>91</v>
      </c>
      <c r="B95" s="239" t="s">
        <v>4153</v>
      </c>
      <c r="C95" s="240" t="s">
        <v>4154</v>
      </c>
      <c r="D95" s="239" t="s">
        <v>666</v>
      </c>
      <c r="E95" s="239" t="s">
        <v>4155</v>
      </c>
      <c r="F95" s="241" t="str">
        <f>HYPERLINK("https://casadepasto-evora.pt","casadepasto-evora.pt")</f>
        <v>casadepasto-evora.pt</v>
      </c>
      <c r="G95" s="304" t="s">
        <v>4156</v>
      </c>
      <c r="H95" s="239" t="s">
        <v>4157</v>
      </c>
      <c r="I95" s="241"/>
      <c r="J95" s="257" t="str">
        <f>HYPERLINK("https://www.google.com/maps/search/Casa%20de%20Pasto%20da%20Mouraria%20%C3%89vora%20Portugal/@38.572,-7.9087,17z","🍷 Casa de Pasto da Mouraria")</f>
        <v>🍷 Casa de Pasto da Mouraria</v>
      </c>
    </row>
    <row r="96" spans="1:10" ht="110" customHeight="1" x14ac:dyDescent="0.35">
      <c r="A96" s="336">
        <v>92</v>
      </c>
      <c r="B96" s="242" t="s">
        <v>4158</v>
      </c>
      <c r="C96" s="243" t="s">
        <v>4159</v>
      </c>
      <c r="D96" s="242" t="s">
        <v>4160</v>
      </c>
      <c r="E96" s="242" t="s">
        <v>4161</v>
      </c>
      <c r="F96" s="244" t="str">
        <f>HYPERLINK("https://tabernaalentejana.pt","tabernaalentejana.pt")</f>
        <v>tabernaalentejana.pt</v>
      </c>
      <c r="G96" s="305" t="s">
        <v>4162</v>
      </c>
      <c r="H96" s="242" t="s">
        <v>4163</v>
      </c>
      <c r="I96" s="244"/>
      <c r="J96" s="258" t="str">
        <f>HYPERLINK("https://www.google.com/maps/search/Taberna%20Alentejana%20Marv%C3%A3o%20Portugal/@39.2915,-7.428,17z","🍷 Taberna Alentejana")</f>
        <v>🍷 Taberna Alentejana</v>
      </c>
    </row>
    <row r="97" spans="1:10" ht="110" customHeight="1" x14ac:dyDescent="0.35">
      <c r="A97" s="338">
        <v>93</v>
      </c>
      <c r="B97" s="239" t="s">
        <v>4164</v>
      </c>
      <c r="C97" s="240" t="s">
        <v>4165</v>
      </c>
      <c r="D97" s="239" t="s">
        <v>4166</v>
      </c>
      <c r="E97" s="239" t="s">
        <v>4167</v>
      </c>
      <c r="F97" s="239" t="str">
        <f>HYPERLINK("https://tascachicozef.pt","tascachicozef.pt")</f>
        <v>tascachicozef.pt</v>
      </c>
      <c r="G97" s="304" t="s">
        <v>4168</v>
      </c>
      <c r="H97" s="239" t="s">
        <v>4169</v>
      </c>
      <c r="I97" s="241"/>
      <c r="J97" s="257" t="str">
        <f>HYPERLINK("https://www.google.com/maps/search/Tasca%20do%20Chico%20Z%C3%A9%20Faro%20Portugal/@37.0193,-7.9304,17z","🍷 Tasca do Chico Zé")</f>
        <v>🍷 Tasca do Chico Zé</v>
      </c>
    </row>
    <row r="98" spans="1:10" ht="110" customHeight="1" x14ac:dyDescent="0.35">
      <c r="A98" s="336">
        <v>94</v>
      </c>
      <c r="B98" s="242" t="s">
        <v>4170</v>
      </c>
      <c r="C98" s="243" t="s">
        <v>4171</v>
      </c>
      <c r="D98" s="242" t="s">
        <v>4172</v>
      </c>
      <c r="E98" s="242" t="s">
        <v>4173</v>
      </c>
      <c r="F98" s="242" t="str">
        <f>HYPERLINK("https://tabernaloule.pt","tabernaloule.pt")</f>
        <v>tabernaloule.pt</v>
      </c>
      <c r="G98" s="305" t="s">
        <v>4174</v>
      </c>
      <c r="H98" s="242" t="s">
        <v>4175</v>
      </c>
      <c r="I98" s="244"/>
      <c r="J98" s="258" t="str">
        <f>HYPERLINK("https://www.google.com/maps/search/Taberna%20da%20Mouraria%20Loul%C3%A9%20Portugal/@37.1393,-8.0235,17z","🍷 Taberna da Mouraria")</f>
        <v>🍷 Taberna da Mouraria</v>
      </c>
    </row>
    <row r="99" spans="1:10" ht="110" customHeight="1" x14ac:dyDescent="0.35">
      <c r="A99" s="338">
        <v>95</v>
      </c>
      <c r="B99" s="239" t="s">
        <v>4176</v>
      </c>
      <c r="C99" s="240" t="s">
        <v>4177</v>
      </c>
      <c r="D99" s="239" t="s">
        <v>4178</v>
      </c>
      <c r="E99" s="239" t="s">
        <v>4179</v>
      </c>
      <c r="F99" s="241" t="str">
        <f>HYPERLINK("https://ocamponez-silves.pt","ocamponez-silves.pt")</f>
        <v>ocamponez-silves.pt</v>
      </c>
      <c r="G99" s="304" t="s">
        <v>4180</v>
      </c>
      <c r="H99" s="239" t="s">
        <v>4181</v>
      </c>
      <c r="I99" s="241"/>
      <c r="J99" s="257" t="str">
        <f>HYPERLINK("https://www.google.com/maps/search/O%20Campon%C3%AAs%20Silves%20Portugal/@37.1898,-8.4395,17z","🍷 O Camponês")</f>
        <v>🍷 O Camponês</v>
      </c>
    </row>
    <row r="100" spans="1:10" ht="110" customHeight="1" x14ac:dyDescent="0.35">
      <c r="A100" s="336">
        <v>96</v>
      </c>
      <c r="B100" s="242" t="s">
        <v>4182</v>
      </c>
      <c r="C100" s="243" t="s">
        <v>4183</v>
      </c>
      <c r="D100" s="242" t="s">
        <v>4184</v>
      </c>
      <c r="E100" s="242" t="s">
        <v>4185</v>
      </c>
      <c r="F100" s="242" t="str">
        <f>HYPERLINK("https://aroda-lagos.pt","aroda-lagos.pt")</f>
        <v>aroda-lagos.pt</v>
      </c>
      <c r="G100" s="305" t="s">
        <v>4186</v>
      </c>
      <c r="H100" s="242" t="s">
        <v>4187</v>
      </c>
      <c r="I100" s="244"/>
      <c r="J100" s="258" t="str">
        <f>HYPERLINK("https://www.google.com/maps/search/A%20Roda%20Lagos%20Portugal/@37.1021,-8.6741,17z","🍷 A Roda")</f>
        <v>🍷 A Roda</v>
      </c>
    </row>
    <row r="101" spans="1:10" ht="110" customHeight="1" x14ac:dyDescent="0.35">
      <c r="A101" s="338">
        <v>97</v>
      </c>
      <c r="B101" s="239" t="s">
        <v>4188</v>
      </c>
      <c r="C101" s="240" t="s">
        <v>4189</v>
      </c>
      <c r="D101" s="239" t="s">
        <v>4190</v>
      </c>
      <c r="E101" s="239" t="s">
        <v>4191</v>
      </c>
      <c r="F101" s="241" t="str">
        <f>HYPERLINK("https://tabernaportimao.pt","tabernaportimao.pt")</f>
        <v>tabernaportimao.pt</v>
      </c>
      <c r="G101" s="304" t="s">
        <v>4192</v>
      </c>
      <c r="H101" s="239" t="s">
        <v>4193</v>
      </c>
      <c r="I101" s="241"/>
      <c r="J101" s="257" t="str">
        <f>HYPERLINK("https://www.google.com/maps/search/Taberna%20de%20Portim%C3%A3o%20Portugal/@37.136,-8.5376,17z","🍷 Taberna de Portimão")</f>
        <v>🍷 Taberna de Portimão</v>
      </c>
    </row>
    <row r="102" spans="1:10" ht="110" customHeight="1" x14ac:dyDescent="0.35">
      <c r="A102" s="336">
        <v>98</v>
      </c>
      <c r="B102" s="242" t="s">
        <v>4194</v>
      </c>
      <c r="C102" s="243" t="s">
        <v>4195</v>
      </c>
      <c r="D102" s="242" t="s">
        <v>4196</v>
      </c>
      <c r="E102" s="242" t="s">
        <v>4197</v>
      </c>
      <c r="F102" s="244" t="str">
        <f>HYPERLINK("https://mariqueiradomario.pt","mariqueiradomario.pt")</f>
        <v>mariqueiradomario.pt</v>
      </c>
      <c r="G102" s="305" t="s">
        <v>4198</v>
      </c>
      <c r="H102" s="242" t="s">
        <v>4199</v>
      </c>
      <c r="I102" s="244"/>
      <c r="J102" s="258" t="str">
        <f>HYPERLINK("https://www.google.com/maps/search/A%20Marisqueira%20do%20M%C3%A1rio%20Tavira%20Portugal/@37.1247,-7.6508,17z","🍷 A Marisqueira do Mário")</f>
        <v>🍷 A Marisqueira do Mário</v>
      </c>
    </row>
    <row r="103" spans="1:10" ht="110" customHeight="1" x14ac:dyDescent="0.35">
      <c r="A103" s="338">
        <v>99</v>
      </c>
      <c r="B103" s="239" t="s">
        <v>4200</v>
      </c>
      <c r="C103" s="240" t="s">
        <v>4201</v>
      </c>
      <c r="D103" s="239" t="s">
        <v>4184</v>
      </c>
      <c r="E103" s="239" t="s">
        <v>4202</v>
      </c>
      <c r="F103" s="239" t="str">
        <f>HYPERLINK("https://tipico-algarve.pt","tipico-algarve.pt")</f>
        <v>tipico-algarve.pt</v>
      </c>
      <c r="G103" s="304" t="s">
        <v>4203</v>
      </c>
      <c r="H103" s="239" t="s">
        <v>4204</v>
      </c>
      <c r="I103" s="241"/>
      <c r="J103" s="257" t="str">
        <f>HYPERLINK("https://www.google.com/maps/search/Restaurante%20T%C3%ADpico%20do%20Algarve%20Lagos%20Portugal/@37.1021,-8.6741,17z","🍷 Restaurante Típico do Algarve")</f>
        <v>🍷 Restaurante Típico do Algarve</v>
      </c>
    </row>
    <row r="104" spans="1:10" ht="110" customHeight="1" x14ac:dyDescent="0.35">
      <c r="A104" s="336">
        <v>100</v>
      </c>
      <c r="B104" s="242" t="s">
        <v>4205</v>
      </c>
      <c r="C104" s="243" t="s">
        <v>4206</v>
      </c>
      <c r="D104" s="242" t="s">
        <v>4207</v>
      </c>
      <c r="E104" s="242" t="s">
        <v>4208</v>
      </c>
      <c r="F104" s="242" t="str">
        <f>HYPERLINK("https://paraiso-olhao.pt","paraiso-olhao.pt")</f>
        <v>paraiso-olhao.pt</v>
      </c>
      <c r="G104" s="305" t="s">
        <v>4209</v>
      </c>
      <c r="H104" s="242" t="s">
        <v>4210</v>
      </c>
      <c r="I104" s="244"/>
      <c r="J104" s="258" t="str">
        <f>HYPERLINK("https://www.google.com/maps/search/Pastelaria-Taberna%20Para%C3%ADso%20Olh%C3%A3o%20Portugal/@37.0279,-7.8434,17z","🍷 Pastelaria-Taberna Paraíso")</f>
        <v>🍷 Pastelaria-Taberna Paraíso</v>
      </c>
    </row>
    <row r="105" spans="1:10" ht="110" customHeight="1" x14ac:dyDescent="0.35">
      <c r="A105" s="338">
        <v>101</v>
      </c>
      <c r="B105" s="239" t="s">
        <v>4211</v>
      </c>
      <c r="C105" s="240" t="s">
        <v>4212</v>
      </c>
      <c r="D105" s="239" t="s">
        <v>4213</v>
      </c>
      <c r="E105" s="239" t="s">
        <v>4214</v>
      </c>
      <c r="F105" s="239" t="str">
        <f>HYPERLINK("https://algarve-grill.pt","algarve-grill.pt")</f>
        <v>algarve-grill.pt</v>
      </c>
      <c r="G105" s="304" t="s">
        <v>4215</v>
      </c>
      <c r="H105" s="239" t="s">
        <v>4216</v>
      </c>
      <c r="I105" s="241"/>
      <c r="J105" s="257" t="str">
        <f>HYPERLINK("https://www.google.com/maps/search/O%20Meu%20Algarve%20Albufeira%20Portugal/@37.089,-8.2503,17z","🍷 O Meu Algarve")</f>
        <v>🍷 O Meu Algarve</v>
      </c>
    </row>
    <row r="106" spans="1:10" ht="110" customHeight="1" x14ac:dyDescent="0.35">
      <c r="A106" s="336">
        <v>102</v>
      </c>
      <c r="B106" s="242" t="s">
        <v>4217</v>
      </c>
      <c r="C106" s="243" t="s">
        <v>4218</v>
      </c>
      <c r="D106" s="242" t="s">
        <v>4219</v>
      </c>
      <c r="E106" s="242" t="s">
        <v>4220</v>
      </c>
      <c r="F106" s="242" t="str">
        <f>HYPERLINK("https://cantodadoca.pt","cantodadoca.pt")</f>
        <v>cantodadoca.pt</v>
      </c>
      <c r="G106" s="305" t="s">
        <v>4221</v>
      </c>
      <c r="H106" s="242" t="s">
        <v>4222</v>
      </c>
      <c r="I106" s="244"/>
      <c r="J106" s="258" t="str">
        <f>HYPERLINK("https://www.google.com/maps/search/Canto%20da%20Doca%20Faial%20Portugal/@38.6561,-27.2193,17z","🍷 Canto da Doca")</f>
        <v>🍷 Canto da Doca</v>
      </c>
    </row>
    <row r="107" spans="1:10" ht="110" customHeight="1" x14ac:dyDescent="0.35">
      <c r="A107" s="338">
        <v>103</v>
      </c>
      <c r="B107" s="239" t="s">
        <v>4223</v>
      </c>
      <c r="C107" s="240" t="s">
        <v>4224</v>
      </c>
      <c r="D107" s="239" t="s">
        <v>4219</v>
      </c>
      <c r="E107" s="239" t="s">
        <v>4225</v>
      </c>
      <c r="F107" s="241" t="str">
        <f>HYPERLINK("https://petercafesport.com","petercafesport.com")</f>
        <v>petercafesport.com</v>
      </c>
      <c r="G107" s="304" t="s">
        <v>4226</v>
      </c>
      <c r="H107" s="239" t="s">
        <v>4227</v>
      </c>
      <c r="I107" s="241"/>
      <c r="J107" s="257" t="str">
        <f>HYPERLINK("https://www.google.com/maps/search/Tasca%20Peter%20Caf%C3%A9%20Sport%20Faial%20Portugal/@38.6561,-27.2193,17z","🍷 Tasca Peter Café Sport")</f>
        <v>🍷 Tasca Peter Café Sport</v>
      </c>
    </row>
    <row r="108" spans="1:10" ht="110" customHeight="1" x14ac:dyDescent="0.35">
      <c r="A108" s="336">
        <v>104</v>
      </c>
      <c r="B108" s="242" t="s">
        <v>4228</v>
      </c>
      <c r="C108" s="243" t="s">
        <v>4229</v>
      </c>
      <c r="D108" s="242" t="s">
        <v>699</v>
      </c>
      <c r="E108" s="242" t="s">
        <v>4230</v>
      </c>
      <c r="F108" s="242" t="str">
        <f>HYPERLINK("https://tabernaredos.pt","tabernaredos.pt")</f>
        <v>tabernaredos.pt</v>
      </c>
      <c r="G108" s="305" t="s">
        <v>4231</v>
      </c>
      <c r="H108" s="242" t="s">
        <v>4232</v>
      </c>
      <c r="I108" s="244"/>
      <c r="J108" s="258" t="str">
        <f>HYPERLINK("https://www.google.com/maps/search/Taberna%20do%20Martelos%20Terceira%20Portugal/@38.6561,-27.2193,17z","🍷 Taberna do Martelos")</f>
        <v>🍷 Taberna do Martelos</v>
      </c>
    </row>
    <row r="109" spans="1:10" ht="110" customHeight="1" x14ac:dyDescent="0.35">
      <c r="A109" s="338">
        <v>105</v>
      </c>
      <c r="B109" s="239" t="s">
        <v>4233</v>
      </c>
      <c r="C109" s="240" t="s">
        <v>4234</v>
      </c>
      <c r="D109" s="239" t="s">
        <v>699</v>
      </c>
      <c r="E109" s="239" t="s">
        <v>4235</v>
      </c>
      <c r="F109" s="241" t="str">
        <f>HYPERLINK("https://atasca-terceira.pt","atasca-terceira.pt")</f>
        <v>atasca-terceira.pt</v>
      </c>
      <c r="G109" s="304" t="s">
        <v>4236</v>
      </c>
      <c r="H109" s="239" t="s">
        <v>4237</v>
      </c>
      <c r="I109" s="241"/>
      <c r="J109" s="257" t="str">
        <f>HYPERLINK("https://www.google.com/maps/search/Adega%20A%20Tasca%20Terceira%20Portugal/@38.6561,-27.2193,17z","🍷 Adega A Tasca")</f>
        <v>🍷 Adega A Tasca</v>
      </c>
    </row>
    <row r="110" spans="1:10" ht="110" customHeight="1" x14ac:dyDescent="0.35">
      <c r="A110" s="336">
        <v>106</v>
      </c>
      <c r="B110" s="242" t="s">
        <v>4238</v>
      </c>
      <c r="C110" s="243" t="s">
        <v>4239</v>
      </c>
      <c r="D110" s="242" t="s">
        <v>695</v>
      </c>
      <c r="E110" s="242" t="s">
        <v>4240</v>
      </c>
      <c r="F110" s="244" t="str">
        <f>HYPERLINK("https://tascatia-amelia.pt","tascatia-amelia.pt")</f>
        <v>tascatia-amelia.pt</v>
      </c>
      <c r="G110" s="305" t="s">
        <v>4241</v>
      </c>
      <c r="H110" s="242" t="s">
        <v>4242</v>
      </c>
      <c r="I110" s="244"/>
      <c r="J110" s="258" t="str">
        <f>HYPERLINK("https://www.google.com/maps/search/Tasca%20da%20Tia%20Am%C3%A9lia%20S%C3%A3o%20Miguel%20Portugal/@37.7412,-25.6756,17z","🍷 Tasca da Tia Amélia")</f>
        <v>🍷 Tasca da Tia Amélia</v>
      </c>
    </row>
    <row r="111" spans="1:10" ht="110" customHeight="1" x14ac:dyDescent="0.35">
      <c r="A111" s="338">
        <v>107</v>
      </c>
      <c r="B111" s="239" t="s">
        <v>4243</v>
      </c>
      <c r="C111" s="240" t="s">
        <v>4244</v>
      </c>
      <c r="D111" s="239" t="s">
        <v>695</v>
      </c>
      <c r="E111" s="239" t="s">
        <v>4245</v>
      </c>
      <c r="F111" s="241" t="str">
        <f>HYPERLINK("https://restaurante-aldeia.pt","restaurante-aldeia.pt")</f>
        <v>restaurante-aldeia.pt</v>
      </c>
      <c r="G111" s="304" t="s">
        <v>4246</v>
      </c>
      <c r="H111" s="239" t="s">
        <v>4247</v>
      </c>
      <c r="I111" s="241"/>
      <c r="J111" s="257" t="str">
        <f>HYPERLINK("https://www.google.com/maps/search/Restaurante%20Aldeia%20S%C3%A3o%20Miguel%20Portugal/@37.7412,-25.6756,17z","🍷 Restaurante Aldeia")</f>
        <v>🍷 Restaurante Aldeia</v>
      </c>
    </row>
    <row r="112" spans="1:10" ht="110" customHeight="1" x14ac:dyDescent="0.35">
      <c r="A112" s="336">
        <v>108</v>
      </c>
      <c r="B112" s="242" t="s">
        <v>4248</v>
      </c>
      <c r="C112" s="243" t="s">
        <v>4249</v>
      </c>
      <c r="D112" s="242" t="s">
        <v>4250</v>
      </c>
      <c r="E112" s="242" t="s">
        <v>4251</v>
      </c>
      <c r="F112" s="244" t="str">
        <f>HYPERLINK("https://tabernahisterica.pt","tabernahisterica.pt")</f>
        <v>tabernahisterica.pt</v>
      </c>
      <c r="G112" s="305" t="s">
        <v>4252</v>
      </c>
      <c r="H112" s="242" t="s">
        <v>4253</v>
      </c>
      <c r="I112" s="244"/>
      <c r="J112" s="258" t="str">
        <f>HYPERLINK("https://www.google.com/maps/search/Taberna%20Liter%C3%A1ria%20%E2%80%94%20Funchal%20Portugal/@32.65,-16.9014,17z","🍷 Taberna Literária — Funchal")</f>
        <v>🍷 Taberna Literária — Funchal</v>
      </c>
    </row>
    <row r="113" spans="1:10" ht="110" customHeight="1" x14ac:dyDescent="0.35">
      <c r="A113" s="338">
        <v>109</v>
      </c>
      <c r="B113" s="239" t="s">
        <v>4254</v>
      </c>
      <c r="C113" s="240" t="s">
        <v>4255</v>
      </c>
      <c r="D113" s="239" t="s">
        <v>4250</v>
      </c>
      <c r="E113" s="239" t="s">
        <v>4256</v>
      </c>
      <c r="F113" s="239" t="str">
        <f>HYPERLINK("https://arecolha.pt","arecolha.pt")</f>
        <v>arecolha.pt</v>
      </c>
      <c r="G113" s="304" t="s">
        <v>4257</v>
      </c>
      <c r="H113" s="239" t="s">
        <v>4258</v>
      </c>
      <c r="I113" s="241"/>
      <c r="J113" s="257" t="str">
        <f>HYPERLINK("https://www.google.com/maps/search/Adega%20A%20Recolha%20Funchal%20Portugal/@32.65,-16.9014,17z","🍷 Adega A Recolha")</f>
        <v>🍷 Adega A Recolha</v>
      </c>
    </row>
    <row r="114" spans="1:10" ht="110" customHeight="1" x14ac:dyDescent="0.35">
      <c r="A114" s="336">
        <v>110</v>
      </c>
      <c r="B114" s="242" t="s">
        <v>4259</v>
      </c>
      <c r="C114" s="243" t="s">
        <v>4260</v>
      </c>
      <c r="D114" s="242" t="s">
        <v>4250</v>
      </c>
      <c r="E114" s="242" t="s">
        <v>4261</v>
      </c>
      <c r="F114" s="242" t="str">
        <f>HYPERLINK("https://ojango.pt","ojango.pt")</f>
        <v>ojango.pt</v>
      </c>
      <c r="G114" s="305" t="s">
        <v>4262</v>
      </c>
      <c r="H114" s="242" t="s">
        <v>4263</v>
      </c>
      <c r="I114" s="244"/>
      <c r="J114" s="258" t="str">
        <f>HYPERLINK("https://www.google.com/maps/search/O%20Jango%20Funchal%20Portugal/@32.65,-16.9014,17z","🍷 O Jango")</f>
        <v>🍷 O Jango</v>
      </c>
    </row>
    <row r="115" spans="1:10" ht="110" customHeight="1" x14ac:dyDescent="0.35">
      <c r="A115" s="338">
        <v>111</v>
      </c>
      <c r="B115" s="239" t="s">
        <v>4264</v>
      </c>
      <c r="C115" s="240" t="s">
        <v>4265</v>
      </c>
      <c r="D115" s="239" t="s">
        <v>4250</v>
      </c>
      <c r="E115" s="239" t="s">
        <v>4266</v>
      </c>
      <c r="F115" s="241" t="str">
        <f>HYPERLINK("https://tabernabonjehus.pt","tabernabonjehus.pt")</f>
        <v>tabernabonjehus.pt</v>
      </c>
      <c r="G115" s="304" t="s">
        <v>4267</v>
      </c>
      <c r="H115" s="239" t="s">
        <v>4268</v>
      </c>
      <c r="I115" s="241"/>
      <c r="J115" s="257" t="str">
        <f>HYPERLINK("https://www.google.com/maps/search/Taberna%20do%20Bom%20Jesus%20Funchal%20Portugal/@32.65,-16.9014,17z","🍷 Taberna do Bom Jesus")</f>
        <v>🍷 Taberna do Bom Jesus</v>
      </c>
    </row>
    <row r="116" spans="1:10" ht="110" customHeight="1" x14ac:dyDescent="0.35">
      <c r="A116" s="336">
        <v>112</v>
      </c>
      <c r="B116" s="242" t="s">
        <v>4269</v>
      </c>
      <c r="C116" s="243" t="s">
        <v>4270</v>
      </c>
      <c r="D116" s="242" t="s">
        <v>4271</v>
      </c>
      <c r="E116" s="242" t="s">
        <v>4272</v>
      </c>
      <c r="F116" s="244" t="str">
        <f>HYPERLINK("https://opescador-madeira.pt","opescador-madeira.pt")</f>
        <v>opescador-madeira.pt</v>
      </c>
      <c r="G116" s="305" t="s">
        <v>4273</v>
      </c>
      <c r="H116" s="242" t="s">
        <v>4274</v>
      </c>
      <c r="I116" s="244"/>
      <c r="J116" s="258" t="str">
        <f>HYPERLINK("https://www.google.com/maps/search/O%20Pescador%20C%C3%A2mara%20de%20Lobos%20Portugal/@32.6512,-16.9783,17z","🍷 O Pescador")</f>
        <v>🍷 O Pescador</v>
      </c>
    </row>
    <row r="117" spans="1:10" ht="110" customHeight="1" x14ac:dyDescent="0.35">
      <c r="A117" s="338">
        <v>113</v>
      </c>
      <c r="B117" s="239" t="s">
        <v>4275</v>
      </c>
      <c r="C117" s="240" t="s">
        <v>4276</v>
      </c>
      <c r="D117" s="239" t="s">
        <v>4277</v>
      </c>
      <c r="E117" s="239" t="s">
        <v>4278</v>
      </c>
      <c r="F117" s="241" t="str">
        <f>HYPERLINK("https://restaurantesantana.pt","restaurantesantana.pt")</f>
        <v>restaurantesantana.pt</v>
      </c>
      <c r="G117" s="304" t="s">
        <v>4279</v>
      </c>
      <c r="H117" s="239" t="s">
        <v>4280</v>
      </c>
      <c r="I117" s="241"/>
      <c r="J117" s="257" t="str">
        <f>HYPERLINK("https://www.google.com/maps/search/Restaurante%20T%C3%ADpico%20Santana%20Portugal/@32.803,-16.884,17z","🍷 Restaurante Típico Santana")</f>
        <v>🍷 Restaurante Típico Santana</v>
      </c>
    </row>
    <row r="118" spans="1:10" ht="22" customHeight="1" x14ac:dyDescent="0.35">
      <c r="A118" s="1480" t="s">
        <v>4281</v>
      </c>
      <c r="B118" s="1313"/>
      <c r="C118" s="1313"/>
      <c r="D118" s="1313"/>
      <c r="E118" s="1313"/>
      <c r="F118" s="1313"/>
      <c r="G118" s="1313"/>
      <c r="H118" s="1313"/>
      <c r="I118" s="1313"/>
    </row>
    <row r="119" spans="1:10" ht="110" customHeight="1" x14ac:dyDescent="0.35">
      <c r="A119" s="360">
        <v>1</v>
      </c>
      <c r="B119" s="245" t="s">
        <v>4282</v>
      </c>
      <c r="C119" s="246" t="s">
        <v>4283</v>
      </c>
      <c r="D119" s="245" t="s">
        <v>4284</v>
      </c>
      <c r="E119" s="245" t="s">
        <v>4285</v>
      </c>
      <c r="F119" s="245" t="str">
        <f>HYPERLINK("https://tascadochico.com","tascadochico.com")</f>
        <v>tascadochico.com</v>
      </c>
      <c r="G119" s="305" t="s">
        <v>4286</v>
      </c>
      <c r="H119" s="245" t="s">
        <v>4287</v>
      </c>
      <c r="I119" s="247"/>
      <c r="J119" s="265" t="str">
        <f>HYPERLINK("https://www.google.com/maps/search/Tasca%20do%20Chico%20Lisboa%20Alfama%20Portugal/@38.7139,-9.1394,17z","🍷 Tasca do Chico")</f>
        <v>🍷 Tasca do Chico</v>
      </c>
    </row>
    <row r="120" spans="1:10" ht="110" customHeight="1" x14ac:dyDescent="0.35">
      <c r="A120" s="340">
        <v>2</v>
      </c>
      <c r="B120" s="248" t="s">
        <v>4288</v>
      </c>
      <c r="C120" s="249" t="s">
        <v>4289</v>
      </c>
      <c r="D120" s="248" t="s">
        <v>4290</v>
      </c>
      <c r="E120" s="248" t="s">
        <v>4291</v>
      </c>
      <c r="F120" s="248" t="str">
        <f>HYPERLINK("https://acevicheria.pt","acevicheria.pt")</f>
        <v>acevicheria.pt</v>
      </c>
      <c r="G120" s="304" t="s">
        <v>4292</v>
      </c>
      <c r="H120" s="248" t="s">
        <v>4293</v>
      </c>
      <c r="I120" s="250"/>
      <c r="J120" s="266" t="str">
        <f>HYPERLINK("https://www.google.com/maps/search/A%20Cevicheria%20Lisboa%20Pr%C3%ADncipe%20Real%20Portugal/@38.7139,-9.1394,17z","🍷 A Cevicheria")</f>
        <v>🍷 A Cevicheria</v>
      </c>
    </row>
    <row r="121" spans="1:10" ht="110" customHeight="1" x14ac:dyDescent="0.35">
      <c r="A121" s="360">
        <v>3</v>
      </c>
      <c r="B121" s="245" t="s">
        <v>4294</v>
      </c>
      <c r="C121" s="246" t="s">
        <v>4295</v>
      </c>
      <c r="D121" s="245" t="s">
        <v>4296</v>
      </c>
      <c r="E121" s="245" t="s">
        <v>4297</v>
      </c>
      <c r="F121" s="247" t="str">
        <f>HYPERLINK("https://tabernaruadasflores.com","tabernaruadasflores.com")</f>
        <v>tabernaruadasflores.com</v>
      </c>
      <c r="G121" s="305" t="s">
        <v>4298</v>
      </c>
      <c r="H121" s="245" t="s">
        <v>4299</v>
      </c>
      <c r="I121" s="247"/>
      <c r="J121" s="265" t="str">
        <f>HYPERLINK("https://www.google.com/maps/search/Taberna%20da%20Rua%20das%20Flores%20Rua%20das%20Flores%20103%2C%20Lisboa%20Portugal/@38.7139,-9.1394,17z","🍷 Taberna da Rua das Flores")</f>
        <v>🍷 Taberna da Rua das Flores</v>
      </c>
    </row>
    <row r="122" spans="1:10" ht="110" customHeight="1" x14ac:dyDescent="0.35">
      <c r="A122" s="340">
        <v>4</v>
      </c>
      <c r="B122" s="248" t="s">
        <v>4300</v>
      </c>
      <c r="C122" s="249" t="s">
        <v>4301</v>
      </c>
      <c r="D122" s="248" t="s">
        <v>4302</v>
      </c>
      <c r="E122" s="248" t="s">
        <v>4303</v>
      </c>
      <c r="F122" s="248" t="str">
        <f>HYPERLINK("https://zemouraria.pt","zemouraria.pt")</f>
        <v>zemouraria.pt</v>
      </c>
      <c r="G122" s="304" t="s">
        <v>4304</v>
      </c>
      <c r="H122" s="248" t="s">
        <v>4305</v>
      </c>
      <c r="I122" s="250"/>
      <c r="J122" s="266" t="str">
        <f>HYPERLINK("https://www.google.com/maps/search/Z%C3%A9%20da%20Mouraria%20Lisboa%20Mouraria%20Portugal/@38.7139,-9.1394,17z","🍷 Zé da Mouraria")</f>
        <v>🍷 Zé da Mouraria</v>
      </c>
    </row>
    <row r="123" spans="1:10" ht="110" customHeight="1" x14ac:dyDescent="0.35">
      <c r="A123" s="360">
        <v>5</v>
      </c>
      <c r="B123" s="245" t="s">
        <v>4306</v>
      </c>
      <c r="C123" s="246" t="s">
        <v>4307</v>
      </c>
      <c r="D123" s="245" t="s">
        <v>4308</v>
      </c>
      <c r="E123" s="245" t="s">
        <v>4309</v>
      </c>
      <c r="F123" s="247" t="str">
        <f>HYPERLINK("https://solardospresuntos.com","solardospresuntos.com")</f>
        <v>solardospresuntos.com</v>
      </c>
      <c r="G123" s="305" t="s">
        <v>4310</v>
      </c>
      <c r="H123" s="245" t="s">
        <v>4311</v>
      </c>
      <c r="I123" s="247"/>
      <c r="J123" s="265" t="str">
        <f>HYPERLINK("https://www.google.com/maps/search/O%20Solar%20dos%20Presuntos%20Lisboa%20Baixa%20Portugal/@38.7139,-9.1394,17z","🍷 O Solar dos Presuntos")</f>
        <v>🍷 O Solar dos Presuntos</v>
      </c>
    </row>
    <row r="124" spans="1:10" ht="110" customHeight="1" x14ac:dyDescent="0.35">
      <c r="A124" s="340">
        <v>6</v>
      </c>
      <c r="B124" s="248" t="s">
        <v>4312</v>
      </c>
      <c r="C124" s="249" t="s">
        <v>4313</v>
      </c>
      <c r="D124" s="248" t="s">
        <v>4302</v>
      </c>
      <c r="E124" s="248" t="s">
        <v>4314</v>
      </c>
      <c r="F124" s="248" t="str">
        <f>HYPERLINK("https://tascardoso.pt","tascardoso.pt")</f>
        <v>tascardoso.pt</v>
      </c>
      <c r="G124" s="304" t="s">
        <v>4315</v>
      </c>
      <c r="H124" s="248" t="s">
        <v>4316</v>
      </c>
      <c r="I124" s="250"/>
      <c r="J124" s="266" t="str">
        <f>HYPERLINK("https://www.google.com/maps/search/Tascardoso%20Lisboa%20Mouraria%20Portugal/@38.7139,-9.1394,17z","🍷 Tascardoso")</f>
        <v>🍷 Tascardoso</v>
      </c>
    </row>
    <row r="125" spans="1:10" ht="110" customHeight="1" x14ac:dyDescent="0.35">
      <c r="A125" s="360">
        <v>7</v>
      </c>
      <c r="B125" s="245" t="s">
        <v>4317</v>
      </c>
      <c r="C125" s="246" t="s">
        <v>4318</v>
      </c>
      <c r="D125" s="245" t="s">
        <v>4296</v>
      </c>
      <c r="E125" s="245" t="s">
        <v>4319</v>
      </c>
      <c r="F125" s="247" t="str">
        <f>HYPERLINK("https://tabernasalgrosso.pt","tabernasalgrosso.pt")</f>
        <v>tabernasalgrosso.pt</v>
      </c>
      <c r="G125" s="305" t="s">
        <v>4320</v>
      </c>
      <c r="H125" s="245" t="s">
        <v>4321</v>
      </c>
      <c r="I125" s="247"/>
      <c r="J125" s="265" t="str">
        <f>HYPERLINK("https://www.google.com/maps/search/Taberna%20Sal%20Grosso%20Lisboa%20Chiado%20Portugal/@38.7139,-9.1394,17z","🍷 Taberna Sal Grosso")</f>
        <v>🍷 Taberna Sal Grosso</v>
      </c>
    </row>
    <row r="126" spans="1:10" ht="110" customHeight="1" x14ac:dyDescent="0.35">
      <c r="A126" s="340">
        <v>8</v>
      </c>
      <c r="B126" s="248" t="s">
        <v>4322</v>
      </c>
      <c r="C126" s="249" t="s">
        <v>4323</v>
      </c>
      <c r="D126" s="248" t="s">
        <v>4324</v>
      </c>
      <c r="E126" s="248" t="s">
        <v>4325</v>
      </c>
      <c r="F126" s="248" t="str">
        <f>HYPERLINK("https://atravessa.com.pt","atravessa.com.pt")</f>
        <v>atravessa.com.pt</v>
      </c>
      <c r="G126" s="304" t="s">
        <v>4326</v>
      </c>
      <c r="H126" s="248" t="s">
        <v>4327</v>
      </c>
      <c r="I126" s="250"/>
      <c r="J126" s="266" t="str">
        <f>HYPERLINK("https://www.google.com/maps/search/A%20Travessa%20Lisboa%20Santos%20Portugal/@38.7139,-9.1394,17z","🍷 A Travessa")</f>
        <v>🍷 A Travessa</v>
      </c>
    </row>
    <row r="127" spans="1:10" ht="110" customHeight="1" x14ac:dyDescent="0.35">
      <c r="A127" s="360">
        <v>9</v>
      </c>
      <c r="B127" s="245" t="s">
        <v>4328</v>
      </c>
      <c r="C127" s="246" t="s">
        <v>4329</v>
      </c>
      <c r="D127" s="245" t="s">
        <v>4330</v>
      </c>
      <c r="E127" s="245" t="s">
        <v>4331</v>
      </c>
      <c r="F127" s="245" t="str">
        <f>HYPERLINK("https://tabernagremio.pt","tabernagremio.pt")</f>
        <v>tabernagremio.pt</v>
      </c>
      <c r="G127" s="305" t="s">
        <v>4332</v>
      </c>
      <c r="H127" s="245" t="s">
        <v>4333</v>
      </c>
      <c r="I127" s="247"/>
      <c r="J127" s="265" t="str">
        <f>HYPERLINK("https://www.google.com/maps/search/Taberna%20do%20Gr%C3%A9mio%20Lisboa%20Estrela%20Portugal/@38.7139,-9.1394,17z","🍷 Taberna do Grémio")</f>
        <v>🍷 Taberna do Grémio</v>
      </c>
    </row>
    <row r="128" spans="1:10" ht="110" customHeight="1" x14ac:dyDescent="0.35">
      <c r="A128" s="340">
        <v>10</v>
      </c>
      <c r="B128" s="248" t="s">
        <v>4334</v>
      </c>
      <c r="C128" s="249" t="s">
        <v>4335</v>
      </c>
      <c r="D128" s="248" t="s">
        <v>4330</v>
      </c>
      <c r="E128" s="248" t="s">
        <v>4336</v>
      </c>
      <c r="F128" s="250" t="str">
        <f>HYPERLINK("https://tascadaesquina.com","tascadaesquina.com")</f>
        <v>tascadaesquina.com</v>
      </c>
      <c r="G128" s="304" t="s">
        <v>4337</v>
      </c>
      <c r="H128" s="248" t="s">
        <v>4338</v>
      </c>
      <c r="I128" s="250"/>
      <c r="J128" s="266" t="str">
        <f>HYPERLINK("https://www.google.com/maps/search/Tasca%20da%20Esquina%20Lisboa%20Estrela%20Portugal/@38.7139,-9.1394,17z","🍷 Tasca da Esquina")</f>
        <v>🍷 Tasca da Esquina</v>
      </c>
    </row>
    <row r="129" spans="1:10" ht="110" customHeight="1" x14ac:dyDescent="0.35">
      <c r="A129" s="360">
        <v>11</v>
      </c>
      <c r="B129" s="245" t="s">
        <v>4339</v>
      </c>
      <c r="C129" s="246" t="s">
        <v>4340</v>
      </c>
      <c r="D129" s="245" t="s">
        <v>4341</v>
      </c>
      <c r="E129" s="245" t="s">
        <v>4342</v>
      </c>
      <c r="F129" s="245" t="str">
        <f>HYPERLINK("https://ofrade-lisboa.pt","ofrade-lisboa.pt")</f>
        <v>ofrade-lisboa.pt</v>
      </c>
      <c r="G129" s="305" t="s">
        <v>4343</v>
      </c>
      <c r="H129" s="245" t="s">
        <v>4344</v>
      </c>
      <c r="I129" s="247"/>
      <c r="J129" s="265" t="str">
        <f>HYPERLINK("https://www.google.com/maps/search/O%20Frade%20Lisboa%20Alc%C3%A2ntara%20Portugal/@38.7139,-9.1394,17z","🍷 O Frade")</f>
        <v>🍷 O Frade</v>
      </c>
    </row>
    <row r="130" spans="1:10" ht="110" customHeight="1" x14ac:dyDescent="0.35">
      <c r="A130" s="340">
        <v>12</v>
      </c>
      <c r="B130" s="248" t="s">
        <v>4345</v>
      </c>
      <c r="C130" s="249" t="s">
        <v>4346</v>
      </c>
      <c r="D130" s="248" t="s">
        <v>4347</v>
      </c>
      <c r="E130" s="248" t="s">
        <v>4348</v>
      </c>
      <c r="F130" s="248" t="str">
        <f>HYPERLINK("https://tabernaocorvo.pt","tabernaocorvo.pt")</f>
        <v>tabernaocorvo.pt</v>
      </c>
      <c r="G130" s="304" t="s">
        <v>4349</v>
      </c>
      <c r="H130" s="248" t="s">
        <v>4350</v>
      </c>
      <c r="I130" s="250"/>
      <c r="J130" s="266" t="str">
        <f>HYPERLINK("https://www.google.com/maps/search/Taberna%20O%20Corvo%20Lisboa%20Gra%C3%A7a%20Portugal/@38.7139,-9.1394,17z","🍷 Taberna O Corvo")</f>
        <v>🍷 Taberna O Corvo</v>
      </c>
    </row>
    <row r="131" spans="1:10" ht="22" customHeight="1" x14ac:dyDescent="0.35">
      <c r="A131" s="1370" t="s">
        <v>871</v>
      </c>
      <c r="B131" s="1313"/>
      <c r="C131" s="1313"/>
      <c r="D131" s="1313"/>
      <c r="E131" s="1313"/>
      <c r="F131" s="1313"/>
      <c r="G131" s="1313"/>
      <c r="H131" s="1313"/>
      <c r="I131" s="1313"/>
    </row>
    <row r="132" spans="1:10" ht="110" customHeight="1" x14ac:dyDescent="0.35">
      <c r="A132" s="350">
        <v>1</v>
      </c>
      <c r="B132" s="251" t="s">
        <v>4351</v>
      </c>
      <c r="C132" s="252" t="s">
        <v>4352</v>
      </c>
      <c r="D132" s="251" t="s">
        <v>3082</v>
      </c>
      <c r="E132" s="251" t="s">
        <v>4353</v>
      </c>
      <c r="F132" s="251" t="str">
        <f>HYPERLINK("https://adegaquim.pt","adegaquim.pt")</f>
        <v>adegaquim.pt</v>
      </c>
      <c r="G132" s="305" t="s">
        <v>4354</v>
      </c>
      <c r="H132" s="251" t="s">
        <v>4355</v>
      </c>
      <c r="I132" s="253"/>
      <c r="J132" s="291" t="str">
        <f>HYPERLINK("https://www.google.com/maps/search/Adega%20Quim%20Porto%20Portugal/@41.1456,-8.6101,17z","🍷 Adega Quim")</f>
        <v>🍷 Adega Quim</v>
      </c>
    </row>
    <row r="133" spans="1:10" ht="110" customHeight="1" x14ac:dyDescent="0.35">
      <c r="A133" s="356">
        <v>2</v>
      </c>
      <c r="B133" s="254" t="s">
        <v>4356</v>
      </c>
      <c r="C133" s="255" t="s">
        <v>4352</v>
      </c>
      <c r="D133" s="254" t="s">
        <v>3082</v>
      </c>
      <c r="E133" s="254" t="s">
        <v>4357</v>
      </c>
      <c r="F133" s="256" t="str">
        <f>HYPERLINK("https://tripadvisor.pt/o-rapido-porto","tripadvisor.pt/o-rapido-porto")</f>
        <v>tripadvisor.pt/o-rapido-porto</v>
      </c>
      <c r="G133" s="304" t="s">
        <v>4358</v>
      </c>
      <c r="H133" s="254" t="s">
        <v>4359</v>
      </c>
      <c r="I133" s="256"/>
      <c r="J133" s="366" t="str">
        <f>HYPERLINK("https://www.google.com/maps/search/O%20R%C3%A1pido%20Porto%20Portugal/@41.1456,-8.6101,17z","🍷 O Rápido")</f>
        <v>🍷 O Rápido</v>
      </c>
    </row>
    <row r="134" spans="1:10" ht="110" customHeight="1" x14ac:dyDescent="0.35">
      <c r="A134" s="350">
        <v>3</v>
      </c>
      <c r="B134" s="251" t="s">
        <v>4360</v>
      </c>
      <c r="C134" s="252" t="s">
        <v>4361</v>
      </c>
      <c r="D134" s="251" t="s">
        <v>3082</v>
      </c>
      <c r="E134" s="251" t="s">
        <v>4362</v>
      </c>
      <c r="F134" s="253" t="str">
        <f>HYPERLINK("https://tripadvisor.pt/adega-viseu-porto","tripadvisor.pt/adega-viseu-porto")</f>
        <v>tripadvisor.pt/adega-viseu-porto</v>
      </c>
      <c r="G134" s="305" t="s">
        <v>4363</v>
      </c>
      <c r="H134" s="251" t="s">
        <v>4364</v>
      </c>
      <c r="I134" s="253"/>
      <c r="J134" s="291" t="str">
        <f>HYPERLINK("https://www.google.com/maps/search/Adega%20Viseu%20no%20Porto%20Portugal/@41.1455,-8.6103,17z","🍷 Adega Viseu no Porto")</f>
        <v>🍷 Adega Viseu no Porto</v>
      </c>
    </row>
    <row r="136" spans="1:10" x14ac:dyDescent="0.35">
      <c r="A136" s="1353" t="s">
        <v>4365</v>
      </c>
      <c r="B136" s="1354"/>
      <c r="C136" s="1354"/>
      <c r="D136" s="1354"/>
      <c r="E136" s="1354"/>
      <c r="F136" s="1354"/>
      <c r="G136" s="1354"/>
      <c r="H136" s="1354"/>
      <c r="I136" s="1354"/>
    </row>
  </sheetData>
  <mergeCells count="6">
    <mergeCell ref="A2:I2"/>
    <mergeCell ref="A1:I1"/>
    <mergeCell ref="A118:I118"/>
    <mergeCell ref="A136:I136"/>
    <mergeCell ref="A131:I131"/>
    <mergeCell ref="A4:I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02"/>
  <sheetViews>
    <sheetView workbookViewId="0">
      <pane ySplit="3" topLeftCell="A349" activePane="bottomLeft" state="frozen"/>
      <selection pane="bottomLeft" activeCell="H353" sqref="H353"/>
    </sheetView>
  </sheetViews>
  <sheetFormatPr defaultRowHeight="14.5" x14ac:dyDescent="0.35"/>
  <cols>
    <col min="1" max="1" width="4" customWidth="1"/>
    <col min="2" max="2" width="42" customWidth="1"/>
    <col min="3" max="3" width="10" customWidth="1"/>
    <col min="4" max="4" width="32" customWidth="1"/>
    <col min="5" max="5" width="12" customWidth="1"/>
    <col min="6" max="6" width="18" customWidth="1"/>
    <col min="7" max="7" width="14" customWidth="1"/>
    <col min="8" max="8" width="20" customWidth="1"/>
    <col min="9" max="9" width="26" customWidth="1"/>
    <col min="10" max="10" width="24" customWidth="1"/>
    <col min="11" max="11" width="52" customWidth="1"/>
  </cols>
  <sheetData>
    <row r="1" spans="1:11" ht="32" customHeight="1" x14ac:dyDescent="0.35">
      <c r="A1" s="1476" t="s">
        <v>4366</v>
      </c>
      <c r="B1" s="1313"/>
      <c r="C1" s="1313"/>
      <c r="D1" s="1313"/>
      <c r="E1" s="1313"/>
      <c r="F1" s="1313"/>
      <c r="G1" s="1313"/>
      <c r="H1" s="1313"/>
      <c r="I1" s="1313"/>
      <c r="J1" s="1313"/>
      <c r="K1" s="1313"/>
    </row>
    <row r="2" spans="1:11" ht="16" customHeight="1" x14ac:dyDescent="0.35">
      <c r="A2" s="1365" t="s">
        <v>4367</v>
      </c>
      <c r="B2" s="1313"/>
      <c r="C2" s="1313"/>
      <c r="D2" s="1313"/>
      <c r="E2" s="1313"/>
      <c r="F2" s="1313"/>
      <c r="G2" s="1313"/>
      <c r="H2" s="1313"/>
      <c r="I2" s="1313"/>
      <c r="J2" s="1313"/>
      <c r="K2" s="1313"/>
    </row>
    <row r="3" spans="1:11" ht="24" customHeight="1" x14ac:dyDescent="0.35">
      <c r="A3" s="238" t="s">
        <v>141</v>
      </c>
      <c r="B3" s="238" t="s">
        <v>785</v>
      </c>
      <c r="C3" s="238" t="s">
        <v>619</v>
      </c>
      <c r="D3" s="238" t="s">
        <v>4368</v>
      </c>
      <c r="E3" s="238" t="s">
        <v>4369</v>
      </c>
      <c r="F3" s="238" t="s">
        <v>1324</v>
      </c>
      <c r="G3" s="238" t="s">
        <v>4370</v>
      </c>
      <c r="H3" s="238" t="s">
        <v>909</v>
      </c>
      <c r="I3" s="238" t="s">
        <v>539</v>
      </c>
      <c r="J3" s="238" t="s">
        <v>789</v>
      </c>
      <c r="K3" s="303" t="s">
        <v>8</v>
      </c>
    </row>
    <row r="4" spans="1:11" ht="22" customHeight="1" x14ac:dyDescent="0.35">
      <c r="A4" s="1479" t="s">
        <v>4371</v>
      </c>
      <c r="B4" s="1313"/>
      <c r="C4" s="1313"/>
      <c r="D4" s="1313"/>
      <c r="E4" s="1313"/>
      <c r="F4" s="1313"/>
      <c r="G4" s="1313"/>
      <c r="H4" s="1313"/>
      <c r="I4" s="1313"/>
      <c r="J4" s="1313"/>
      <c r="K4" s="1313"/>
    </row>
    <row r="5" spans="1:11" ht="110" customHeight="1" x14ac:dyDescent="0.35">
      <c r="A5" s="338">
        <v>1</v>
      </c>
      <c r="B5" s="239" t="s">
        <v>4372</v>
      </c>
      <c r="C5" s="240" t="s">
        <v>792</v>
      </c>
      <c r="D5" s="239" t="s">
        <v>4373</v>
      </c>
      <c r="E5" s="239"/>
      <c r="F5" s="239"/>
      <c r="G5" s="239" t="s">
        <v>4374</v>
      </c>
      <c r="H5" s="239" t="s">
        <v>4375</v>
      </c>
      <c r="I5" s="239" t="s">
        <v>4376</v>
      </c>
      <c r="J5" s="257" t="str">
        <f>HYPERLINK("https://www.google.com/maps/search/Museu%20Municipal%20de%20Viana%20do%20Castelo%20Norte%20Portugal/@41.6917,-8.8297,17z","🏛 Museu Municipal de Viana do…")</f>
        <v>🏛 Museu Municipal de Viana do…</v>
      </c>
      <c r="K5" s="304" t="s">
        <v>4377</v>
      </c>
    </row>
    <row r="6" spans="1:11" ht="110" customHeight="1" x14ac:dyDescent="0.35">
      <c r="A6" s="336">
        <v>2</v>
      </c>
      <c r="B6" s="242" t="s">
        <v>4378</v>
      </c>
      <c r="C6" s="243" t="s">
        <v>792</v>
      </c>
      <c r="D6" s="242" t="s">
        <v>4379</v>
      </c>
      <c r="E6" s="242"/>
      <c r="F6" s="242"/>
      <c r="G6" s="242" t="s">
        <v>4374</v>
      </c>
      <c r="H6" s="242" t="s">
        <v>4375</v>
      </c>
      <c r="I6" s="242" t="s">
        <v>4376</v>
      </c>
      <c r="J6" s="258" t="str">
        <f>HYPERLINK("https://www.google.com/maps/search/Museu%20do%20Traje%20de%20Viana%20do%20Castelo%20Norte%20Portugal/@41.6917,-8.8297,17z","🏛 Museu do Traje de Viana do …")</f>
        <v>🏛 Museu do Traje de Viana do …</v>
      </c>
      <c r="K6" s="305" t="s">
        <v>4380</v>
      </c>
    </row>
    <row r="7" spans="1:11" ht="110" customHeight="1" x14ac:dyDescent="0.35">
      <c r="A7" s="338">
        <v>3</v>
      </c>
      <c r="B7" s="239" t="s">
        <v>4381</v>
      </c>
      <c r="C7" s="240" t="s">
        <v>792</v>
      </c>
      <c r="D7" s="239" t="s">
        <v>4373</v>
      </c>
      <c r="E7" s="239"/>
      <c r="F7" s="239"/>
      <c r="G7" s="239" t="s">
        <v>4374</v>
      </c>
      <c r="H7" s="239" t="s">
        <v>4375</v>
      </c>
      <c r="I7" s="239" t="s">
        <v>4376</v>
      </c>
      <c r="J7" s="257" t="str">
        <f>HYPERLINK("https://www.google.com/maps/search/Museu%20de%20Arte%20e%20Arqueologia%20de%20Viana%20do%20Castelo%20Norte%20Portugal/@41.6917,-8.8297,17z","🏛 Museu de Arte e Arqueologia…")</f>
        <v>🏛 Museu de Arte e Arqueologia…</v>
      </c>
      <c r="K7" s="304" t="s">
        <v>4377</v>
      </c>
    </row>
    <row r="8" spans="1:11" ht="110" customHeight="1" x14ac:dyDescent="0.35">
      <c r="A8" s="336">
        <v>4</v>
      </c>
      <c r="B8" s="242" t="s">
        <v>4382</v>
      </c>
      <c r="C8" s="243" t="s">
        <v>792</v>
      </c>
      <c r="D8" s="242" t="s">
        <v>4383</v>
      </c>
      <c r="E8" s="242"/>
      <c r="F8" s="242"/>
      <c r="G8" s="242" t="s">
        <v>3697</v>
      </c>
      <c r="H8" s="242" t="s">
        <v>2944</v>
      </c>
      <c r="I8" s="242" t="s">
        <v>4384</v>
      </c>
      <c r="J8" s="258" t="str">
        <f>HYPERLINK("https://www.google.com/maps/search/Navio%20Gil%20Eannes%20%E2%80%94%20N%C3%BAcleo%20Museol%C3%B3gico%20Cais%20do%20Gil%20Eannes%2C%20Portugal/@41.6917,-8.8297,17z","🏛 Navio Gil Eannes — Núcleo M…")</f>
        <v>🏛 Navio Gil Eannes — Núcleo M…</v>
      </c>
      <c r="K8" s="305" t="s">
        <v>4385</v>
      </c>
    </row>
    <row r="9" spans="1:11" ht="110" customHeight="1" x14ac:dyDescent="0.35">
      <c r="A9" s="338">
        <v>5</v>
      </c>
      <c r="B9" s="239" t="s">
        <v>4386</v>
      </c>
      <c r="C9" s="240" t="s">
        <v>792</v>
      </c>
      <c r="D9" s="239" t="s">
        <v>4387</v>
      </c>
      <c r="E9" s="239"/>
      <c r="F9" s="239"/>
      <c r="G9" s="239" t="s">
        <v>4374</v>
      </c>
      <c r="H9" s="239" t="s">
        <v>4375</v>
      </c>
      <c r="I9" s="239" t="s">
        <v>4376</v>
      </c>
      <c r="J9" s="257" t="str">
        <f>HYPERLINK("https://www.google.com/maps/search/Museu%20do%20Brinquedo%20Portugu%C3%AAs%20Norte%20Portugal/@41.7678,-8.5831,17z","🏛 Museu do Brinquedo Português")</f>
        <v>🏛 Museu do Brinquedo Português</v>
      </c>
      <c r="K9" s="304" t="s">
        <v>4388</v>
      </c>
    </row>
    <row r="10" spans="1:11" ht="110" customHeight="1" x14ac:dyDescent="0.35">
      <c r="A10" s="336">
        <v>6</v>
      </c>
      <c r="B10" s="242" t="s">
        <v>4389</v>
      </c>
      <c r="C10" s="243" t="s">
        <v>792</v>
      </c>
      <c r="D10" s="242" t="s">
        <v>4390</v>
      </c>
      <c r="E10" s="242"/>
      <c r="F10" s="242"/>
      <c r="G10" s="242" t="s">
        <v>4374</v>
      </c>
      <c r="H10" s="242" t="s">
        <v>4375</v>
      </c>
      <c r="I10" s="242" t="s">
        <v>4376</v>
      </c>
      <c r="J10" s="258" t="str">
        <f>HYPERLINK("https://www.google.com/maps/search/Museu%20dos%20Terceiros%20Norte%20Portugal/@41.7678,-8.5831,17z","🏛 Museu dos Terceiros")</f>
        <v>🏛 Museu dos Terceiros</v>
      </c>
      <c r="K10" s="305" t="s">
        <v>4391</v>
      </c>
    </row>
    <row r="11" spans="1:11" ht="110" customHeight="1" x14ac:dyDescent="0.35">
      <c r="A11" s="338">
        <v>7</v>
      </c>
      <c r="B11" s="239" t="s">
        <v>4392</v>
      </c>
      <c r="C11" s="240" t="s">
        <v>792</v>
      </c>
      <c r="D11" s="239" t="s">
        <v>4393</v>
      </c>
      <c r="E11" s="239"/>
      <c r="F11" s="239"/>
      <c r="G11" s="239" t="s">
        <v>4374</v>
      </c>
      <c r="H11" s="239" t="s">
        <v>4375</v>
      </c>
      <c r="I11" s="239" t="s">
        <v>4376</v>
      </c>
      <c r="J11" s="257" t="str">
        <f>HYPERLINK("https://www.google.com/maps/search/Centro%20de%20Interpreta%C3%A7%C3%A3o%20do%20Territ%C3%B3rio%20Arcozelo%2C%20Portugal/@41.7678,-8.5831,17z","🏛 Centro de Interpretação do …")</f>
        <v>🏛 Centro de Interpretação do …</v>
      </c>
      <c r="K11" s="304" t="s">
        <v>4394</v>
      </c>
    </row>
    <row r="12" spans="1:11" ht="110" customHeight="1" x14ac:dyDescent="0.35">
      <c r="A12" s="336">
        <v>8</v>
      </c>
      <c r="B12" s="242" t="s">
        <v>4395</v>
      </c>
      <c r="C12" s="243" t="s">
        <v>792</v>
      </c>
      <c r="D12" s="242" t="s">
        <v>4396</v>
      </c>
      <c r="E12" s="242"/>
      <c r="F12" s="242"/>
      <c r="G12" s="242" t="s">
        <v>4374</v>
      </c>
      <c r="H12" s="242" t="s">
        <v>4375</v>
      </c>
      <c r="I12" s="242" t="s">
        <v>4376</v>
      </c>
      <c r="J12" s="258" t="str">
        <f>HYPERLINK("https://www.google.com/maps/search/Museu%20Municipal%20de%20Caminha%20Norte%20Portugal/@41.8722,-8.8389,17z","🏛 Museu Municipal de Caminha")</f>
        <v>🏛 Museu Municipal de Caminha</v>
      </c>
      <c r="K12" s="305" t="s">
        <v>4397</v>
      </c>
    </row>
    <row r="13" spans="1:11" ht="110" customHeight="1" x14ac:dyDescent="0.35">
      <c r="A13" s="338">
        <v>9</v>
      </c>
      <c r="B13" s="239" t="s">
        <v>4398</v>
      </c>
      <c r="C13" s="240" t="s">
        <v>792</v>
      </c>
      <c r="D13" s="239" t="s">
        <v>4396</v>
      </c>
      <c r="E13" s="239"/>
      <c r="F13" s="239"/>
      <c r="G13" s="239" t="s">
        <v>4374</v>
      </c>
      <c r="H13" s="239" t="s">
        <v>4375</v>
      </c>
      <c r="I13" s="239" t="s">
        <v>4376</v>
      </c>
      <c r="J13" s="257" t="str">
        <f>HYPERLINK("https://www.google.com/maps/search/N%C3%BAcleo%20Museol%C3%B3gico%20da%20Torre%20do%20Rel%C3%B3gio%20Norte%20Portugal/@41.8722,-8.8389,17z","🏛 Núcleo Museológico da Torre…")</f>
        <v>🏛 Núcleo Museológico da Torre…</v>
      </c>
      <c r="K13" s="304" t="s">
        <v>4397</v>
      </c>
    </row>
    <row r="14" spans="1:11" ht="110" customHeight="1" x14ac:dyDescent="0.35">
      <c r="A14" s="336">
        <v>10</v>
      </c>
      <c r="B14" s="242" t="s">
        <v>4399</v>
      </c>
      <c r="C14" s="243" t="s">
        <v>792</v>
      </c>
      <c r="D14" s="242" t="s">
        <v>4400</v>
      </c>
      <c r="E14" s="242"/>
      <c r="F14" s="242"/>
      <c r="G14" s="242" t="s">
        <v>4374</v>
      </c>
      <c r="H14" s="242" t="s">
        <v>4375</v>
      </c>
      <c r="I14" s="242" t="s">
        <v>4376</v>
      </c>
      <c r="J14" s="258" t="str">
        <f>HYPERLINK("https://www.google.com/maps/search/Museu%20Municipal%20de%20Vila%20Nova%20de%20Cerveira%20Norte%20Portugal/@41.94,-8.7417,17z","🏛 Museu Municipal de Vila Nov…")</f>
        <v>🏛 Museu Municipal de Vila Nov…</v>
      </c>
      <c r="K14" s="305" t="s">
        <v>4401</v>
      </c>
    </row>
    <row r="15" spans="1:11" ht="110" customHeight="1" x14ac:dyDescent="0.35">
      <c r="A15" s="338">
        <v>11</v>
      </c>
      <c r="B15" s="239" t="s">
        <v>4402</v>
      </c>
      <c r="C15" s="240" t="s">
        <v>792</v>
      </c>
      <c r="D15" s="239" t="s">
        <v>4403</v>
      </c>
      <c r="E15" s="239"/>
      <c r="F15" s="239"/>
      <c r="G15" s="239" t="s">
        <v>3697</v>
      </c>
      <c r="H15" s="239" t="s">
        <v>2944</v>
      </c>
      <c r="I15" s="239" t="s">
        <v>4384</v>
      </c>
      <c r="J15" s="257" t="str">
        <f>HYPERLINK("https://www.google.com/maps/search/Bienal%20de%20Cerveira%20%E2%80%94%20N%C3%BAcleo%20Museol%C3%B3gico%20Norte%20Portugal/@41.94,-8.7417,17z","🏛 Bienal de Cerveira — Núcleo…")</f>
        <v>🏛 Bienal de Cerveira — Núcleo…</v>
      </c>
      <c r="K15" s="304" t="s">
        <v>4404</v>
      </c>
    </row>
    <row r="16" spans="1:11" ht="110" customHeight="1" x14ac:dyDescent="0.35">
      <c r="A16" s="336">
        <v>12</v>
      </c>
      <c r="B16" s="242" t="s">
        <v>4405</v>
      </c>
      <c r="C16" s="243" t="s">
        <v>792</v>
      </c>
      <c r="D16" s="242" t="s">
        <v>4406</v>
      </c>
      <c r="E16" s="242"/>
      <c r="F16" s="242"/>
      <c r="G16" s="242" t="s">
        <v>4374</v>
      </c>
      <c r="H16" s="242" t="s">
        <v>4375</v>
      </c>
      <c r="I16" s="242" t="s">
        <v>4376</v>
      </c>
      <c r="J16" s="258" t="str">
        <f>HYPERLINK("https://www.google.com/maps/search/Museu%20Municipal%20de%20Valen%C3%A7a%20Norte%20Portugal/@42.0219,-8.6383,17z","🏛 Museu Municipal de Valença")</f>
        <v>🏛 Museu Municipal de Valença</v>
      </c>
      <c r="K16" s="305" t="s">
        <v>4407</v>
      </c>
    </row>
    <row r="17" spans="1:11" ht="110" customHeight="1" x14ac:dyDescent="0.35">
      <c r="A17" s="338">
        <v>13</v>
      </c>
      <c r="B17" s="239" t="s">
        <v>4408</v>
      </c>
      <c r="C17" s="240" t="s">
        <v>792</v>
      </c>
      <c r="D17" s="239" t="s">
        <v>4409</v>
      </c>
      <c r="E17" s="239"/>
      <c r="F17" s="239"/>
      <c r="G17" s="239" t="s">
        <v>4374</v>
      </c>
      <c r="H17" s="239" t="s">
        <v>4375</v>
      </c>
      <c r="I17" s="239" t="s">
        <v>4376</v>
      </c>
      <c r="J17" s="257" t="str">
        <f>HYPERLINK("https://www.google.com/maps/search/N%C3%BAcleo%20Museol%C3%B3gico%20da%20Fortaleza%20de%20Valen%C3%A7a%20Fortaleza%20de%20Valen%C3%A7a%2C%20Portugal/@42.0219,-8.6383,17z","🏛 Núcleo Museológico da Forta…")</f>
        <v>🏛 Núcleo Museológico da Forta…</v>
      </c>
      <c r="K17" s="304" t="s">
        <v>4410</v>
      </c>
    </row>
    <row r="18" spans="1:11" ht="110" customHeight="1" x14ac:dyDescent="0.35">
      <c r="A18" s="336">
        <v>14</v>
      </c>
      <c r="B18" s="242" t="s">
        <v>4411</v>
      </c>
      <c r="C18" s="243" t="s">
        <v>792</v>
      </c>
      <c r="D18" s="242" t="s">
        <v>4412</v>
      </c>
      <c r="E18" s="242"/>
      <c r="F18" s="242"/>
      <c r="G18" s="242" t="s">
        <v>4374</v>
      </c>
      <c r="H18" s="242" t="s">
        <v>4375</v>
      </c>
      <c r="I18" s="242" t="s">
        <v>4376</v>
      </c>
      <c r="J18" s="258" t="str">
        <f>HYPERLINK("https://www.google.com/maps/search/Museu%20Municipal%20de%20Mon%C3%A7%C3%A3o%20Norte%20Portugal/@42.0775,-8.4772,17z","🏛 Museu Municipal de Monção")</f>
        <v>🏛 Museu Municipal de Monção</v>
      </c>
      <c r="K18" s="305" t="s">
        <v>4413</v>
      </c>
    </row>
    <row r="19" spans="1:11" ht="110" customHeight="1" x14ac:dyDescent="0.35">
      <c r="A19" s="338">
        <v>15</v>
      </c>
      <c r="B19" s="239" t="s">
        <v>4414</v>
      </c>
      <c r="C19" s="240" t="s">
        <v>792</v>
      </c>
      <c r="D19" s="239" t="s">
        <v>4415</v>
      </c>
      <c r="E19" s="239"/>
      <c r="F19" s="239"/>
      <c r="G19" s="239" t="s">
        <v>4374</v>
      </c>
      <c r="H19" s="239" t="s">
        <v>4375</v>
      </c>
      <c r="I19" s="239" t="s">
        <v>4376</v>
      </c>
      <c r="J19" s="257" t="str">
        <f>HYPERLINK("https://www.google.com/maps/search/Museu%20do%20Alvarinho%20Norte%20Portugal/@42.0775,-8.4772,17z","🏛 Museu do Alvarinho")</f>
        <v>🏛 Museu do Alvarinho</v>
      </c>
      <c r="K19" s="304" t="s">
        <v>4416</v>
      </c>
    </row>
    <row r="20" spans="1:11" ht="110" customHeight="1" x14ac:dyDescent="0.35">
      <c r="A20" s="336">
        <v>16</v>
      </c>
      <c r="B20" s="242" t="s">
        <v>4417</v>
      </c>
      <c r="C20" s="243" t="s">
        <v>792</v>
      </c>
      <c r="D20" s="242" t="s">
        <v>4418</v>
      </c>
      <c r="E20" s="242"/>
      <c r="F20" s="242"/>
      <c r="G20" s="242" t="s">
        <v>4374</v>
      </c>
      <c r="H20" s="242" t="s">
        <v>4375</v>
      </c>
      <c r="I20" s="242" t="s">
        <v>4376</v>
      </c>
      <c r="J20" s="258" t="str">
        <f>HYPERLINK("https://www.google.com/maps/search/Museu%20Municipal%20de%20Melga%C3%A7o%20Norte%20Portugal/@42.1097,-8.2603,17z","🏛 Museu Municipal de Melgaço")</f>
        <v>🏛 Museu Municipal de Melgaço</v>
      </c>
      <c r="K20" s="305" t="s">
        <v>4419</v>
      </c>
    </row>
    <row r="21" spans="1:11" ht="110" customHeight="1" x14ac:dyDescent="0.35">
      <c r="A21" s="338">
        <v>17</v>
      </c>
      <c r="B21" s="239" t="s">
        <v>4420</v>
      </c>
      <c r="C21" s="240" t="s">
        <v>792</v>
      </c>
      <c r="D21" s="239" t="s">
        <v>4421</v>
      </c>
      <c r="E21" s="239"/>
      <c r="F21" s="239"/>
      <c r="G21" s="239" t="s">
        <v>4374</v>
      </c>
      <c r="H21" s="239" t="s">
        <v>4375</v>
      </c>
      <c r="I21" s="239" t="s">
        <v>4376</v>
      </c>
      <c r="J21" s="257" t="str">
        <f>HYPERLINK("https://www.google.com/maps/search/Museu%20do%20Cinema%20de%20Melga%C3%A7o%20Norte%20Portugal/@42.1097,-8.2603,17z","🏛 Museu do Cinema de Melgaço")</f>
        <v>🏛 Museu do Cinema de Melgaço</v>
      </c>
      <c r="K21" s="304" t="s">
        <v>4422</v>
      </c>
    </row>
    <row r="22" spans="1:11" ht="110" customHeight="1" x14ac:dyDescent="0.35">
      <c r="A22" s="336">
        <v>18</v>
      </c>
      <c r="B22" s="242" t="s">
        <v>4423</v>
      </c>
      <c r="C22" s="243" t="s">
        <v>792</v>
      </c>
      <c r="D22" s="242" t="s">
        <v>4424</v>
      </c>
      <c r="E22" s="242"/>
      <c r="F22" s="242"/>
      <c r="G22" s="242" t="s">
        <v>4374</v>
      </c>
      <c r="H22" s="242" t="s">
        <v>4375</v>
      </c>
      <c r="I22" s="242" t="s">
        <v>4376</v>
      </c>
      <c r="J22" s="258" t="str">
        <f>HYPERLINK("https://www.google.com/maps/search/Museu%20Municipal%20de%20Arcos%20de%20Valdevez%20Norte%20Portugal/@41.845,-8.4164,17z","🏛 Museu Municipal de Arcos de…")</f>
        <v>🏛 Museu Municipal de Arcos de…</v>
      </c>
      <c r="K22" s="305" t="s">
        <v>4425</v>
      </c>
    </row>
    <row r="23" spans="1:11" ht="110" customHeight="1" x14ac:dyDescent="0.35">
      <c r="A23" s="338">
        <v>19</v>
      </c>
      <c r="B23" s="239" t="s">
        <v>4426</v>
      </c>
      <c r="C23" s="240" t="s">
        <v>792</v>
      </c>
      <c r="D23" s="239" t="s">
        <v>4427</v>
      </c>
      <c r="E23" s="239"/>
      <c r="F23" s="239"/>
      <c r="G23" s="239" t="s">
        <v>4374</v>
      </c>
      <c r="H23" s="239" t="s">
        <v>4375</v>
      </c>
      <c r="I23" s="239" t="s">
        <v>4376</v>
      </c>
      <c r="J23" s="257" t="str">
        <f>HYPERLINK("https://www.google.com/maps/search/Pa%C3%A7o%20de%20Giela%20%E2%80%94%20N%C3%BAcleo%20Museol%C3%B3gico%20Pa%C3%A7o%20de%20Giela%2C%20Portugal/@41.845,-8.4164,17z","🏛 Paço de Giela — Núcleo Muse…")</f>
        <v>🏛 Paço de Giela — Núcleo Muse…</v>
      </c>
      <c r="K23" s="304" t="s">
        <v>4428</v>
      </c>
    </row>
    <row r="24" spans="1:11" ht="110" customHeight="1" x14ac:dyDescent="0.35">
      <c r="A24" s="336">
        <v>20</v>
      </c>
      <c r="B24" s="242" t="s">
        <v>4429</v>
      </c>
      <c r="C24" s="243" t="s">
        <v>792</v>
      </c>
      <c r="D24" s="242" t="s">
        <v>4430</v>
      </c>
      <c r="E24" s="242"/>
      <c r="F24" s="242"/>
      <c r="G24" s="242" t="s">
        <v>4374</v>
      </c>
      <c r="H24" s="242" t="s">
        <v>4375</v>
      </c>
      <c r="I24" s="242" t="s">
        <v>4376</v>
      </c>
      <c r="J24" s="258" t="str">
        <f>HYPERLINK("https://www.google.com/maps/search/Museu%20da%20%C3%81gua%20ao%20Ar%20Livre%20Lugar%20de%20Sistelo%2C%20Portugal/@41.845,-8.4164,17z","🏛 Museu da Água ao Ar Livre")</f>
        <v>🏛 Museu da Água ao Ar Livre</v>
      </c>
      <c r="K24" s="305" t="s">
        <v>4431</v>
      </c>
    </row>
    <row r="25" spans="1:11" ht="110" customHeight="1" x14ac:dyDescent="0.35">
      <c r="A25" s="338">
        <v>21</v>
      </c>
      <c r="B25" s="239" t="s">
        <v>4432</v>
      </c>
      <c r="C25" s="240" t="s">
        <v>792</v>
      </c>
      <c r="D25" s="239" t="s">
        <v>4433</v>
      </c>
      <c r="E25" s="239"/>
      <c r="F25" s="239"/>
      <c r="G25" s="239" t="s">
        <v>4374</v>
      </c>
      <c r="H25" s="239" t="s">
        <v>4375</v>
      </c>
      <c r="I25" s="239" t="s">
        <v>4376</v>
      </c>
      <c r="J25" s="257" t="str">
        <f>HYPERLINK("https://www.google.com/maps/search/Museu%20Municipal%20de%20Paredes%20de%20Coura%20Norte%20Portugal/@41.9069,-8.5611,17z","🏛 Museu Municipal de Paredes …")</f>
        <v>🏛 Museu Municipal de Paredes …</v>
      </c>
      <c r="K25" s="304" t="s">
        <v>4434</v>
      </c>
    </row>
    <row r="26" spans="1:11" ht="110" customHeight="1" x14ac:dyDescent="0.35">
      <c r="A26" s="336">
        <v>22</v>
      </c>
      <c r="B26" s="242" t="s">
        <v>4435</v>
      </c>
      <c r="C26" s="243" t="s">
        <v>792</v>
      </c>
      <c r="D26" s="242" t="s">
        <v>4436</v>
      </c>
      <c r="E26" s="242"/>
      <c r="F26" s="242"/>
      <c r="G26" s="242" t="s">
        <v>4437</v>
      </c>
      <c r="H26" s="242" t="s">
        <v>4438</v>
      </c>
      <c r="I26" s="242" t="s">
        <v>4439</v>
      </c>
      <c r="J26" s="258" t="str">
        <f>HYPERLINK("https://www.google.com/maps/search/Museu%20do%20Abade%20de%20Ba%C3%A7al%20Norte%20Portugal/@41.8034,-6.749,17z","🏛 Museu do Abade de Baçal")</f>
        <v>🏛 Museu do Abade de Baçal</v>
      </c>
      <c r="K26" s="305" t="s">
        <v>4440</v>
      </c>
    </row>
    <row r="27" spans="1:11" ht="110" customHeight="1" x14ac:dyDescent="0.35">
      <c r="A27" s="338">
        <v>23</v>
      </c>
      <c r="B27" s="239" t="s">
        <v>4441</v>
      </c>
      <c r="C27" s="240" t="s">
        <v>792</v>
      </c>
      <c r="D27" s="239" t="s">
        <v>4442</v>
      </c>
      <c r="E27" s="239"/>
      <c r="F27" s="239"/>
      <c r="G27" s="239" t="s">
        <v>4374</v>
      </c>
      <c r="H27" s="239" t="s">
        <v>4375</v>
      </c>
      <c r="I27" s="239" t="s">
        <v>4376</v>
      </c>
      <c r="J27" s="257" t="str">
        <f>HYPERLINK("https://www.google.com/maps/search/Museu%20de%20Olaria%20Norte%20Portugal/@41.8034,-6.749,17z","🏛 Museu de Olaria")</f>
        <v>🏛 Museu de Olaria</v>
      </c>
      <c r="K27" s="304" t="s">
        <v>4443</v>
      </c>
    </row>
    <row r="28" spans="1:11" ht="110" customHeight="1" x14ac:dyDescent="0.35">
      <c r="A28" s="336">
        <v>24</v>
      </c>
      <c r="B28" s="242" t="s">
        <v>4444</v>
      </c>
      <c r="C28" s="243" t="s">
        <v>792</v>
      </c>
      <c r="D28" s="242" t="s">
        <v>4445</v>
      </c>
      <c r="E28" s="242"/>
      <c r="F28" s="242"/>
      <c r="G28" s="242" t="s">
        <v>4374</v>
      </c>
      <c r="H28" s="242" t="s">
        <v>4375</v>
      </c>
      <c r="I28" s="242" t="s">
        <v>4376</v>
      </c>
      <c r="J28" s="258" t="str">
        <f>HYPERLINK("https://www.google.com/maps/search/Museu%20Ib%C3%A9rico%20da%20M%C3%A1scara%20e%20do%20Traje%20Norte%20Portugal/@41.8034,-6.749,17z","🏛 Museu Ibérico da Máscara e …")</f>
        <v>🏛 Museu Ibérico da Máscara e …</v>
      </c>
      <c r="K28" s="305" t="s">
        <v>4446</v>
      </c>
    </row>
    <row r="29" spans="1:11" ht="110" customHeight="1" x14ac:dyDescent="0.35">
      <c r="A29" s="338">
        <v>25</v>
      </c>
      <c r="B29" s="239" t="s">
        <v>4447</v>
      </c>
      <c r="C29" s="240" t="s">
        <v>792</v>
      </c>
      <c r="D29" s="239" t="s">
        <v>4448</v>
      </c>
      <c r="E29" s="239"/>
      <c r="F29" s="239"/>
      <c r="G29" s="239" t="s">
        <v>4374</v>
      </c>
      <c r="H29" s="239" t="s">
        <v>4375</v>
      </c>
      <c r="I29" s="239" t="s">
        <v>4376</v>
      </c>
      <c r="J29" s="257" t="str">
        <f>HYPERLINK("https://www.google.com/maps/search/Museu%20Municipal%20de%20Mirandela%20Norte%20Portugal/@41.4878,-7.1769,17z","🏛 Museu Municipal de Mirandela")</f>
        <v>🏛 Museu Municipal de Mirandela</v>
      </c>
      <c r="K29" s="304" t="s">
        <v>4449</v>
      </c>
    </row>
    <row r="30" spans="1:11" ht="110" customHeight="1" x14ac:dyDescent="0.35">
      <c r="A30" s="336">
        <v>26</v>
      </c>
      <c r="B30" s="242" t="s">
        <v>4450</v>
      </c>
      <c r="C30" s="243" t="s">
        <v>792</v>
      </c>
      <c r="D30" s="242" t="s">
        <v>4451</v>
      </c>
      <c r="E30" s="242"/>
      <c r="F30" s="242"/>
      <c r="G30" s="242" t="s">
        <v>4452</v>
      </c>
      <c r="H30" s="242" t="s">
        <v>4375</v>
      </c>
      <c r="I30" s="242" t="s">
        <v>4384</v>
      </c>
      <c r="J30" s="258" t="str">
        <f>HYPERLINK("https://www.google.com/maps/search/Centro%20Interpretativo%20do%20Vale%20do%20Tua%20Norte%20Portugal/@41.4878,-7.1769,17z","🏛 Centro Interpretativo do Va…")</f>
        <v>🏛 Centro Interpretativo do Va…</v>
      </c>
      <c r="K30" s="305" t="s">
        <v>4453</v>
      </c>
    </row>
    <row r="31" spans="1:11" ht="110" customHeight="1" x14ac:dyDescent="0.35">
      <c r="A31" s="338">
        <v>27</v>
      </c>
      <c r="B31" s="239" t="s">
        <v>4454</v>
      </c>
      <c r="C31" s="240" t="s">
        <v>792</v>
      </c>
      <c r="D31" s="239" t="s">
        <v>4455</v>
      </c>
      <c r="E31" s="239"/>
      <c r="F31" s="239"/>
      <c r="G31" s="239" t="s">
        <v>4374</v>
      </c>
      <c r="H31" s="239" t="s">
        <v>4375</v>
      </c>
      <c r="I31" s="239" t="s">
        <v>4376</v>
      </c>
      <c r="J31" s="257" t="str">
        <f>HYPERLINK("https://www.google.com/maps/search/Museu%20Municipal%20de%20Macedo%20de%20Cavaleiros%20Norte%20Portugal/@41.5272,-6.9594,17z","🏛 Museu Municipal de Macedo d…")</f>
        <v>🏛 Museu Municipal de Macedo d…</v>
      </c>
      <c r="K31" s="304" t="s">
        <v>4456</v>
      </c>
    </row>
    <row r="32" spans="1:11" ht="110" customHeight="1" x14ac:dyDescent="0.35">
      <c r="A32" s="336">
        <v>28</v>
      </c>
      <c r="B32" s="242" t="s">
        <v>4457</v>
      </c>
      <c r="C32" s="243" t="s">
        <v>792</v>
      </c>
      <c r="D32" s="242" t="s">
        <v>4458</v>
      </c>
      <c r="E32" s="242"/>
      <c r="F32" s="242"/>
      <c r="G32" s="242" t="s">
        <v>4374</v>
      </c>
      <c r="H32" s="242" t="s">
        <v>4375</v>
      </c>
      <c r="I32" s="242" t="s">
        <v>4376</v>
      </c>
      <c r="J32" s="258" t="str">
        <f>HYPERLINK("https://www.google.com/maps/search/Museu%20da%20Terra%20de%20Miranda%20Norte%20Portugal/@41.4972,-6.2756,17z","🏛 Museu da Terra de Miranda")</f>
        <v>🏛 Museu da Terra de Miranda</v>
      </c>
      <c r="K32" s="305" t="s">
        <v>4459</v>
      </c>
    </row>
    <row r="33" spans="1:11" ht="110" customHeight="1" x14ac:dyDescent="0.35">
      <c r="A33" s="338">
        <v>29</v>
      </c>
      <c r="B33" s="239" t="s">
        <v>4460</v>
      </c>
      <c r="C33" s="240" t="s">
        <v>792</v>
      </c>
      <c r="D33" s="239" t="s">
        <v>4458</v>
      </c>
      <c r="E33" s="239"/>
      <c r="F33" s="239"/>
      <c r="G33" s="239" t="s">
        <v>4374</v>
      </c>
      <c r="H33" s="239" t="s">
        <v>4375</v>
      </c>
      <c r="I33" s="239" t="s">
        <v>4376</v>
      </c>
      <c r="J33" s="257" t="str">
        <f>HYPERLINK("https://www.google.com/maps/search/Centro%20de%20Interpreta%C3%A7%C3%A3o%20da%20L%C3%ADngua%20Mirandesa%20Norte%20Portugal/@41.4972,-6.2756,17z","🏛 Centro de Interpretação da …")</f>
        <v>🏛 Centro de Interpretação da …</v>
      </c>
      <c r="K33" s="304" t="s">
        <v>4459</v>
      </c>
    </row>
    <row r="34" spans="1:11" ht="110" customHeight="1" x14ac:dyDescent="0.35">
      <c r="A34" s="336">
        <v>30</v>
      </c>
      <c r="B34" s="242" t="s">
        <v>4461</v>
      </c>
      <c r="C34" s="243" t="s">
        <v>792</v>
      </c>
      <c r="D34" s="242" t="s">
        <v>4462</v>
      </c>
      <c r="E34" s="242"/>
      <c r="F34" s="242"/>
      <c r="G34" s="242" t="s">
        <v>4374</v>
      </c>
      <c r="H34" s="242" t="s">
        <v>4375</v>
      </c>
      <c r="I34" s="242" t="s">
        <v>4376</v>
      </c>
      <c r="J34" s="258" t="str">
        <f>HYPERLINK("https://www.google.com/maps/search/Museu%20Municipal%20de%20Mogadouro%20Norte%20Portugal/@41.3386,-6.7169,17z","🏛 Museu Municipal de Mogadouro")</f>
        <v>🏛 Museu Municipal de Mogadouro</v>
      </c>
      <c r="K34" s="305" t="s">
        <v>4463</v>
      </c>
    </row>
    <row r="35" spans="1:11" ht="110" customHeight="1" x14ac:dyDescent="0.35">
      <c r="A35" s="338">
        <v>31</v>
      </c>
      <c r="B35" s="239" t="s">
        <v>4464</v>
      </c>
      <c r="C35" s="240" t="s">
        <v>792</v>
      </c>
      <c r="D35" s="239" t="s">
        <v>4465</v>
      </c>
      <c r="E35" s="239"/>
      <c r="F35" s="239"/>
      <c r="G35" s="239" t="s">
        <v>4374</v>
      </c>
      <c r="H35" s="239" t="s">
        <v>4375</v>
      </c>
      <c r="I35" s="239" t="s">
        <v>4376</v>
      </c>
      <c r="J35" s="257" t="str">
        <f>HYPERLINK("https://www.google.com/maps/search/Museu%20Municipal%20de%20Vila%20Flor%20Norte%20Portugal/@41.2989,-7.1519,17z","🏛 Museu Municipal de Vila Flor")</f>
        <v>🏛 Museu Municipal de Vila Flor</v>
      </c>
      <c r="K35" s="304" t="s">
        <v>4466</v>
      </c>
    </row>
    <row r="36" spans="1:11" ht="110" customHeight="1" x14ac:dyDescent="0.35">
      <c r="A36" s="336">
        <v>32</v>
      </c>
      <c r="B36" s="242" t="s">
        <v>4467</v>
      </c>
      <c r="C36" s="243" t="s">
        <v>792</v>
      </c>
      <c r="D36" s="242" t="s">
        <v>4468</v>
      </c>
      <c r="E36" s="242"/>
      <c r="F36" s="242"/>
      <c r="G36" s="242" t="s">
        <v>4374</v>
      </c>
      <c r="H36" s="242" t="s">
        <v>4375</v>
      </c>
      <c r="I36" s="242" t="s">
        <v>4376</v>
      </c>
      <c r="J36" s="258" t="str">
        <f>HYPERLINK("https://www.google.com/maps/search/Museu%20Municipal%20de%20Carrazeda%20de%20Ansi%C3%A3es%20Norte%20Portugal/@41.2017,-7.3061,17z","🏛 Museu Municipal de Carrazed…")</f>
        <v>🏛 Museu Municipal de Carrazed…</v>
      </c>
      <c r="K36" s="305" t="s">
        <v>4449</v>
      </c>
    </row>
    <row r="37" spans="1:11" ht="110" customHeight="1" x14ac:dyDescent="0.35">
      <c r="A37" s="338">
        <v>33</v>
      </c>
      <c r="B37" s="239" t="s">
        <v>4469</v>
      </c>
      <c r="C37" s="240" t="s">
        <v>792</v>
      </c>
      <c r="D37" s="239" t="s">
        <v>4470</v>
      </c>
      <c r="E37" s="239"/>
      <c r="F37" s="239"/>
      <c r="G37" s="239" t="s">
        <v>4374</v>
      </c>
      <c r="H37" s="239" t="s">
        <v>4375</v>
      </c>
      <c r="I37" s="239" t="s">
        <v>4376</v>
      </c>
      <c r="J37" s="257" t="str">
        <f>HYPERLINK("https://www.google.com/maps/search/Museu%20da%20Mem%C3%B3ria%20Rural%20Norte%20Portugal/@41.2017,-7.3061,17z","🏛 Museu da Memória Rural")</f>
        <v>🏛 Museu da Memória Rural</v>
      </c>
      <c r="K37" s="304" t="s">
        <v>4471</v>
      </c>
    </row>
    <row r="38" spans="1:11" ht="110" customHeight="1" x14ac:dyDescent="0.35">
      <c r="A38" s="336">
        <v>34</v>
      </c>
      <c r="B38" s="242" t="s">
        <v>4472</v>
      </c>
      <c r="C38" s="243" t="s">
        <v>792</v>
      </c>
      <c r="D38" s="242" t="s">
        <v>4473</v>
      </c>
      <c r="E38" s="242"/>
      <c r="F38" s="242"/>
      <c r="G38" s="242" t="s">
        <v>4374</v>
      </c>
      <c r="H38" s="242" t="s">
        <v>4375</v>
      </c>
      <c r="I38" s="242" t="s">
        <v>4376</v>
      </c>
      <c r="J38" s="258" t="str">
        <f>HYPERLINK("https://www.google.com/maps/search/Museu%20Municipal%20de%20Alf%C3%A2ndega%20da%20F%C3%A9%20Norte%20Portugal/@41.3461,-6.9608,17z","🏛 Museu Municipal de Alfândeg…")</f>
        <v>🏛 Museu Municipal de Alfândeg…</v>
      </c>
      <c r="K38" s="305" t="s">
        <v>4474</v>
      </c>
    </row>
    <row r="39" spans="1:11" ht="110" customHeight="1" x14ac:dyDescent="0.35">
      <c r="A39" s="338">
        <v>35</v>
      </c>
      <c r="B39" s="239" t="s">
        <v>4475</v>
      </c>
      <c r="C39" s="240" t="s">
        <v>792</v>
      </c>
      <c r="D39" s="239" t="s">
        <v>4476</v>
      </c>
      <c r="E39" s="239"/>
      <c r="F39" s="239"/>
      <c r="G39" s="239" t="s">
        <v>4374</v>
      </c>
      <c r="H39" s="239" t="s">
        <v>4375</v>
      </c>
      <c r="I39" s="239" t="s">
        <v>4376</v>
      </c>
      <c r="J39" s="257" t="str">
        <f>HYPERLINK("https://www.google.com/maps/search/Museu%20Municipal%20de%20Vimioso%20Norte%20Portugal/@41.5764,-6.5261,17z","🏛 Museu Municipal de Vimioso")</f>
        <v>🏛 Museu Municipal de Vimioso</v>
      </c>
      <c r="K39" s="304" t="s">
        <v>4474</v>
      </c>
    </row>
    <row r="40" spans="1:11" ht="110" customHeight="1" x14ac:dyDescent="0.35">
      <c r="A40" s="336">
        <v>36</v>
      </c>
      <c r="B40" s="242" t="s">
        <v>4477</v>
      </c>
      <c r="C40" s="243" t="s">
        <v>792</v>
      </c>
      <c r="D40" s="242" t="s">
        <v>4478</v>
      </c>
      <c r="E40" s="242"/>
      <c r="F40" s="242"/>
      <c r="G40" s="242" t="s">
        <v>4374</v>
      </c>
      <c r="H40" s="242" t="s">
        <v>4375</v>
      </c>
      <c r="I40" s="242" t="s">
        <v>4376</v>
      </c>
      <c r="J40" s="258" t="str">
        <f>HYPERLINK("https://www.google.com/maps/search/Museu%20Municipal%20de%20Vinhais%20Norte%20Portugal/@41.8361,-7.0039,17z","🏛 Museu Municipal de Vinhais")</f>
        <v>🏛 Museu Municipal de Vinhais</v>
      </c>
      <c r="K40" s="305" t="s">
        <v>4479</v>
      </c>
    </row>
    <row r="41" spans="1:11" ht="110" customHeight="1" x14ac:dyDescent="0.35">
      <c r="A41" s="338">
        <v>37</v>
      </c>
      <c r="B41" s="239" t="s">
        <v>4480</v>
      </c>
      <c r="C41" s="240" t="s">
        <v>792</v>
      </c>
      <c r="D41" s="239" t="s">
        <v>4481</v>
      </c>
      <c r="E41" s="239"/>
      <c r="F41" s="239"/>
      <c r="G41" s="239" t="s">
        <v>4374</v>
      </c>
      <c r="H41" s="239" t="s">
        <v>4375</v>
      </c>
      <c r="I41" s="239" t="s">
        <v>4376</v>
      </c>
      <c r="J41" s="257" t="str">
        <f>HYPERLINK("https://www.google.com/maps/search/Ecomuseu%20de%20Vinhais%20V%C3%A1rios%20locais%2C%20Portugal/@41.8361,-7.0039,17z","🏛 Ecomuseu de Vinhais")</f>
        <v>🏛 Ecomuseu de Vinhais</v>
      </c>
      <c r="K41" s="304" t="s">
        <v>4482</v>
      </c>
    </row>
    <row r="42" spans="1:11" ht="110" customHeight="1" x14ac:dyDescent="0.35">
      <c r="A42" s="336">
        <v>38</v>
      </c>
      <c r="B42" s="242" t="s">
        <v>4483</v>
      </c>
      <c r="C42" s="243" t="s">
        <v>792</v>
      </c>
      <c r="D42" s="242" t="s">
        <v>1853</v>
      </c>
      <c r="E42" s="242" t="s">
        <v>4484</v>
      </c>
      <c r="F42" s="242" t="s">
        <v>4485</v>
      </c>
      <c r="G42" s="242" t="s">
        <v>4374</v>
      </c>
      <c r="H42" s="242" t="s">
        <v>4375</v>
      </c>
      <c r="I42" s="242" t="s">
        <v>4376</v>
      </c>
      <c r="J42" s="258" t="str">
        <f>HYPERLINK("https://www.google.com/maps/search/Museu%20Municipal%20de%20Vale%20de%20Cambra%20Portugal/@40.8407,-8.3943,17z","🏛 Museu Municipal de Vale de …")</f>
        <v>🏛 Museu Municipal de Vale de …</v>
      </c>
      <c r="K42" s="305" t="s">
        <v>4486</v>
      </c>
    </row>
    <row r="43" spans="1:11" ht="110" customHeight="1" x14ac:dyDescent="0.35">
      <c r="A43" s="338">
        <v>39</v>
      </c>
      <c r="B43" s="239" t="s">
        <v>4487</v>
      </c>
      <c r="C43" s="240" t="s">
        <v>792</v>
      </c>
      <c r="D43" s="239" t="s">
        <v>1853</v>
      </c>
      <c r="E43" s="239" t="s">
        <v>4488</v>
      </c>
      <c r="F43" s="239" t="s">
        <v>4489</v>
      </c>
      <c r="G43" s="239" t="s">
        <v>4374</v>
      </c>
      <c r="H43" s="239" t="s">
        <v>4375</v>
      </c>
      <c r="I43" s="239" t="s">
        <v>4376</v>
      </c>
      <c r="J43" s="257" t="str">
        <f>HYPERLINK("https://www.google.com/maps/search/Centro%20de%20Interpreta%C3%A7%C3%A3o%20da%20Cultura%20Local%20Vale%20de%20Cambra%20Portugal/@40.8407,-8.3943,17z","🏛 Centro de Interpretação da …")</f>
        <v>🏛 Centro de Interpretação da …</v>
      </c>
      <c r="K43" s="304" t="s">
        <v>4486</v>
      </c>
    </row>
    <row r="44" spans="1:11" ht="110" customHeight="1" x14ac:dyDescent="0.35">
      <c r="A44" s="336">
        <v>40</v>
      </c>
      <c r="B44" s="242" t="s">
        <v>4490</v>
      </c>
      <c r="C44" s="243" t="s">
        <v>792</v>
      </c>
      <c r="D44" s="242" t="s">
        <v>1908</v>
      </c>
      <c r="E44" s="242" t="s">
        <v>4491</v>
      </c>
      <c r="F44" s="242" t="s">
        <v>4485</v>
      </c>
      <c r="G44" s="242" t="s">
        <v>4374</v>
      </c>
      <c r="H44" s="242" t="s">
        <v>4375</v>
      </c>
      <c r="I44" s="242" t="s">
        <v>4376</v>
      </c>
      <c r="J44" s="258" t="str">
        <f>HYPERLINK("https://www.google.com/maps/search/Museu%20Municipal%20de%20Arouca%20Portugal/@40.9271,-8.2467,17z","🏛 Museu Municipal de Arouca")</f>
        <v>🏛 Museu Municipal de Arouca</v>
      </c>
      <c r="K44" s="305" t="s">
        <v>4492</v>
      </c>
    </row>
    <row r="45" spans="1:11" ht="110" customHeight="1" x14ac:dyDescent="0.35">
      <c r="A45" s="338">
        <v>41</v>
      </c>
      <c r="B45" s="239" t="s">
        <v>4493</v>
      </c>
      <c r="C45" s="240" t="s">
        <v>792</v>
      </c>
      <c r="D45" s="239" t="s">
        <v>1908</v>
      </c>
      <c r="E45" s="239" t="s">
        <v>4494</v>
      </c>
      <c r="F45" s="239" t="s">
        <v>4495</v>
      </c>
      <c r="G45" s="239" t="s">
        <v>4496</v>
      </c>
      <c r="H45" s="239" t="s">
        <v>4438</v>
      </c>
      <c r="I45" s="239" t="s">
        <v>4497</v>
      </c>
      <c r="J45" s="257" t="str">
        <f>HYPERLINK("https://www.google.com/maps/search/N%C3%BAcleo%20Museol%C3%B3gico%20do%20Mosteiro%20de%20Arouca%20Portugal/@40.9271,-8.2467,17z","🏛 Núcleo Museológico do Moste…")</f>
        <v>🏛 Núcleo Museológico do Moste…</v>
      </c>
      <c r="K45" s="304" t="s">
        <v>4498</v>
      </c>
    </row>
    <row r="46" spans="1:11" ht="110" customHeight="1" x14ac:dyDescent="0.35">
      <c r="A46" s="336">
        <v>42</v>
      </c>
      <c r="B46" s="242" t="s">
        <v>4499</v>
      </c>
      <c r="C46" s="243" t="s">
        <v>792</v>
      </c>
      <c r="D46" s="242" t="s">
        <v>1908</v>
      </c>
      <c r="E46" s="242" t="s">
        <v>4500</v>
      </c>
      <c r="F46" s="242" t="s">
        <v>1712</v>
      </c>
      <c r="G46" s="242" t="s">
        <v>4374</v>
      </c>
      <c r="H46" s="242" t="s">
        <v>4375</v>
      </c>
      <c r="I46" s="242" t="s">
        <v>4376</v>
      </c>
      <c r="J46" s="258" t="str">
        <f>HYPERLINK("https://www.google.com/maps/search/Casa%20das%20Pedras%20Parideiras%20%E2%80%94%20Centro%20de%20Interpreta%C3%A7%C3%A3o%20Arouca%20Portugal/@40.8917,-8.2472,17z","🏛 Casa das Pedras Parideiras …")</f>
        <v>🏛 Casa das Pedras Parideiras …</v>
      </c>
      <c r="K46" s="305" t="s">
        <v>4501</v>
      </c>
    </row>
    <row r="47" spans="1:11" ht="110" customHeight="1" x14ac:dyDescent="0.35">
      <c r="A47" s="338">
        <v>43</v>
      </c>
      <c r="B47" s="239" t="s">
        <v>4502</v>
      </c>
      <c r="C47" s="240" t="s">
        <v>792</v>
      </c>
      <c r="D47" s="239" t="s">
        <v>1837</v>
      </c>
      <c r="E47" s="239" t="s">
        <v>4503</v>
      </c>
      <c r="F47" s="239" t="s">
        <v>4485</v>
      </c>
      <c r="G47" s="239" t="s">
        <v>4374</v>
      </c>
      <c r="H47" s="239" t="s">
        <v>4375</v>
      </c>
      <c r="I47" s="239" t="s">
        <v>4376</v>
      </c>
      <c r="J47" s="257" t="str">
        <f>HYPERLINK("https://www.google.com/maps/search/Museu%20Municipal%20de%20Bai%C3%A3o%20Portugal/@41.1619,-8.0417,17z","🏛 Museu Municipal de Baião")</f>
        <v>🏛 Museu Municipal de Baião</v>
      </c>
      <c r="K47" s="304" t="s">
        <v>4504</v>
      </c>
    </row>
    <row r="48" spans="1:11" ht="110" customHeight="1" x14ac:dyDescent="0.35">
      <c r="A48" s="336">
        <v>44</v>
      </c>
      <c r="B48" s="242" t="s">
        <v>4505</v>
      </c>
      <c r="C48" s="243" t="s">
        <v>792</v>
      </c>
      <c r="D48" s="242" t="s">
        <v>1837</v>
      </c>
      <c r="E48" s="242" t="s">
        <v>4503</v>
      </c>
      <c r="F48" s="242" t="s">
        <v>4485</v>
      </c>
      <c r="G48" s="242" t="s">
        <v>4374</v>
      </c>
      <c r="H48" s="242" t="s">
        <v>4375</v>
      </c>
      <c r="I48" s="242" t="s">
        <v>4376</v>
      </c>
      <c r="J48" s="258" t="str">
        <f>HYPERLINK("https://www.google.com/maps/search/N%C3%BAcleo%20Museol%C3%B3gico%20do%20Douro%20Verde%20Bai%C3%A3o%20Portugal/@41.1619,-8.0417,17z","🏛 Núcleo Museológico do Douro…")</f>
        <v>🏛 Núcleo Museológico do Douro…</v>
      </c>
      <c r="K48" s="305" t="s">
        <v>4504</v>
      </c>
    </row>
    <row r="49" spans="1:11" ht="110" customHeight="1" x14ac:dyDescent="0.35">
      <c r="A49" s="338">
        <v>45</v>
      </c>
      <c r="B49" s="239" t="s">
        <v>4506</v>
      </c>
      <c r="C49" s="240" t="s">
        <v>792</v>
      </c>
      <c r="D49" s="239" t="s">
        <v>1837</v>
      </c>
      <c r="E49" s="239" t="s">
        <v>4507</v>
      </c>
      <c r="F49" s="239" t="s">
        <v>4508</v>
      </c>
      <c r="G49" s="239" t="s">
        <v>4374</v>
      </c>
      <c r="H49" s="239" t="s">
        <v>4375</v>
      </c>
      <c r="I49" s="239" t="s">
        <v>4376</v>
      </c>
      <c r="J49" s="257" t="str">
        <f>HYPERLINK("https://www.google.com/maps/search/Casa%20do%20Lavrador%20Bai%C3%A3o%20Portugal/@41.1619,-8.0417,17z","🏛 Casa do Lavrador")</f>
        <v>🏛 Casa do Lavrador</v>
      </c>
      <c r="K49" s="304" t="s">
        <v>4509</v>
      </c>
    </row>
    <row r="50" spans="1:11" ht="110" customHeight="1" x14ac:dyDescent="0.35">
      <c r="A50" s="336">
        <v>46</v>
      </c>
      <c r="B50" s="242" t="s">
        <v>4510</v>
      </c>
      <c r="C50" s="243" t="s">
        <v>792</v>
      </c>
      <c r="D50" s="242" t="s">
        <v>1184</v>
      </c>
      <c r="E50" s="242" t="s">
        <v>4511</v>
      </c>
      <c r="F50" s="242" t="s">
        <v>4485</v>
      </c>
      <c r="G50" s="242" t="s">
        <v>4374</v>
      </c>
      <c r="H50" s="242" t="s">
        <v>4375</v>
      </c>
      <c r="I50" s="242" t="s">
        <v>4376</v>
      </c>
      <c r="J50" s="258" t="str">
        <f>HYPERLINK("https://www.google.com/maps/search/Museu%20Municipal%20de%20Amarante%20Portugal/@41.271,-8.0769,17z","🏛 Museu Municipal de Amarante")</f>
        <v>🏛 Museu Municipal de Amarante</v>
      </c>
      <c r="K50" s="305" t="s">
        <v>4512</v>
      </c>
    </row>
    <row r="51" spans="1:11" ht="110" customHeight="1" x14ac:dyDescent="0.35">
      <c r="A51" s="338">
        <v>47</v>
      </c>
      <c r="B51" s="239" t="s">
        <v>4513</v>
      </c>
      <c r="C51" s="240" t="s">
        <v>792</v>
      </c>
      <c r="D51" s="239" t="s">
        <v>1184</v>
      </c>
      <c r="E51" s="239" t="s">
        <v>4514</v>
      </c>
      <c r="F51" s="239" t="s">
        <v>4515</v>
      </c>
      <c r="G51" s="239" t="s">
        <v>4374</v>
      </c>
      <c r="H51" s="239" t="s">
        <v>4375</v>
      </c>
      <c r="I51" s="239" t="s">
        <v>4376</v>
      </c>
      <c r="J51" s="257" t="str">
        <f>HYPERLINK("https://www.google.com/maps/search/Museu%20Municipal%20Amadeo%20de%20Souza-Cardoso%20Amarante%20Portugal/@41.271,-8.0769,17z","🏛 Museu Municipal Amadeo de S…")</f>
        <v>🏛 Museu Municipal Amadeo de S…</v>
      </c>
      <c r="K51" s="304" t="s">
        <v>4516</v>
      </c>
    </row>
    <row r="52" spans="1:11" ht="110" customHeight="1" x14ac:dyDescent="0.35">
      <c r="A52" s="336">
        <v>48</v>
      </c>
      <c r="B52" s="242" t="s">
        <v>4517</v>
      </c>
      <c r="C52" s="243" t="s">
        <v>792</v>
      </c>
      <c r="D52" s="242" t="s">
        <v>1184</v>
      </c>
      <c r="E52" s="242" t="s">
        <v>4518</v>
      </c>
      <c r="F52" s="242" t="s">
        <v>4485</v>
      </c>
      <c r="G52" s="242" t="s">
        <v>4374</v>
      </c>
      <c r="H52" s="242" t="s">
        <v>4375</v>
      </c>
      <c r="I52" s="242" t="s">
        <v>4376</v>
      </c>
      <c r="J52" s="258" t="str">
        <f>HYPERLINK("https://www.google.com/maps/search/Centro%20Interpretativo%20do%20Mil%C3%A9nio%20Amarante%20Portugal/@41.271,-8.0769,17z","🏛 Centro Interpretativo do Mi…")</f>
        <v>🏛 Centro Interpretativo do Mi…</v>
      </c>
      <c r="K52" s="305" t="s">
        <v>4512</v>
      </c>
    </row>
    <row r="53" spans="1:11" ht="110" customHeight="1" x14ac:dyDescent="0.35">
      <c r="A53" s="338">
        <v>49</v>
      </c>
      <c r="B53" s="239" t="s">
        <v>4519</v>
      </c>
      <c r="C53" s="240" t="s">
        <v>792</v>
      </c>
      <c r="D53" s="239" t="s">
        <v>1928</v>
      </c>
      <c r="E53" s="239" t="s">
        <v>4520</v>
      </c>
      <c r="F53" s="239" t="s">
        <v>4485</v>
      </c>
      <c r="G53" s="239" t="s">
        <v>4374</v>
      </c>
      <c r="H53" s="239" t="s">
        <v>4375</v>
      </c>
      <c r="I53" s="239" t="s">
        <v>4376</v>
      </c>
      <c r="J53" s="257" t="str">
        <f>HYPERLINK("https://www.google.com/maps/search/Museu%20Municipal%20de%20Marco%20de%20Canaveses%20Portugal/@41.1833,-8.15,17z","🏛 Museu Municipal de Marco de…")</f>
        <v>🏛 Museu Municipal de Marco de…</v>
      </c>
      <c r="K53" s="304" t="s">
        <v>4521</v>
      </c>
    </row>
    <row r="54" spans="1:11" ht="110" customHeight="1" x14ac:dyDescent="0.35">
      <c r="A54" s="336">
        <v>50</v>
      </c>
      <c r="B54" s="242" t="s">
        <v>4522</v>
      </c>
      <c r="C54" s="243" t="s">
        <v>792</v>
      </c>
      <c r="D54" s="242" t="s">
        <v>1928</v>
      </c>
      <c r="E54" s="242" t="s">
        <v>4523</v>
      </c>
      <c r="F54" s="242" t="s">
        <v>4524</v>
      </c>
      <c r="G54" s="242" t="s">
        <v>4374</v>
      </c>
      <c r="H54" s="242" t="s">
        <v>4375</v>
      </c>
      <c r="I54" s="242" t="s">
        <v>4376</v>
      </c>
      <c r="J54" s="258" t="str">
        <f>HYPERLINK("https://www.google.com/maps/search/Museu%20Carmen%20Miranda%20Marco%20de%20Canaveses%20Portugal/@41.1833,-8.15,17z","🏛 Museu Carmen Miranda")</f>
        <v>🏛 Museu Carmen Miranda</v>
      </c>
      <c r="K54" s="305" t="s">
        <v>4521</v>
      </c>
    </row>
    <row r="55" spans="1:11" ht="110" customHeight="1" x14ac:dyDescent="0.35">
      <c r="A55" s="338">
        <v>51</v>
      </c>
      <c r="B55" s="239" t="s">
        <v>4525</v>
      </c>
      <c r="C55" s="240" t="s">
        <v>792</v>
      </c>
      <c r="D55" s="239" t="s">
        <v>4526</v>
      </c>
      <c r="E55" s="239" t="s">
        <v>4527</v>
      </c>
      <c r="F55" s="239" t="s">
        <v>4485</v>
      </c>
      <c r="G55" s="239" t="s">
        <v>4374</v>
      </c>
      <c r="H55" s="239" t="s">
        <v>4375</v>
      </c>
      <c r="I55" s="239" t="s">
        <v>4376</v>
      </c>
      <c r="J55" s="257" t="str">
        <f>HYPERLINK("https://www.google.com/maps/search/Museu%20Municipal%20de%20Felgueiras%20Portugal/@41.3647,-8.1969,17z","🏛 Museu Municipal de Felgueiras")</f>
        <v>🏛 Museu Municipal de Felgueiras</v>
      </c>
      <c r="K55" s="304" t="s">
        <v>4528</v>
      </c>
    </row>
    <row r="56" spans="1:11" ht="110" customHeight="1" x14ac:dyDescent="0.35">
      <c r="A56" s="336">
        <v>52</v>
      </c>
      <c r="B56" s="242" t="s">
        <v>4529</v>
      </c>
      <c r="C56" s="243" t="s">
        <v>792</v>
      </c>
      <c r="D56" s="242" t="s">
        <v>4526</v>
      </c>
      <c r="E56" s="242" t="s">
        <v>4530</v>
      </c>
      <c r="F56" s="242" t="s">
        <v>977</v>
      </c>
      <c r="G56" s="242" t="s">
        <v>4531</v>
      </c>
      <c r="H56" s="242" t="s">
        <v>4532</v>
      </c>
      <c r="I56" s="242" t="s">
        <v>4533</v>
      </c>
      <c r="J56" s="258" t="str">
        <f>HYPERLINK("https://www.google.com/maps/search/Museu%20do%20P%C3%A3o%20de%20L%C3%B3%20de%20Margaride%20Felgueiras%20Portugal/@41.3647,-8.1969,17z","🏛 Museu do Pão de Ló de Marga…")</f>
        <v>🏛 Museu do Pão de Ló de Marga…</v>
      </c>
      <c r="K56" s="305" t="s">
        <v>4534</v>
      </c>
    </row>
    <row r="57" spans="1:11" ht="110" customHeight="1" x14ac:dyDescent="0.35">
      <c r="A57" s="338">
        <v>53</v>
      </c>
      <c r="B57" s="239" t="s">
        <v>4535</v>
      </c>
      <c r="C57" s="240" t="s">
        <v>792</v>
      </c>
      <c r="D57" s="239" t="s">
        <v>1845</v>
      </c>
      <c r="E57" s="239" t="s">
        <v>4536</v>
      </c>
      <c r="F57" s="239" t="s">
        <v>4485</v>
      </c>
      <c r="G57" s="239" t="s">
        <v>4374</v>
      </c>
      <c r="H57" s="239" t="s">
        <v>4375</v>
      </c>
      <c r="I57" s="239" t="s">
        <v>4376</v>
      </c>
      <c r="J57" s="257" t="str">
        <f>HYPERLINK("https://www.google.com/maps/search/Museu%20Municipal%20de%20Lousada%20Portugal/@41.2814,-8.2839,17z","🏛 Museu Municipal de Lousada")</f>
        <v>🏛 Museu Municipal de Lousada</v>
      </c>
      <c r="K57" s="304" t="s">
        <v>4537</v>
      </c>
    </row>
    <row r="58" spans="1:11" ht="110" customHeight="1" x14ac:dyDescent="0.35">
      <c r="A58" s="336">
        <v>54</v>
      </c>
      <c r="B58" s="242" t="s">
        <v>4538</v>
      </c>
      <c r="C58" s="243" t="s">
        <v>792</v>
      </c>
      <c r="D58" s="242" t="s">
        <v>1845</v>
      </c>
      <c r="E58" s="242" t="s">
        <v>4536</v>
      </c>
      <c r="F58" s="242" t="s">
        <v>4539</v>
      </c>
      <c r="G58" s="242" t="s">
        <v>4374</v>
      </c>
      <c r="H58" s="242" t="s">
        <v>4375</v>
      </c>
      <c r="I58" s="242" t="s">
        <v>4376</v>
      </c>
      <c r="J58" s="258" t="str">
        <f>HYPERLINK("https://www.google.com/maps/search/N%C3%BAcleo%20Arqueol%C3%B3gico%20de%20Lousada%20Portugal/@41.2814,-8.2839,17z","🏛 Núcleo Arqueológico de Lous…")</f>
        <v>🏛 Núcleo Arqueológico de Lous…</v>
      </c>
      <c r="K58" s="305" t="s">
        <v>4540</v>
      </c>
    </row>
    <row r="59" spans="1:11" ht="110" customHeight="1" x14ac:dyDescent="0.35">
      <c r="A59" s="338">
        <v>55</v>
      </c>
      <c r="B59" s="239" t="s">
        <v>4541</v>
      </c>
      <c r="C59" s="240" t="s">
        <v>792</v>
      </c>
      <c r="D59" s="239" t="s">
        <v>2033</v>
      </c>
      <c r="E59" s="239" t="s">
        <v>4542</v>
      </c>
      <c r="F59" s="239" t="s">
        <v>4485</v>
      </c>
      <c r="G59" s="239" t="s">
        <v>4374</v>
      </c>
      <c r="H59" s="239" t="s">
        <v>4375</v>
      </c>
      <c r="I59" s="239" t="s">
        <v>4376</v>
      </c>
      <c r="J59" s="257" t="str">
        <f>HYPERLINK("https://www.google.com/maps/search/Museu%20Municipal%20de%20Pa%C3%A7os%20de%20Ferreira%20Portugal/@41.2786,-8.3836,17z","🏛 Museu Municipal de Paços de…")</f>
        <v>🏛 Museu Municipal de Paços de…</v>
      </c>
      <c r="K59" s="304" t="s">
        <v>4543</v>
      </c>
    </row>
    <row r="60" spans="1:11" ht="110" customHeight="1" x14ac:dyDescent="0.35">
      <c r="A60" s="336">
        <v>56</v>
      </c>
      <c r="B60" s="242" t="s">
        <v>4544</v>
      </c>
      <c r="C60" s="243" t="s">
        <v>792</v>
      </c>
      <c r="D60" s="242" t="s">
        <v>2033</v>
      </c>
      <c r="E60" s="242" t="s">
        <v>4545</v>
      </c>
      <c r="F60" s="242" t="s">
        <v>4539</v>
      </c>
      <c r="G60" s="242" t="s">
        <v>4437</v>
      </c>
      <c r="H60" s="242" t="s">
        <v>4438</v>
      </c>
      <c r="I60" s="242" t="s">
        <v>4439</v>
      </c>
      <c r="J60" s="258" t="str">
        <f>HYPERLINK("https://www.google.com/maps/search/Museu%20Arqueol%C3%B3gico%20da%20Cit%C3%A2nia%20de%20Sanfins%20Pa%C3%A7os%20de%20Ferreira%20Portugal/@41.2969,-8.3564,17z","🏛 Museu Arqueológico da Citân…")</f>
        <v>🏛 Museu Arqueológico da Citân…</v>
      </c>
      <c r="K60" s="305" t="s">
        <v>4546</v>
      </c>
    </row>
    <row r="61" spans="1:11" ht="110" customHeight="1" x14ac:dyDescent="0.35">
      <c r="A61" s="338">
        <v>57</v>
      </c>
      <c r="B61" s="239" t="s">
        <v>4547</v>
      </c>
      <c r="C61" s="240" t="s">
        <v>792</v>
      </c>
      <c r="D61" s="239" t="s">
        <v>4548</v>
      </c>
      <c r="E61" s="239" t="s">
        <v>4549</v>
      </c>
      <c r="F61" s="239" t="s">
        <v>4485</v>
      </c>
      <c r="G61" s="239" t="s">
        <v>4374</v>
      </c>
      <c r="H61" s="239" t="s">
        <v>4375</v>
      </c>
      <c r="I61" s="239" t="s">
        <v>4376</v>
      </c>
      <c r="J61" s="257" t="str">
        <f>HYPERLINK("https://www.google.com/maps/search/Museu%20Municipal%20de%20Vizela%20Portugal/@41.3811,-8.2561,17z","🏛 Museu Municipal de Vizela")</f>
        <v>🏛 Museu Municipal de Vizela</v>
      </c>
      <c r="K61" s="304" t="s">
        <v>4550</v>
      </c>
    </row>
    <row r="62" spans="1:11" ht="110" customHeight="1" x14ac:dyDescent="0.35">
      <c r="A62" s="336">
        <v>58</v>
      </c>
      <c r="B62" s="242" t="s">
        <v>4551</v>
      </c>
      <c r="C62" s="243" t="s">
        <v>792</v>
      </c>
      <c r="D62" s="242" t="s">
        <v>1791</v>
      </c>
      <c r="E62" s="242" t="s">
        <v>4552</v>
      </c>
      <c r="F62" s="242" t="s">
        <v>4485</v>
      </c>
      <c r="G62" s="242" t="s">
        <v>4374</v>
      </c>
      <c r="H62" s="242" t="s">
        <v>4375</v>
      </c>
      <c r="I62" s="242" t="s">
        <v>4376</v>
      </c>
      <c r="J62" s="258" t="str">
        <f>HYPERLINK("https://www.google.com/maps/search/Museu%20Municipal%20de%20Guimar%C3%A3es%20Portugal/@41.4437,-8.294,17z","🏛 Museu Municipal de Guimarães")</f>
        <v>🏛 Museu Municipal de Guimarães</v>
      </c>
      <c r="K62" s="305" t="s">
        <v>4553</v>
      </c>
    </row>
    <row r="63" spans="1:11" ht="110" customHeight="1" x14ac:dyDescent="0.35">
      <c r="A63" s="338">
        <v>59</v>
      </c>
      <c r="B63" s="239" t="s">
        <v>4554</v>
      </c>
      <c r="C63" s="240" t="s">
        <v>792</v>
      </c>
      <c r="D63" s="239" t="s">
        <v>1791</v>
      </c>
      <c r="E63" s="239" t="s">
        <v>4555</v>
      </c>
      <c r="F63" s="239" t="s">
        <v>4495</v>
      </c>
      <c r="G63" s="239" t="s">
        <v>4437</v>
      </c>
      <c r="H63" s="239" t="s">
        <v>4438</v>
      </c>
      <c r="I63" s="239" t="s">
        <v>4439</v>
      </c>
      <c r="J63" s="257" t="str">
        <f>HYPERLINK("https://www.google.com/maps/search/Museu%20Alberto%20Sampaio%20Guimar%C3%A3es%20Portugal/@41.4437,-8.294,17z","🏛 Museu Alberto Sampaio")</f>
        <v>🏛 Museu Alberto Sampaio</v>
      </c>
      <c r="K63" s="304" t="s">
        <v>4556</v>
      </c>
    </row>
    <row r="64" spans="1:11" ht="110" customHeight="1" x14ac:dyDescent="0.35">
      <c r="A64" s="336">
        <v>60</v>
      </c>
      <c r="B64" s="242" t="s">
        <v>4557</v>
      </c>
      <c r="C64" s="243" t="s">
        <v>792</v>
      </c>
      <c r="D64" s="242" t="s">
        <v>1791</v>
      </c>
      <c r="E64" s="242" t="s">
        <v>4558</v>
      </c>
      <c r="F64" s="242" t="s">
        <v>4559</v>
      </c>
      <c r="G64" s="242" t="s">
        <v>3697</v>
      </c>
      <c r="H64" s="242" t="s">
        <v>2944</v>
      </c>
      <c r="I64" s="242" t="s">
        <v>4497</v>
      </c>
      <c r="J64" s="258" t="str">
        <f>HYPERLINK("https://www.google.com/maps/search/Centro%20Internacional%20das%20Artes%20Jos%C3%A9%20de%20Guimar%C3%A3es%20Portugal/@41.4437,-8.294,17z","🏛 Centro Internacional das Ar…")</f>
        <v>🏛 Centro Internacional das Ar…</v>
      </c>
      <c r="K64" s="305" t="s">
        <v>4556</v>
      </c>
    </row>
    <row r="65" spans="1:11" ht="110" customHeight="1" x14ac:dyDescent="0.35">
      <c r="A65" s="338">
        <v>61</v>
      </c>
      <c r="B65" s="239" t="s">
        <v>4560</v>
      </c>
      <c r="C65" s="240" t="s">
        <v>792</v>
      </c>
      <c r="D65" s="239" t="s">
        <v>1791</v>
      </c>
      <c r="E65" s="239" t="s">
        <v>4561</v>
      </c>
      <c r="F65" s="239" t="s">
        <v>4539</v>
      </c>
      <c r="G65" s="239" t="s">
        <v>3697</v>
      </c>
      <c r="H65" s="239" t="s">
        <v>2944</v>
      </c>
      <c r="I65" s="239" t="s">
        <v>4562</v>
      </c>
      <c r="J65" s="257" t="str">
        <f>HYPERLINK("https://www.google.com/maps/search/N%C3%BAcleo%20Museol%C3%B3gico%20da%20Cit%C3%A2nia%20de%20Briteiros%20Guimar%C3%A3es%20Portugal/@41.5069,-8.3028,17z","🏛 Núcleo Museológico da Citân…")</f>
        <v>🏛 Núcleo Museológico da Citân…</v>
      </c>
      <c r="K65" s="304" t="s">
        <v>4563</v>
      </c>
    </row>
    <row r="66" spans="1:11" ht="110" customHeight="1" x14ac:dyDescent="0.35">
      <c r="A66" s="336">
        <v>62</v>
      </c>
      <c r="B66" s="242" t="s">
        <v>4564</v>
      </c>
      <c r="C66" s="243" t="s">
        <v>792</v>
      </c>
      <c r="D66" s="242" t="s">
        <v>4565</v>
      </c>
      <c r="E66" s="242" t="s">
        <v>4566</v>
      </c>
      <c r="F66" s="242" t="s">
        <v>1194</v>
      </c>
      <c r="G66" s="242" t="s">
        <v>4374</v>
      </c>
      <c r="H66" s="242" t="s">
        <v>4375</v>
      </c>
      <c r="I66" s="242" t="s">
        <v>4376</v>
      </c>
      <c r="J66" s="258" t="str">
        <f>HYPERLINK("https://www.google.com/maps/search/Casa-Museu%20Camilo%20Castelo%20Branco%20Vila%20Nova%20de%20Famalic%C3%A3o%20Portugal/@41.4167,-8.5383,17z","🏛 Casa-Museu Camilo Castelo B…")</f>
        <v>🏛 Casa-Museu Camilo Castelo B…</v>
      </c>
      <c r="K66" s="305" t="s">
        <v>4567</v>
      </c>
    </row>
    <row r="67" spans="1:11" ht="110" customHeight="1" x14ac:dyDescent="0.35">
      <c r="A67" s="338">
        <v>63</v>
      </c>
      <c r="B67" s="239" t="s">
        <v>4568</v>
      </c>
      <c r="C67" s="240" t="s">
        <v>792</v>
      </c>
      <c r="D67" s="239" t="s">
        <v>4565</v>
      </c>
      <c r="E67" s="239" t="s">
        <v>4569</v>
      </c>
      <c r="F67" s="239" t="s">
        <v>4570</v>
      </c>
      <c r="G67" s="239" t="s">
        <v>4374</v>
      </c>
      <c r="H67" s="239" t="s">
        <v>4375</v>
      </c>
      <c r="I67" s="239" t="s">
        <v>4376</v>
      </c>
      <c r="J67" s="257" t="str">
        <f>HYPERLINK("https://www.google.com/maps/search/Museu%20da%20Ind%C3%BAstria%20T%C3%AAxtil%20Vila%20Nova%20de%20Famalic%C3%A3o%20Portugal/@41.4036,-8.5211,17z","🏛 Museu da Indústria Têxtil")</f>
        <v>🏛 Museu da Indústria Têxtil</v>
      </c>
      <c r="K67" s="304" t="s">
        <v>4567</v>
      </c>
    </row>
    <row r="68" spans="1:11" ht="110" customHeight="1" x14ac:dyDescent="0.35">
      <c r="A68" s="336">
        <v>64</v>
      </c>
      <c r="B68" s="242" t="s">
        <v>4571</v>
      </c>
      <c r="C68" s="243" t="s">
        <v>792</v>
      </c>
      <c r="D68" s="242" t="s">
        <v>4565</v>
      </c>
      <c r="E68" s="242" t="s">
        <v>4572</v>
      </c>
      <c r="F68" s="242" t="s">
        <v>4485</v>
      </c>
      <c r="G68" s="242" t="s">
        <v>4374</v>
      </c>
      <c r="H68" s="242" t="s">
        <v>4375</v>
      </c>
      <c r="I68" s="242" t="s">
        <v>4376</v>
      </c>
      <c r="J68" s="258" t="str">
        <f>HYPERLINK("https://www.google.com/maps/search/Museu%20Bernardino%20Machado%20Vila%20Nova%20de%20Famalic%C3%A3o%20Portugal/@41.4036,-8.5211,17z","🏛 Museu Bernardino Machado")</f>
        <v>🏛 Museu Bernardino Machado</v>
      </c>
      <c r="K68" s="305" t="s">
        <v>4567</v>
      </c>
    </row>
    <row r="69" spans="1:11" ht="110" customHeight="1" x14ac:dyDescent="0.35">
      <c r="A69" s="338">
        <v>65</v>
      </c>
      <c r="B69" s="239" t="s">
        <v>4573</v>
      </c>
      <c r="C69" s="240" t="s">
        <v>792</v>
      </c>
      <c r="D69" s="239" t="s">
        <v>1823</v>
      </c>
      <c r="E69" s="239" t="s">
        <v>4574</v>
      </c>
      <c r="F69" s="239" t="s">
        <v>4485</v>
      </c>
      <c r="G69" s="239" t="s">
        <v>4374</v>
      </c>
      <c r="H69" s="239" t="s">
        <v>4375</v>
      </c>
      <c r="I69" s="239" t="s">
        <v>4376</v>
      </c>
      <c r="J69" s="257" t="str">
        <f>HYPERLINK("https://www.google.com/maps/search/Museu%20Municipal%20de%20Fafe%20Portugal/@41.4514,-8.1742,17z","🏛 Museu Municipal de Fafe")</f>
        <v>🏛 Museu Municipal de Fafe</v>
      </c>
      <c r="K69" s="304" t="s">
        <v>4575</v>
      </c>
    </row>
    <row r="70" spans="1:11" ht="110" customHeight="1" x14ac:dyDescent="0.35">
      <c r="A70" s="336">
        <v>66</v>
      </c>
      <c r="B70" s="242" t="s">
        <v>4576</v>
      </c>
      <c r="C70" s="243" t="s">
        <v>792</v>
      </c>
      <c r="D70" s="242" t="s">
        <v>1823</v>
      </c>
      <c r="E70" s="242" t="s">
        <v>4577</v>
      </c>
      <c r="F70" s="242" t="s">
        <v>4570</v>
      </c>
      <c r="G70" s="242" t="s">
        <v>4374</v>
      </c>
      <c r="H70" s="242" t="s">
        <v>4375</v>
      </c>
      <c r="I70" s="242" t="s">
        <v>4376</v>
      </c>
      <c r="J70" s="258" t="str">
        <f>HYPERLINK("https://www.google.com/maps/search/N%C3%BAcleo%20Museol%C3%B3gico%20do%20Ferro%20Fafe%20Portugal/@41.4514,-8.1742,17z","🏛 Núcleo Museológico do Ferro")</f>
        <v>🏛 Núcleo Museológico do Ferro</v>
      </c>
      <c r="K70" s="305" t="s">
        <v>4575</v>
      </c>
    </row>
    <row r="71" spans="1:11" ht="110" customHeight="1" x14ac:dyDescent="0.35">
      <c r="A71" s="338">
        <v>67</v>
      </c>
      <c r="B71" s="239" t="s">
        <v>4578</v>
      </c>
      <c r="C71" s="240" t="s">
        <v>792</v>
      </c>
      <c r="D71" s="239" t="s">
        <v>4579</v>
      </c>
      <c r="E71" s="239" t="s">
        <v>4580</v>
      </c>
      <c r="F71" s="239" t="s">
        <v>4485</v>
      </c>
      <c r="G71" s="239" t="s">
        <v>4374</v>
      </c>
      <c r="H71" s="239" t="s">
        <v>4375</v>
      </c>
      <c r="I71" s="239" t="s">
        <v>4376</v>
      </c>
      <c r="J71" s="257" t="str">
        <f>HYPERLINK("https://www.google.com/maps/search/Museu%20Municipal%20de%20Vieira%20do%20Minho%20Portugal/@41.6378,-8.1322,17z","🏛 Museu Municipal de Vieira d…")</f>
        <v>🏛 Museu Municipal de Vieira d…</v>
      </c>
      <c r="K71" s="304" t="s">
        <v>4581</v>
      </c>
    </row>
    <row r="72" spans="1:11" ht="110" customHeight="1" x14ac:dyDescent="0.35">
      <c r="A72" s="336">
        <v>68</v>
      </c>
      <c r="B72" s="242" t="s">
        <v>4582</v>
      </c>
      <c r="C72" s="243" t="s">
        <v>792</v>
      </c>
      <c r="D72" s="242" t="s">
        <v>1917</v>
      </c>
      <c r="E72" s="242" t="s">
        <v>4583</v>
      </c>
      <c r="F72" s="242" t="s">
        <v>4485</v>
      </c>
      <c r="G72" s="242" t="s">
        <v>4374</v>
      </c>
      <c r="H72" s="242" t="s">
        <v>4375</v>
      </c>
      <c r="I72" s="242" t="s">
        <v>4376</v>
      </c>
      <c r="J72" s="258" t="str">
        <f>HYPERLINK("https://www.google.com/maps/search/Museu%20Municipal%20de%20Cabeceiras%20de%20Basto%20Portugal/@41.5144,-7.9889,17z","🏛 Museu Municipal de Cabeceir…")</f>
        <v>🏛 Museu Municipal de Cabeceir…</v>
      </c>
      <c r="K72" s="305" t="s">
        <v>4584</v>
      </c>
    </row>
    <row r="73" spans="1:11" ht="110" customHeight="1" x14ac:dyDescent="0.35">
      <c r="A73" s="338">
        <v>69</v>
      </c>
      <c r="B73" s="239" t="s">
        <v>4585</v>
      </c>
      <c r="C73" s="240" t="s">
        <v>792</v>
      </c>
      <c r="D73" s="239" t="s">
        <v>1917</v>
      </c>
      <c r="E73" s="239" t="s">
        <v>4586</v>
      </c>
      <c r="F73" s="239" t="s">
        <v>4539</v>
      </c>
      <c r="G73" s="239" t="s">
        <v>4374</v>
      </c>
      <c r="H73" s="239" t="s">
        <v>4375</v>
      </c>
      <c r="I73" s="239" t="s">
        <v>4376</v>
      </c>
      <c r="J73" s="257" t="str">
        <f>HYPERLINK("https://www.google.com/maps/search/N%C3%BAcleo%20Museol%C3%B3gico%20do%20Castelo%20de%20Arnoia%20Cabeceiras%20de%20Basto%20Portugal/@41.5144,-7.9889,17z","🏛 Núcleo Museológico do Caste…")</f>
        <v>🏛 Núcleo Museológico do Caste…</v>
      </c>
      <c r="K73" s="304" t="s">
        <v>4587</v>
      </c>
    </row>
    <row r="74" spans="1:11" ht="110" customHeight="1" x14ac:dyDescent="0.35">
      <c r="A74" s="336">
        <v>70</v>
      </c>
      <c r="B74" s="242" t="s">
        <v>4588</v>
      </c>
      <c r="C74" s="243" t="s">
        <v>792</v>
      </c>
      <c r="D74" s="242" t="s">
        <v>1872</v>
      </c>
      <c r="E74" s="242" t="s">
        <v>4589</v>
      </c>
      <c r="F74" s="242" t="s">
        <v>4485</v>
      </c>
      <c r="G74" s="242" t="s">
        <v>4374</v>
      </c>
      <c r="H74" s="242" t="s">
        <v>4375</v>
      </c>
      <c r="I74" s="242" t="s">
        <v>4376</v>
      </c>
      <c r="J74" s="258" t="str">
        <f>HYPERLINK("https://www.google.com/maps/search/Museu%20Municipal%20de%20Mondim%20de%20Basto%20Portugal/@41.4072,-7.9533,17z","🏛 Museu Municipal de Mondim d…")</f>
        <v>🏛 Museu Municipal de Mondim d…</v>
      </c>
      <c r="K74" s="305" t="s">
        <v>4590</v>
      </c>
    </row>
    <row r="75" spans="1:11" ht="110" customHeight="1" x14ac:dyDescent="0.35">
      <c r="A75" s="338">
        <v>71</v>
      </c>
      <c r="B75" s="239" t="s">
        <v>4591</v>
      </c>
      <c r="C75" s="240" t="s">
        <v>792</v>
      </c>
      <c r="D75" s="239" t="s">
        <v>4592</v>
      </c>
      <c r="E75" s="239" t="s">
        <v>4593</v>
      </c>
      <c r="F75" s="239" t="s">
        <v>4485</v>
      </c>
      <c r="G75" s="239" t="s">
        <v>4374</v>
      </c>
      <c r="H75" s="239" t="s">
        <v>4375</v>
      </c>
      <c r="I75" s="239" t="s">
        <v>4376</v>
      </c>
      <c r="J75" s="257" t="str">
        <f>HYPERLINK("https://www.google.com/maps/search/Museu%20Municipal%20de%20Boticas%20Portugal/@41.6883,-7.6681,17z","🏛 Museu Municipal de Boticas")</f>
        <v>🏛 Museu Municipal de Boticas</v>
      </c>
      <c r="K75" s="304" t="s">
        <v>4594</v>
      </c>
    </row>
    <row r="76" spans="1:11" ht="110" customHeight="1" x14ac:dyDescent="0.35">
      <c r="A76" s="336">
        <v>72</v>
      </c>
      <c r="B76" s="242" t="s">
        <v>4595</v>
      </c>
      <c r="C76" s="243" t="s">
        <v>792</v>
      </c>
      <c r="D76" s="242" t="s">
        <v>1964</v>
      </c>
      <c r="E76" s="242" t="s">
        <v>4596</v>
      </c>
      <c r="F76" s="242" t="s">
        <v>4515</v>
      </c>
      <c r="G76" s="242" t="s">
        <v>4374</v>
      </c>
      <c r="H76" s="242" t="s">
        <v>4375</v>
      </c>
      <c r="I76" s="242" t="s">
        <v>4376</v>
      </c>
      <c r="J76" s="258" t="str">
        <f>HYPERLINK("https://www.google.com/maps/search/Centro%20de%20Artes%20Nadir%20Afonso%20Chaves%20Portugal/@41.7383,-7.4694,17z","🏛 Centro de Artes Nadir Afonso")</f>
        <v>🏛 Centro de Artes Nadir Afonso</v>
      </c>
      <c r="K76" s="305" t="s">
        <v>4597</v>
      </c>
    </row>
    <row r="77" spans="1:11" ht="110" customHeight="1" x14ac:dyDescent="0.35">
      <c r="A77" s="338">
        <v>73</v>
      </c>
      <c r="B77" s="239" t="s">
        <v>4598</v>
      </c>
      <c r="C77" s="240" t="s">
        <v>792</v>
      </c>
      <c r="D77" s="239" t="s">
        <v>4599</v>
      </c>
      <c r="E77" s="239" t="s">
        <v>4600</v>
      </c>
      <c r="F77" s="239" t="s">
        <v>4485</v>
      </c>
      <c r="G77" s="239" t="s">
        <v>4374</v>
      </c>
      <c r="H77" s="239" t="s">
        <v>4375</v>
      </c>
      <c r="I77" s="239" t="s">
        <v>4376</v>
      </c>
      <c r="J77" s="257" t="str">
        <f>HYPERLINK("https://www.google.com/maps/search/Museu%20Municipal%20de%20Valpa%C3%A7os%20Portugal/@41.6067,-7.3039,17z","🏛 Museu Municipal de Valpaços")</f>
        <v>🏛 Museu Municipal de Valpaços</v>
      </c>
      <c r="K77" s="304" t="s">
        <v>4601</v>
      </c>
    </row>
    <row r="78" spans="1:11" ht="110" customHeight="1" x14ac:dyDescent="0.35">
      <c r="A78" s="336">
        <v>74</v>
      </c>
      <c r="B78" s="244" t="s">
        <v>4602</v>
      </c>
      <c r="C78" s="243" t="s">
        <v>792</v>
      </c>
      <c r="D78" s="242" t="s">
        <v>1786</v>
      </c>
      <c r="E78" s="242" t="s">
        <v>4603</v>
      </c>
      <c r="F78" s="242" t="s">
        <v>1101</v>
      </c>
      <c r="G78" s="242" t="s">
        <v>4374</v>
      </c>
      <c r="H78" s="242" t="s">
        <v>4375</v>
      </c>
      <c r="I78" s="242" t="s">
        <v>4376</v>
      </c>
      <c r="J78" s="258" t="str">
        <f>HYPERLINK("https://www.google.com/maps/search/Centro%20de%20Interpreta%C3%A7%C3%A3o%20da%20Paisagem%20Protegida%20da%20Albufeira%20do%20Azibo%20Macedo%20de%20Cavaleiros%20Portugal/@41.5369,-6.96,17z","🏛 Centro de Interpretação da …")</f>
        <v>🏛 Centro de Interpretação da …</v>
      </c>
      <c r="K78" s="305" t="s">
        <v>4604</v>
      </c>
    </row>
    <row r="79" spans="1:11" ht="110" customHeight="1" x14ac:dyDescent="0.35">
      <c r="A79" s="338">
        <v>75</v>
      </c>
      <c r="B79" s="239" t="s">
        <v>4605</v>
      </c>
      <c r="C79" s="240" t="s">
        <v>792</v>
      </c>
      <c r="D79" s="239" t="s">
        <v>1860</v>
      </c>
      <c r="E79" s="239" t="s">
        <v>4606</v>
      </c>
      <c r="F79" s="239" t="s">
        <v>4485</v>
      </c>
      <c r="G79" s="239" t="s">
        <v>4374</v>
      </c>
      <c r="H79" s="239" t="s">
        <v>4375</v>
      </c>
      <c r="I79" s="239" t="s">
        <v>4376</v>
      </c>
      <c r="J79" s="257" t="str">
        <f>HYPERLINK("https://www.google.com/maps/search/Museu%20Municipal%20de%20Alij%C3%B3%20Portugal/@41.2792,-7.4714,17z","🏛 Museu Municipal de Alijó")</f>
        <v>🏛 Museu Municipal de Alijó</v>
      </c>
      <c r="K79" s="304" t="s">
        <v>4607</v>
      </c>
    </row>
    <row r="80" spans="1:11" ht="110" customHeight="1" x14ac:dyDescent="0.35">
      <c r="A80" s="336">
        <v>76</v>
      </c>
      <c r="B80" s="242" t="s">
        <v>4608</v>
      </c>
      <c r="C80" s="243" t="s">
        <v>792</v>
      </c>
      <c r="D80" s="242" t="s">
        <v>4609</v>
      </c>
      <c r="E80" s="242" t="s">
        <v>4610</v>
      </c>
      <c r="F80" s="242" t="s">
        <v>4485</v>
      </c>
      <c r="G80" s="242" t="s">
        <v>4374</v>
      </c>
      <c r="H80" s="242" t="s">
        <v>4375</v>
      </c>
      <c r="I80" s="242" t="s">
        <v>4376</v>
      </c>
      <c r="J80" s="258" t="str">
        <f>HYPERLINK("https://www.google.com/maps/search/Museu%20Municipal%20de%20Mur%C3%A7a%20Portugal/@41.4053,-7.4528,17z","🏛 Museu Municipal de Murça")</f>
        <v>🏛 Museu Municipal de Murça</v>
      </c>
      <c r="K80" s="305" t="s">
        <v>4611</v>
      </c>
    </row>
    <row r="81" spans="1:11" ht="110" customHeight="1" x14ac:dyDescent="0.35">
      <c r="A81" s="338">
        <v>77</v>
      </c>
      <c r="B81" s="239" t="s">
        <v>4612</v>
      </c>
      <c r="C81" s="240" t="s">
        <v>792</v>
      </c>
      <c r="D81" s="239" t="s">
        <v>4613</v>
      </c>
      <c r="E81" s="239" t="s">
        <v>4614</v>
      </c>
      <c r="F81" s="239" t="s">
        <v>4485</v>
      </c>
      <c r="G81" s="239" t="s">
        <v>4374</v>
      </c>
      <c r="H81" s="239" t="s">
        <v>4375</v>
      </c>
      <c r="I81" s="239" t="s">
        <v>4376</v>
      </c>
      <c r="J81" s="257" t="str">
        <f>HYPERLINK("https://www.google.com/maps/search/Museu%20Municipal%20de%20Sabrosa%20Portugal/@41.2767,-7.5706,17z","🏛 Museu Municipal de Sabrosa")</f>
        <v>🏛 Museu Municipal de Sabrosa</v>
      </c>
      <c r="K81" s="304" t="s">
        <v>4615</v>
      </c>
    </row>
    <row r="82" spans="1:11" ht="110" customHeight="1" x14ac:dyDescent="0.35">
      <c r="A82" s="336">
        <v>78</v>
      </c>
      <c r="B82" s="242" t="s">
        <v>4616</v>
      </c>
      <c r="C82" s="243" t="s">
        <v>792</v>
      </c>
      <c r="D82" s="242" t="s">
        <v>1932</v>
      </c>
      <c r="E82" s="242" t="s">
        <v>4617</v>
      </c>
      <c r="F82" s="242" t="s">
        <v>4485</v>
      </c>
      <c r="G82" s="242" t="s">
        <v>4374</v>
      </c>
      <c r="H82" s="242" t="s">
        <v>4375</v>
      </c>
      <c r="I82" s="242" t="s">
        <v>4376</v>
      </c>
      <c r="J82" s="258" t="str">
        <f>HYPERLINK("https://www.google.com/maps/search/Museu%20Municipal%20de%20Mes%C3%A3o%20Frio%20Portugal/@41.1578,-7.8328,17z","🏛 Museu Municipal de Mesão Frio")</f>
        <v>🏛 Museu Municipal de Mesão Frio</v>
      </c>
      <c r="K82" s="305" t="s">
        <v>4618</v>
      </c>
    </row>
    <row r="83" spans="1:11" ht="110" customHeight="1" x14ac:dyDescent="0.35">
      <c r="A83" s="338">
        <v>79</v>
      </c>
      <c r="B83" s="239" t="s">
        <v>4619</v>
      </c>
      <c r="C83" s="240" t="s">
        <v>792</v>
      </c>
      <c r="D83" s="239" t="s">
        <v>4620</v>
      </c>
      <c r="E83" s="239" t="s">
        <v>4621</v>
      </c>
      <c r="F83" s="239" t="s">
        <v>4485</v>
      </c>
      <c r="G83" s="239" t="s">
        <v>4374</v>
      </c>
      <c r="H83" s="239" t="s">
        <v>4375</v>
      </c>
      <c r="I83" s="239" t="s">
        <v>4376</v>
      </c>
      <c r="J83" s="257" t="str">
        <f>HYPERLINK("https://www.google.com/maps/search/Museu%20Municipal%20de%20Resende%20Portugal/@41.0947,-7.9519,17z","🏛 Museu Municipal de Resende")</f>
        <v>🏛 Museu Municipal de Resende</v>
      </c>
      <c r="K83" s="304" t="s">
        <v>4622</v>
      </c>
    </row>
    <row r="84" spans="1:11" ht="110" customHeight="1" x14ac:dyDescent="0.35">
      <c r="A84" s="336">
        <v>80</v>
      </c>
      <c r="B84" s="242" t="s">
        <v>4623</v>
      </c>
      <c r="C84" s="243" t="s">
        <v>792</v>
      </c>
      <c r="D84" s="242" t="s">
        <v>4624</v>
      </c>
      <c r="E84" s="242" t="s">
        <v>4625</v>
      </c>
      <c r="F84" s="242" t="s">
        <v>4485</v>
      </c>
      <c r="G84" s="242" t="s">
        <v>4374</v>
      </c>
      <c r="H84" s="242" t="s">
        <v>4375</v>
      </c>
      <c r="I84" s="242" t="s">
        <v>4376</v>
      </c>
      <c r="J84" s="258" t="str">
        <f>HYPERLINK("https://www.google.com/maps/search/Museu%20Municipal%20da%20Trofa%20Portugal/@41.3408,-8.5567,17z","🏛 Museu Municipal da Trofa")</f>
        <v>🏛 Museu Municipal da Trofa</v>
      </c>
      <c r="K84" s="305" t="s">
        <v>4626</v>
      </c>
    </row>
    <row r="85" spans="1:11" ht="110" customHeight="1" x14ac:dyDescent="0.35">
      <c r="A85" s="338">
        <v>81</v>
      </c>
      <c r="B85" s="239" t="s">
        <v>4627</v>
      </c>
      <c r="C85" s="240" t="s">
        <v>792</v>
      </c>
      <c r="D85" s="239" t="s">
        <v>4624</v>
      </c>
      <c r="E85" s="239" t="s">
        <v>4628</v>
      </c>
      <c r="F85" s="239" t="s">
        <v>4629</v>
      </c>
      <c r="G85" s="239" t="s">
        <v>4374</v>
      </c>
      <c r="H85" s="239" t="s">
        <v>4375</v>
      </c>
      <c r="I85" s="239" t="s">
        <v>4376</v>
      </c>
      <c r="J85" s="257" t="str">
        <f>HYPERLINK("https://www.google.com/maps/search/N%C3%BAcleo%20Ferrovi%C3%A1rio%20da%20Trofa%20Portugal/@41.3408,-8.5567,17z","🏛 Núcleo Ferroviário da Trofa")</f>
        <v>🏛 Núcleo Ferroviário da Trofa</v>
      </c>
      <c r="K85" s="304" t="s">
        <v>4626</v>
      </c>
    </row>
    <row r="86" spans="1:11" ht="110" customHeight="1" x14ac:dyDescent="0.35">
      <c r="A86" s="336">
        <v>82</v>
      </c>
      <c r="B86" s="242" t="s">
        <v>4630</v>
      </c>
      <c r="C86" s="243" t="s">
        <v>792</v>
      </c>
      <c r="D86" s="242" t="s">
        <v>4631</v>
      </c>
      <c r="E86" s="242" t="s">
        <v>4632</v>
      </c>
      <c r="F86" s="242" t="s">
        <v>4485</v>
      </c>
      <c r="G86" s="242" t="s">
        <v>4374</v>
      </c>
      <c r="H86" s="242" t="s">
        <v>4375</v>
      </c>
      <c r="I86" s="242" t="s">
        <v>4376</v>
      </c>
      <c r="J86" s="258" t="str">
        <f>HYPERLINK("https://www.google.com/maps/search/Museu%20Municipal%20de%20Santo%20Tirso%20Portugal/@41.3428,-8.4772,17z","🏛 Museu Municipal de Santo Ti…")</f>
        <v>🏛 Museu Municipal de Santo Ti…</v>
      </c>
      <c r="K86" s="305" t="s">
        <v>4633</v>
      </c>
    </row>
    <row r="87" spans="1:11" ht="110" customHeight="1" x14ac:dyDescent="0.35">
      <c r="A87" s="338">
        <v>83</v>
      </c>
      <c r="B87" s="239" t="s">
        <v>4634</v>
      </c>
      <c r="C87" s="240" t="s">
        <v>792</v>
      </c>
      <c r="D87" s="239" t="s">
        <v>4631</v>
      </c>
      <c r="E87" s="239" t="s">
        <v>4635</v>
      </c>
      <c r="F87" s="239" t="s">
        <v>4559</v>
      </c>
      <c r="G87" s="239" t="s">
        <v>4374</v>
      </c>
      <c r="H87" s="239" t="s">
        <v>4375</v>
      </c>
      <c r="I87" s="239" t="s">
        <v>4376</v>
      </c>
      <c r="J87" s="257" t="str">
        <f>HYPERLINK("https://www.google.com/maps/search/MIEC%20%E2%80%94%20Museu%20Internacional%20de%20Escultura%20Contempor%C3%A2nea%20Santo%20Tirso%20Portugal/@41.3428,-8.4772,17z","🏛 MIEC — Museu Internacional …")</f>
        <v>🏛 MIEC — Museu Internacional …</v>
      </c>
      <c r="K87" s="304" t="s">
        <v>4636</v>
      </c>
    </row>
    <row r="88" spans="1:11" ht="110" customHeight="1" x14ac:dyDescent="0.35">
      <c r="A88" s="336">
        <v>84</v>
      </c>
      <c r="B88" s="242" t="s">
        <v>4637</v>
      </c>
      <c r="C88" s="243" t="s">
        <v>792</v>
      </c>
      <c r="D88" s="242" t="s">
        <v>4631</v>
      </c>
      <c r="E88" s="242" t="s">
        <v>4638</v>
      </c>
      <c r="F88" s="242" t="s">
        <v>4508</v>
      </c>
      <c r="G88" s="242" t="s">
        <v>4374</v>
      </c>
      <c r="H88" s="242" t="s">
        <v>4375</v>
      </c>
      <c r="I88" s="242" t="s">
        <v>4376</v>
      </c>
      <c r="J88" s="258" t="str">
        <f>HYPERLINK("https://www.google.com/maps/search/N%C3%BAcleo%20Museol%C3%B3gico%20do%20Moinho%20de%20Cima%20Santo%20Tirso%20Portugal/@41.3428,-8.4772,17z","🏛 Núcleo Museológico do Moinh…")</f>
        <v>🏛 Núcleo Museológico do Moinh…</v>
      </c>
      <c r="K88" s="305" t="s">
        <v>4639</v>
      </c>
    </row>
    <row r="89" spans="1:11" ht="110" customHeight="1" x14ac:dyDescent="0.35">
      <c r="A89" s="338">
        <v>85</v>
      </c>
      <c r="B89" s="239" t="s">
        <v>4640</v>
      </c>
      <c r="C89" s="240" t="s">
        <v>792</v>
      </c>
      <c r="D89" s="239" t="s">
        <v>4641</v>
      </c>
      <c r="E89" s="239" t="s">
        <v>4642</v>
      </c>
      <c r="F89" s="239" t="s">
        <v>4485</v>
      </c>
      <c r="G89" s="239" t="s">
        <v>4374</v>
      </c>
      <c r="H89" s="239" t="s">
        <v>4375</v>
      </c>
      <c r="I89" s="239" t="s">
        <v>4376</v>
      </c>
      <c r="J89" s="257" t="str">
        <f>HYPERLINK("https://www.google.com/maps/search/Museu%20Municipal%20de%20P%C3%B3voa%20de%20Varzim%20Portugal/@41.38,-8.7608,17z","🏛 Museu Municipal de Póvoa de…")</f>
        <v>🏛 Museu Municipal de Póvoa de…</v>
      </c>
      <c r="K89" s="304" t="s">
        <v>4643</v>
      </c>
    </row>
    <row r="90" spans="1:11" ht="110" customHeight="1" x14ac:dyDescent="0.35">
      <c r="A90" s="336">
        <v>86</v>
      </c>
      <c r="B90" s="242" t="s">
        <v>4644</v>
      </c>
      <c r="C90" s="243" t="s">
        <v>792</v>
      </c>
      <c r="D90" s="242" t="s">
        <v>4641</v>
      </c>
      <c r="E90" s="242" t="s">
        <v>4645</v>
      </c>
      <c r="F90" s="242" t="s">
        <v>4508</v>
      </c>
      <c r="G90" s="242" t="s">
        <v>4374</v>
      </c>
      <c r="H90" s="242" t="s">
        <v>4375</v>
      </c>
      <c r="I90" s="242" t="s">
        <v>4376</v>
      </c>
      <c r="J90" s="258" t="str">
        <f>HYPERLINK("https://www.google.com/maps/search/Museu%20da%20P%C3%B3voa%20de%20Varzim%20Portugal/@41.38,-8.7608,17z","🏛 Museu da Póvoa de Varzim")</f>
        <v>🏛 Museu da Póvoa de Varzim</v>
      </c>
      <c r="K90" s="305" t="s">
        <v>4646</v>
      </c>
    </row>
    <row r="91" spans="1:11" ht="110" customHeight="1" x14ac:dyDescent="0.35">
      <c r="A91" s="338">
        <v>87</v>
      </c>
      <c r="B91" s="239" t="s">
        <v>4647</v>
      </c>
      <c r="C91" s="240" t="s">
        <v>792</v>
      </c>
      <c r="D91" s="239" t="s">
        <v>4648</v>
      </c>
      <c r="E91" s="239" t="s">
        <v>4649</v>
      </c>
      <c r="F91" s="239" t="s">
        <v>4485</v>
      </c>
      <c r="G91" s="239" t="s">
        <v>4374</v>
      </c>
      <c r="H91" s="239" t="s">
        <v>4375</v>
      </c>
      <c r="I91" s="239" t="s">
        <v>4376</v>
      </c>
      <c r="J91" s="257" t="str">
        <f>HYPERLINK("https://www.google.com/maps/search/Museu%20Municipal%20de%20Vila%20do%20Conde%20Portugal/@41.3539,-8.7483,17z","🏛 Museu Municipal de Vila do …")</f>
        <v>🏛 Museu Municipal de Vila do …</v>
      </c>
      <c r="K91" s="304" t="s">
        <v>4650</v>
      </c>
    </row>
    <row r="92" spans="1:11" ht="110" customHeight="1" x14ac:dyDescent="0.35">
      <c r="A92" s="336">
        <v>88</v>
      </c>
      <c r="B92" s="242" t="s">
        <v>4651</v>
      </c>
      <c r="C92" s="243" t="s">
        <v>792</v>
      </c>
      <c r="D92" s="242" t="s">
        <v>4648</v>
      </c>
      <c r="E92" s="242" t="s">
        <v>4652</v>
      </c>
      <c r="F92" s="242" t="s">
        <v>4653</v>
      </c>
      <c r="G92" s="242" t="s">
        <v>4374</v>
      </c>
      <c r="H92" s="242" t="s">
        <v>4375</v>
      </c>
      <c r="I92" s="242" t="s">
        <v>4376</v>
      </c>
      <c r="J92" s="258" t="str">
        <f>HYPERLINK("https://www.google.com/maps/search/Museu%20das%20Rendas%20de%20Bilros%20Vila%20do%20Conde%20Portugal/@41.3539,-8.7483,17z","🏛 Museu das Rendas de Bilros")</f>
        <v>🏛 Museu das Rendas de Bilros</v>
      </c>
      <c r="K92" s="305" t="s">
        <v>4654</v>
      </c>
    </row>
    <row r="93" spans="1:11" ht="110" customHeight="1" x14ac:dyDescent="0.35">
      <c r="A93" s="338">
        <v>89</v>
      </c>
      <c r="B93" s="239" t="s">
        <v>4655</v>
      </c>
      <c r="C93" s="240" t="s">
        <v>792</v>
      </c>
      <c r="D93" s="239" t="s">
        <v>4648</v>
      </c>
      <c r="E93" s="239" t="s">
        <v>4656</v>
      </c>
      <c r="F93" s="239" t="s">
        <v>4657</v>
      </c>
      <c r="G93" s="239" t="s">
        <v>4374</v>
      </c>
      <c r="H93" s="239" t="s">
        <v>4375</v>
      </c>
      <c r="I93" s="239" t="s">
        <v>4376</v>
      </c>
      <c r="J93" s="257" t="str">
        <f>HYPERLINK("https://www.google.com/maps/search/Museu%20da%20Alf%C3%A2ndega%20R%C3%A9gia%20Vila%20do%20Conde%20Portugal/@41.3539,-8.7483,17z","🏛 Museu da Alfândega Régia")</f>
        <v>🏛 Museu da Alfândega Régia</v>
      </c>
      <c r="K93" s="304" t="s">
        <v>4650</v>
      </c>
    </row>
    <row r="94" spans="1:11" ht="110" customHeight="1" x14ac:dyDescent="0.35">
      <c r="A94" s="336">
        <v>90</v>
      </c>
      <c r="B94" s="242" t="s">
        <v>4658</v>
      </c>
      <c r="C94" s="243" t="s">
        <v>792</v>
      </c>
      <c r="D94" s="242" t="s">
        <v>2019</v>
      </c>
      <c r="E94" s="242" t="s">
        <v>4659</v>
      </c>
      <c r="F94" s="242" t="s">
        <v>4485</v>
      </c>
      <c r="G94" s="242" t="s">
        <v>4374</v>
      </c>
      <c r="H94" s="242" t="s">
        <v>4375</v>
      </c>
      <c r="I94" s="242" t="s">
        <v>4376</v>
      </c>
      <c r="J94" s="258" t="str">
        <f>HYPERLINK("https://www.google.com/maps/search/Museu%20Municipal%20de%20Espinho%20Portugal/@41.0069,-8.6408,17z","🏛 Museu Municipal de Espinho")</f>
        <v>🏛 Museu Municipal de Espinho</v>
      </c>
      <c r="K94" s="305" t="s">
        <v>4660</v>
      </c>
    </row>
    <row r="95" spans="1:11" ht="110" customHeight="1" x14ac:dyDescent="0.35">
      <c r="A95" s="338">
        <v>91</v>
      </c>
      <c r="B95" s="239" t="s">
        <v>4661</v>
      </c>
      <c r="C95" s="240" t="s">
        <v>792</v>
      </c>
      <c r="D95" s="239" t="s">
        <v>2019</v>
      </c>
      <c r="E95" s="239" t="s">
        <v>4662</v>
      </c>
      <c r="F95" s="239" t="s">
        <v>4663</v>
      </c>
      <c r="G95" s="239" t="s">
        <v>4374</v>
      </c>
      <c r="H95" s="239" t="s">
        <v>4375</v>
      </c>
      <c r="I95" s="239" t="s">
        <v>4376</v>
      </c>
      <c r="J95" s="257" t="str">
        <f>HYPERLINK("https://www.google.com/maps/search/Museu%20do%20Brinquedo%20de%20Espinho%20Portugal/@41.0069,-8.6408,17z","🏛 Museu do Brinquedo de Espinho")</f>
        <v>🏛 Museu do Brinquedo de Espinho</v>
      </c>
      <c r="K95" s="304" t="s">
        <v>4664</v>
      </c>
    </row>
    <row r="96" spans="1:11" ht="110" customHeight="1" x14ac:dyDescent="0.35">
      <c r="A96" s="336">
        <v>92</v>
      </c>
      <c r="B96" s="242" t="s">
        <v>4665</v>
      </c>
      <c r="C96" s="243" t="s">
        <v>792</v>
      </c>
      <c r="D96" s="242" t="s">
        <v>1779</v>
      </c>
      <c r="E96" s="242" t="s">
        <v>4666</v>
      </c>
      <c r="F96" s="242" t="s">
        <v>4570</v>
      </c>
      <c r="G96" s="242" t="s">
        <v>4374</v>
      </c>
      <c r="H96" s="242" t="s">
        <v>4375</v>
      </c>
      <c r="I96" s="242" t="s">
        <v>4376</v>
      </c>
      <c r="J96" s="258" t="str">
        <f>HYPERLINK("https://www.google.com/maps/search/Museu%20do%20Papel%20Terras%20de%20Santa%20Maria%20Santa%20Maria%20da%20Feira%20Portugal/@40.9411,-8.5528,17z","🏛 Museu do Papel Terras de Sa…")</f>
        <v>🏛 Museu do Papel Terras de Sa…</v>
      </c>
      <c r="K96" s="305" t="s">
        <v>4667</v>
      </c>
    </row>
    <row r="97" spans="1:11" ht="110" customHeight="1" x14ac:dyDescent="0.35">
      <c r="A97" s="338">
        <v>93</v>
      </c>
      <c r="B97" s="239" t="s">
        <v>4668</v>
      </c>
      <c r="C97" s="240" t="s">
        <v>792</v>
      </c>
      <c r="D97" s="239" t="s">
        <v>1779</v>
      </c>
      <c r="E97" s="239" t="s">
        <v>4669</v>
      </c>
      <c r="F97" s="239" t="s">
        <v>4485</v>
      </c>
      <c r="G97" s="239" t="s">
        <v>4374</v>
      </c>
      <c r="H97" s="239" t="s">
        <v>4375</v>
      </c>
      <c r="I97" s="239" t="s">
        <v>4376</v>
      </c>
      <c r="J97" s="257" t="str">
        <f>HYPERLINK("https://www.google.com/maps/search/Museu%20Convento%20dos%20L%C3%B3ios%20Santa%20Maria%20da%20Feira%20Portugal/@40.9267,-8.5464,17z","🏛 Museu Convento dos Lóios")</f>
        <v>🏛 Museu Convento dos Lóios</v>
      </c>
      <c r="K97" s="304" t="s">
        <v>4667</v>
      </c>
    </row>
    <row r="98" spans="1:11" ht="110" customHeight="1" x14ac:dyDescent="0.35">
      <c r="A98" s="336">
        <v>94</v>
      </c>
      <c r="B98" s="242" t="s">
        <v>4670</v>
      </c>
      <c r="C98" s="243" t="s">
        <v>792</v>
      </c>
      <c r="D98" s="242" t="s">
        <v>1938</v>
      </c>
      <c r="E98" s="242" t="s">
        <v>4671</v>
      </c>
      <c r="F98" s="242" t="s">
        <v>4508</v>
      </c>
      <c r="G98" s="242" t="s">
        <v>4374</v>
      </c>
      <c r="H98" s="242" t="s">
        <v>4375</v>
      </c>
      <c r="I98" s="242" t="s">
        <v>4376</v>
      </c>
      <c r="J98" s="258" t="str">
        <f>HYPERLINK("https://www.google.com/maps/search/Museu%20Regional%20de%20Oliveira%20de%20Azem%C3%A9is%20Portugal/@40.8378,-8.4767,17z","🏛 Museu Regional de Oliveira …")</f>
        <v>🏛 Museu Regional de Oliveira …</v>
      </c>
      <c r="K98" s="305" t="s">
        <v>4672</v>
      </c>
    </row>
    <row r="99" spans="1:11" ht="110" customHeight="1" x14ac:dyDescent="0.35">
      <c r="A99" s="338">
        <v>95</v>
      </c>
      <c r="B99" s="239" t="s">
        <v>4673</v>
      </c>
      <c r="C99" s="240" t="s">
        <v>792</v>
      </c>
      <c r="D99" s="239" t="s">
        <v>4579</v>
      </c>
      <c r="E99" s="239" t="s">
        <v>4580</v>
      </c>
      <c r="F99" s="239" t="s">
        <v>1101</v>
      </c>
      <c r="G99" s="239" t="s">
        <v>4374</v>
      </c>
      <c r="H99" s="239" t="s">
        <v>4375</v>
      </c>
      <c r="I99" s="239" t="s">
        <v>4376</v>
      </c>
      <c r="J99" s="257" t="str">
        <f>HYPERLINK("https://www.google.com/maps/search/N%C3%BAcleo%20Museol%C3%B3gico%20da%20Serra%20da%20Cabreira%20Vieira%20do%20Minho%20Portugal/@41.6378,-8.1322,17z","🏛 Núcleo Museológico da Serra…")</f>
        <v>🏛 Núcleo Museológico da Serra…</v>
      </c>
      <c r="K99" s="304" t="s">
        <v>4581</v>
      </c>
    </row>
    <row r="100" spans="1:11" ht="110" customHeight="1" x14ac:dyDescent="0.35">
      <c r="A100" s="336">
        <v>96</v>
      </c>
      <c r="B100" s="242" t="s">
        <v>4674</v>
      </c>
      <c r="C100" s="243" t="s">
        <v>792</v>
      </c>
      <c r="D100" s="242" t="s">
        <v>1872</v>
      </c>
      <c r="E100" s="242" t="s">
        <v>4675</v>
      </c>
      <c r="F100" s="242" t="s">
        <v>1101</v>
      </c>
      <c r="G100" s="242" t="s">
        <v>4374</v>
      </c>
      <c r="H100" s="242" t="s">
        <v>4375</v>
      </c>
      <c r="I100" s="242" t="s">
        <v>4376</v>
      </c>
      <c r="J100" s="258" t="str">
        <f>HYPERLINK("https://www.google.com/maps/search/Centro%20Interpretativo%20do%20Alv%C3%A3o%20Mondim%20de%20Basto%20Portugal/@41.4072,-7.9533,17z","🏛 Centro Interpretativo do Al…")</f>
        <v>🏛 Centro Interpretativo do Al…</v>
      </c>
      <c r="K100" s="305" t="s">
        <v>4590</v>
      </c>
    </row>
    <row r="101" spans="1:11" ht="110" customHeight="1" x14ac:dyDescent="0.35">
      <c r="A101" s="338">
        <v>97</v>
      </c>
      <c r="B101" s="239" t="s">
        <v>4676</v>
      </c>
      <c r="C101" s="240" t="s">
        <v>792</v>
      </c>
      <c r="D101" s="239" t="s">
        <v>4677</v>
      </c>
      <c r="E101" s="239" t="s">
        <v>4678</v>
      </c>
      <c r="F101" s="239" t="s">
        <v>4489</v>
      </c>
      <c r="G101" s="239" t="s">
        <v>4374</v>
      </c>
      <c r="H101" s="239" t="s">
        <v>4375</v>
      </c>
      <c r="I101" s="239" t="s">
        <v>4376</v>
      </c>
      <c r="J101" s="257" t="str">
        <f>HYPERLINK("https://www.google.com/maps/search/Centro%20Cultural%20de%20Paredes%20de%20Coura%20%E2%80%94%20N%C3%BAcleo%20Museol%C3%B3gico%20Portugal/@41.9047,-8.5692,17z","🏛 Centro Cultural de Paredes …")</f>
        <v>🏛 Centro Cultural de Paredes …</v>
      </c>
      <c r="K101" s="304" t="s">
        <v>4679</v>
      </c>
    </row>
    <row r="102" spans="1:11" ht="22" customHeight="1" x14ac:dyDescent="0.35">
      <c r="A102" s="1475" t="s">
        <v>4680</v>
      </c>
      <c r="B102" s="1313"/>
      <c r="C102" s="1313"/>
      <c r="D102" s="1313"/>
      <c r="E102" s="1313"/>
      <c r="F102" s="1313"/>
      <c r="G102" s="1313"/>
      <c r="H102" s="1313"/>
      <c r="I102" s="1313"/>
      <c r="J102" s="1313"/>
      <c r="K102" s="1313"/>
    </row>
    <row r="103" spans="1:11" ht="110" customHeight="1" x14ac:dyDescent="0.35">
      <c r="A103" s="358">
        <v>1</v>
      </c>
      <c r="B103" s="259" t="s">
        <v>4681</v>
      </c>
      <c r="C103" s="260" t="s">
        <v>836</v>
      </c>
      <c r="D103" s="259" t="s">
        <v>4682</v>
      </c>
      <c r="E103" s="259"/>
      <c r="F103" s="259" t="s">
        <v>4495</v>
      </c>
      <c r="G103" s="259" t="s">
        <v>4437</v>
      </c>
      <c r="H103" s="259" t="s">
        <v>4438</v>
      </c>
      <c r="I103" s="259" t="s">
        <v>4439</v>
      </c>
      <c r="J103" s="286" t="str">
        <f>HYPERLINK("https://www.google.com/maps/search/Museu%20de%20Aveiro%20/%20Santa%20Joana%20Av.%20Santa%20Joana%2C%20Aveiro%20Portugal/@40.6398,-8.6536,17z","🏛 Museu de Aveiro / Santa Joana")</f>
        <v>🏛 Museu de Aveiro / Santa Joana</v>
      </c>
      <c r="K103" s="305" t="s">
        <v>4683</v>
      </c>
    </row>
    <row r="104" spans="1:11" ht="110" customHeight="1" x14ac:dyDescent="0.35">
      <c r="A104" s="352">
        <v>2</v>
      </c>
      <c r="B104" s="262" t="s">
        <v>4684</v>
      </c>
      <c r="C104" s="263" t="s">
        <v>836</v>
      </c>
      <c r="D104" s="262" t="s">
        <v>4685</v>
      </c>
      <c r="E104" s="262"/>
      <c r="F104" s="262" t="s">
        <v>4657</v>
      </c>
      <c r="G104" s="262" t="s">
        <v>4374</v>
      </c>
      <c r="H104" s="262" t="s">
        <v>4375</v>
      </c>
      <c r="I104" s="262" t="s">
        <v>4376</v>
      </c>
      <c r="J104" s="287" t="str">
        <f>HYPERLINK("https://www.google.com/maps/search/Museu%20Mar%C3%ADtimo%20de%20%C3%8Dlhavo%20Centro%20Portugal/@40.6012,-8.6792,17z","🏛 Museu Marítimo de Ílhavo")</f>
        <v>🏛 Museu Marítimo de Ílhavo</v>
      </c>
      <c r="K104" s="304" t="s">
        <v>4686</v>
      </c>
    </row>
    <row r="105" spans="1:11" ht="110" customHeight="1" x14ac:dyDescent="0.35">
      <c r="A105" s="358">
        <v>3</v>
      </c>
      <c r="B105" s="259" t="s">
        <v>4687</v>
      </c>
      <c r="C105" s="260" t="s">
        <v>836</v>
      </c>
      <c r="D105" s="259" t="s">
        <v>4688</v>
      </c>
      <c r="E105" s="259"/>
      <c r="F105" s="259" t="s">
        <v>4570</v>
      </c>
      <c r="G105" s="259" t="s">
        <v>4531</v>
      </c>
      <c r="H105" s="259" t="s">
        <v>4532</v>
      </c>
      <c r="I105" s="259" t="s">
        <v>4533</v>
      </c>
      <c r="J105" s="286" t="str">
        <f>HYPERLINK("https://www.google.com/maps/search/Museu%20Vista%20Alegre%20Lugar%20da%20Vista%20Alegre%2C%20%C3%8Dlhavo%20Portugal/@40.5978,-8.7012,17z","🏛 Museu Vista Alegre")</f>
        <v>🏛 Museu Vista Alegre</v>
      </c>
      <c r="K105" s="305" t="s">
        <v>4689</v>
      </c>
    </row>
    <row r="106" spans="1:11" ht="110" customHeight="1" x14ac:dyDescent="0.35">
      <c r="A106" s="352">
        <v>4</v>
      </c>
      <c r="B106" s="262" t="s">
        <v>4690</v>
      </c>
      <c r="C106" s="263" t="s">
        <v>836</v>
      </c>
      <c r="D106" s="262" t="s">
        <v>4691</v>
      </c>
      <c r="E106" s="262"/>
      <c r="F106" s="262" t="s">
        <v>4629</v>
      </c>
      <c r="G106" s="262" t="s">
        <v>3697</v>
      </c>
      <c r="H106" s="262" t="s">
        <v>2944</v>
      </c>
      <c r="I106" s="262" t="s">
        <v>4384</v>
      </c>
      <c r="J106" s="287" t="str">
        <f>HYPERLINK("https://www.google.com/maps/search/Museu%20Ferrovi%C3%A1rio%20de%20Macinhata%20do%20Vouga%20Esta%C3%A7%C3%A3o%20de%20Macinhata%2C%20%C3%81gueda%20Portugal/@40.568,-8.395,17z","🏛 Museu Ferroviário de Macinh…")</f>
        <v>🏛 Museu Ferroviário de Macinh…</v>
      </c>
      <c r="K106" s="304" t="s">
        <v>4692</v>
      </c>
    </row>
    <row r="107" spans="1:11" ht="110" customHeight="1" x14ac:dyDescent="0.35">
      <c r="A107" s="358">
        <v>5</v>
      </c>
      <c r="B107" s="259" t="s">
        <v>4693</v>
      </c>
      <c r="C107" s="260" t="s">
        <v>836</v>
      </c>
      <c r="D107" s="259" t="s">
        <v>4694</v>
      </c>
      <c r="E107" s="259"/>
      <c r="F107" s="259" t="s">
        <v>4695</v>
      </c>
      <c r="G107" s="259" t="s">
        <v>4374</v>
      </c>
      <c r="H107" s="259" t="s">
        <v>4375</v>
      </c>
      <c r="I107" s="259" t="s">
        <v>4376</v>
      </c>
      <c r="J107" s="286" t="str">
        <f>HYPERLINK("https://www.google.com/maps/search/Museu%20do%20Vinho%20da%20Bairrada%20Centro%20Portugal/@40.4338,-8.4415,17z","🏛 Museu do Vinho da Bairrada")</f>
        <v>🏛 Museu do Vinho da Bairrada</v>
      </c>
      <c r="K107" s="305" t="s">
        <v>4696</v>
      </c>
    </row>
    <row r="108" spans="1:11" ht="110" customHeight="1" x14ac:dyDescent="0.35">
      <c r="A108" s="352">
        <v>6</v>
      </c>
      <c r="B108" s="262" t="s">
        <v>4697</v>
      </c>
      <c r="C108" s="263" t="s">
        <v>836</v>
      </c>
      <c r="D108" s="262" t="s">
        <v>4698</v>
      </c>
      <c r="E108" s="262"/>
      <c r="F108" s="262" t="s">
        <v>4699</v>
      </c>
      <c r="G108" s="262" t="s">
        <v>3697</v>
      </c>
      <c r="H108" s="262" t="s">
        <v>2944</v>
      </c>
      <c r="I108" s="262" t="s">
        <v>4384</v>
      </c>
      <c r="J108" s="287" t="str">
        <f>HYPERLINK("https://www.google.com/maps/search/Casa-Museu%20Egas%20Moniz%20Centro%20Portugal/@40.7525,-8.5662,17z","🏛 Casa-Museu Egas Moniz")</f>
        <v>🏛 Casa-Museu Egas Moniz</v>
      </c>
      <c r="K108" s="304" t="s">
        <v>4700</v>
      </c>
    </row>
    <row r="109" spans="1:11" ht="110" customHeight="1" x14ac:dyDescent="0.35">
      <c r="A109" s="358">
        <v>7</v>
      </c>
      <c r="B109" s="259" t="s">
        <v>4701</v>
      </c>
      <c r="C109" s="260" t="s">
        <v>836</v>
      </c>
      <c r="D109" s="259" t="s">
        <v>4702</v>
      </c>
      <c r="E109" s="259"/>
      <c r="F109" s="259" t="s">
        <v>4485</v>
      </c>
      <c r="G109" s="259" t="s">
        <v>4374</v>
      </c>
      <c r="H109" s="259" t="s">
        <v>4375</v>
      </c>
      <c r="I109" s="259" t="s">
        <v>4376</v>
      </c>
      <c r="J109" s="286" t="str">
        <f>HYPERLINK("https://www.google.com/maps/search/Museu%20Municipal%20de%20Ovar%20Centro%20Portugal/@40.8641,-8.6306,17z","🏛 Museu Municipal de Ovar")</f>
        <v>🏛 Museu Municipal de Ovar</v>
      </c>
      <c r="K109" s="305" t="s">
        <v>4703</v>
      </c>
    </row>
    <row r="110" spans="1:11" ht="110" customHeight="1" x14ac:dyDescent="0.35">
      <c r="A110" s="352">
        <v>8</v>
      </c>
      <c r="B110" s="262" t="s">
        <v>4704</v>
      </c>
      <c r="C110" s="263" t="s">
        <v>836</v>
      </c>
      <c r="D110" s="262" t="s">
        <v>4705</v>
      </c>
      <c r="E110" s="262"/>
      <c r="F110" s="262" t="s">
        <v>4515</v>
      </c>
      <c r="G110" s="262" t="s">
        <v>4437</v>
      </c>
      <c r="H110" s="262" t="s">
        <v>4438</v>
      </c>
      <c r="I110" s="262" t="s">
        <v>4439</v>
      </c>
      <c r="J110" s="287" t="str">
        <f>HYPERLINK("https://www.google.com/maps/search/Museu%20Nacional%20de%20Machado%20de%20Castro%20Centro%20Portugal/@40.2091,-8.4278,17z","🏛 Museu Nacional de Machado d…")</f>
        <v>🏛 Museu Nacional de Machado d…</v>
      </c>
      <c r="K110" s="304" t="s">
        <v>4706</v>
      </c>
    </row>
    <row r="111" spans="1:11" ht="110" customHeight="1" x14ac:dyDescent="0.35">
      <c r="A111" s="358">
        <v>9</v>
      </c>
      <c r="B111" s="259" t="s">
        <v>4707</v>
      </c>
      <c r="C111" s="260" t="s">
        <v>836</v>
      </c>
      <c r="D111" s="259" t="s">
        <v>4708</v>
      </c>
      <c r="E111" s="259"/>
      <c r="F111" s="259" t="s">
        <v>4699</v>
      </c>
      <c r="G111" s="259" t="s">
        <v>4709</v>
      </c>
      <c r="H111" s="259" t="s">
        <v>4438</v>
      </c>
      <c r="I111" s="259" t="s">
        <v>4384</v>
      </c>
      <c r="J111" s="286" t="str">
        <f>HYPERLINK("https://www.google.com/maps/search/Museu%20da%20Ci%C3%AAncia%20da%20Universidade%20de%20Coimbra%20Laborat%C3%B3rio%20Chimico%2C%20Coimbra%20Portugal/@40.2095,-8.4255,17z","🏛 Museu da Ciência da Univers…")</f>
        <v>🏛 Museu da Ciência da Univers…</v>
      </c>
      <c r="K111" s="305" t="s">
        <v>4710</v>
      </c>
    </row>
    <row r="112" spans="1:11" ht="110" customHeight="1" x14ac:dyDescent="0.35">
      <c r="A112" s="352">
        <v>10</v>
      </c>
      <c r="B112" s="262" t="s">
        <v>4711</v>
      </c>
      <c r="C112" s="263" t="s">
        <v>836</v>
      </c>
      <c r="D112" s="262" t="s">
        <v>4712</v>
      </c>
      <c r="E112" s="262"/>
      <c r="F112" s="262" t="s">
        <v>4539</v>
      </c>
      <c r="G112" s="262" t="s">
        <v>4437</v>
      </c>
      <c r="H112" s="262" t="s">
        <v>4438</v>
      </c>
      <c r="I112" s="262" t="s">
        <v>4439</v>
      </c>
      <c r="J112" s="287" t="str">
        <f>HYPERLINK("https://www.google.com/maps/search/Museu%20Monogr%C3%A1fico%20de%20Con%C3%ADmbriga%20Con%C3%ADmbriga%2C%20Condeixa-a-Nova%20Portugal/@40.0953,-8.4956,17z","🏛 Museu Monográfico de Conímb…")</f>
        <v>🏛 Museu Monográfico de Conímb…</v>
      </c>
      <c r="K112" s="304" t="s">
        <v>4713</v>
      </c>
    </row>
    <row r="113" spans="1:11" ht="110" customHeight="1" x14ac:dyDescent="0.35">
      <c r="A113" s="358">
        <v>11</v>
      </c>
      <c r="B113" s="259" t="s">
        <v>4714</v>
      </c>
      <c r="C113" s="260" t="s">
        <v>836</v>
      </c>
      <c r="D113" s="259" t="s">
        <v>4715</v>
      </c>
      <c r="E113" s="259"/>
      <c r="F113" s="259" t="s">
        <v>4716</v>
      </c>
      <c r="G113" s="259" t="s">
        <v>4374</v>
      </c>
      <c r="H113" s="259" t="s">
        <v>4375</v>
      </c>
      <c r="I113" s="259" t="s">
        <v>4376</v>
      </c>
      <c r="J113" s="286" t="str">
        <f>HYPERLINK("https://www.google.com/maps/search/Ecomuseu%20da%20Serra%20da%20Lous%C3%A3%20Talasnal%2C%20Lous%C3%A3%20Portugal/@40.0895,-8.2285,17z","🏛 Ecomuseu da Serra da Lousã")</f>
        <v>🏛 Ecomuseu da Serra da Lousã</v>
      </c>
      <c r="K113" s="305" t="s">
        <v>4717</v>
      </c>
    </row>
    <row r="114" spans="1:11" ht="110" customHeight="1" x14ac:dyDescent="0.35">
      <c r="A114" s="352">
        <v>12</v>
      </c>
      <c r="B114" s="262" t="s">
        <v>4718</v>
      </c>
      <c r="C114" s="263" t="s">
        <v>836</v>
      </c>
      <c r="D114" s="262" t="s">
        <v>4719</v>
      </c>
      <c r="E114" s="262"/>
      <c r="F114" s="262" t="s">
        <v>4515</v>
      </c>
      <c r="G114" s="262" t="s">
        <v>4437</v>
      </c>
      <c r="H114" s="262" t="s">
        <v>4438</v>
      </c>
      <c r="I114" s="262" t="s">
        <v>4439</v>
      </c>
      <c r="J114" s="287" t="str">
        <f>HYPERLINK("https://www.google.com/maps/search/Museu%20Nacional%20Gr%C3%A3o%20Vasco%20Adro%20da%20S%C3%A9%2C%20Viseu%20Portugal/@40.6558,-7.911,17z","🏛 Museu Nacional Grão Vasco")</f>
        <v>🏛 Museu Nacional Grão Vasco</v>
      </c>
      <c r="K114" s="304" t="s">
        <v>4720</v>
      </c>
    </row>
    <row r="115" spans="1:11" ht="110" customHeight="1" x14ac:dyDescent="0.35">
      <c r="A115" s="358">
        <v>13</v>
      </c>
      <c r="B115" s="259" t="s">
        <v>4721</v>
      </c>
      <c r="C115" s="260" t="s">
        <v>836</v>
      </c>
      <c r="D115" s="259" t="s">
        <v>4722</v>
      </c>
      <c r="E115" s="259"/>
      <c r="F115" s="259" t="s">
        <v>1712</v>
      </c>
      <c r="G115" s="259" t="s">
        <v>4374</v>
      </c>
      <c r="H115" s="259" t="s">
        <v>4375</v>
      </c>
      <c r="I115" s="259" t="s">
        <v>4376</v>
      </c>
      <c r="J115" s="286" t="str">
        <f>HYPERLINK("https://www.google.com/maps/search/Museu%20do%20Quartzo%20Monte%20de%20Santa%20Luzia%2C%20Viseu%20Portugal/@40.672,-7.905,17z","🏛 Museu do Quartzo")</f>
        <v>🏛 Museu do Quartzo</v>
      </c>
      <c r="K115" s="305" t="s">
        <v>4723</v>
      </c>
    </row>
    <row r="116" spans="1:11" ht="110" customHeight="1" x14ac:dyDescent="0.35">
      <c r="A116" s="352">
        <v>14</v>
      </c>
      <c r="B116" s="262" t="s">
        <v>4724</v>
      </c>
      <c r="C116" s="263" t="s">
        <v>836</v>
      </c>
      <c r="D116" s="262" t="s">
        <v>4725</v>
      </c>
      <c r="E116" s="262"/>
      <c r="F116" s="262" t="s">
        <v>4485</v>
      </c>
      <c r="G116" s="262" t="s">
        <v>4374</v>
      </c>
      <c r="H116" s="262" t="s">
        <v>4375</v>
      </c>
      <c r="I116" s="262" t="s">
        <v>4376</v>
      </c>
      <c r="J116" s="287" t="str">
        <f>HYPERLINK("https://www.google.com/maps/search/Museu%20da%20Guarda%20Centro%20Portugal/@40.537,-7.2695,17z","🏛 Museu da Guarda")</f>
        <v>🏛 Museu da Guarda</v>
      </c>
      <c r="K116" s="304" t="s">
        <v>4726</v>
      </c>
    </row>
    <row r="117" spans="1:11" ht="110" customHeight="1" x14ac:dyDescent="0.35">
      <c r="A117" s="358">
        <v>15</v>
      </c>
      <c r="B117" s="259" t="s">
        <v>4727</v>
      </c>
      <c r="C117" s="260" t="s">
        <v>836</v>
      </c>
      <c r="D117" s="259" t="s">
        <v>4728</v>
      </c>
      <c r="E117" s="259"/>
      <c r="F117" s="259" t="s">
        <v>4570</v>
      </c>
      <c r="G117" s="259" t="s">
        <v>4709</v>
      </c>
      <c r="H117" s="259" t="s">
        <v>4438</v>
      </c>
      <c r="I117" s="259" t="s">
        <v>4384</v>
      </c>
      <c r="J117" s="286" t="str">
        <f>HYPERLINK("https://www.google.com/maps/search/Museu%20de%20Lanif%C3%ADcios%20Centro%20Portugal/@40.2807,-7.5028,17z","🏛 Museu de Lanifícios")</f>
        <v>🏛 Museu de Lanifícios</v>
      </c>
      <c r="K117" s="305" t="s">
        <v>4729</v>
      </c>
    </row>
    <row r="118" spans="1:11" ht="110" customHeight="1" x14ac:dyDescent="0.35">
      <c r="A118" s="352">
        <v>16</v>
      </c>
      <c r="B118" s="262" t="s">
        <v>4730</v>
      </c>
      <c r="C118" s="263" t="s">
        <v>836</v>
      </c>
      <c r="D118" s="262" t="s">
        <v>4731</v>
      </c>
      <c r="E118" s="262"/>
      <c r="F118" s="262" t="s">
        <v>4539</v>
      </c>
      <c r="G118" s="262" t="s">
        <v>4437</v>
      </c>
      <c r="H118" s="262" t="s">
        <v>4438</v>
      </c>
      <c r="I118" s="262" t="s">
        <v>4439</v>
      </c>
      <c r="J118" s="287" t="str">
        <f>HYPERLINK("https://www.google.com/maps/search/Museu%20Francisco%20Tavares%20Proen%C3%A7a%20J%C3%BAnior%20Centro%20Portugal/@39.8245,-7.491,17z","🏛 Museu Francisco Tavares Pro…")</f>
        <v>🏛 Museu Francisco Tavares Pro…</v>
      </c>
      <c r="K118" s="304" t="s">
        <v>4732</v>
      </c>
    </row>
    <row r="119" spans="1:11" ht="110" customHeight="1" x14ac:dyDescent="0.35">
      <c r="A119" s="358">
        <v>17</v>
      </c>
      <c r="B119" s="259" t="s">
        <v>4733</v>
      </c>
      <c r="C119" s="260" t="s">
        <v>836</v>
      </c>
      <c r="D119" s="259" t="s">
        <v>4734</v>
      </c>
      <c r="E119" s="259"/>
      <c r="F119" s="259" t="s">
        <v>4515</v>
      </c>
      <c r="G119" s="259" t="s">
        <v>4374</v>
      </c>
      <c r="H119" s="259" t="s">
        <v>4375</v>
      </c>
      <c r="I119" s="259" t="s">
        <v>4376</v>
      </c>
      <c r="J119" s="286" t="str">
        <f>HYPERLINK("https://www.google.com/maps/search/Museu%20Cargaleiro%20Centro%20Portugal/@39.8252,-7.4915,17z","🏛 Museu Cargaleiro")</f>
        <v>🏛 Museu Cargaleiro</v>
      </c>
      <c r="K119" s="305" t="s">
        <v>4735</v>
      </c>
    </row>
    <row r="120" spans="1:11" ht="110" customHeight="1" x14ac:dyDescent="0.35">
      <c r="A120" s="352">
        <v>18</v>
      </c>
      <c r="B120" s="262" t="s">
        <v>4736</v>
      </c>
      <c r="C120" s="263" t="s">
        <v>836</v>
      </c>
      <c r="D120" s="262" t="s">
        <v>4737</v>
      </c>
      <c r="E120" s="262"/>
      <c r="F120" s="262" t="s">
        <v>4485</v>
      </c>
      <c r="G120" s="262" t="s">
        <v>4374</v>
      </c>
      <c r="H120" s="262" t="s">
        <v>4375</v>
      </c>
      <c r="I120" s="262" t="s">
        <v>4376</v>
      </c>
      <c r="J120" s="287" t="str">
        <f>HYPERLINK("https://www.google.com/maps/search/Museu%20Municipal%20de%20Almeida%20Fortaleza%20de%20Almeida%2C%20Almeida%20Portugal/@40.728,-6.9063,17z","🏛 Museu Municipal de Almeida")</f>
        <v>🏛 Museu Municipal de Almeida</v>
      </c>
      <c r="K120" s="304" t="s">
        <v>4738</v>
      </c>
    </row>
    <row r="121" spans="1:11" ht="110" customHeight="1" x14ac:dyDescent="0.35">
      <c r="A121" s="358">
        <v>19</v>
      </c>
      <c r="B121" s="259" t="s">
        <v>4739</v>
      </c>
      <c r="C121" s="260" t="s">
        <v>836</v>
      </c>
      <c r="D121" s="259" t="s">
        <v>4740</v>
      </c>
      <c r="E121" s="259"/>
      <c r="F121" s="259" t="s">
        <v>4485</v>
      </c>
      <c r="G121" s="259" t="s">
        <v>4374</v>
      </c>
      <c r="H121" s="259" t="s">
        <v>4375</v>
      </c>
      <c r="I121" s="259" t="s">
        <v>4376</v>
      </c>
      <c r="J121" s="286" t="str">
        <f>HYPERLINK("https://www.google.com/maps/search/Museu%20de%20Leiria%20Centro%20Portugal/@39.7435,-8.808,17z","🏛 Museu de Leiria")</f>
        <v>🏛 Museu de Leiria</v>
      </c>
      <c r="K121" s="305" t="s">
        <v>4741</v>
      </c>
    </row>
    <row r="122" spans="1:11" ht="110" customHeight="1" x14ac:dyDescent="0.35">
      <c r="A122" s="352">
        <v>20</v>
      </c>
      <c r="B122" s="262" t="s">
        <v>4742</v>
      </c>
      <c r="C122" s="263" t="s">
        <v>836</v>
      </c>
      <c r="D122" s="262" t="s">
        <v>4743</v>
      </c>
      <c r="E122" s="262"/>
      <c r="F122" s="262" t="s">
        <v>4485</v>
      </c>
      <c r="G122" s="262" t="s">
        <v>3697</v>
      </c>
      <c r="H122" s="262" t="s">
        <v>2944</v>
      </c>
      <c r="I122" s="262" t="s">
        <v>4384</v>
      </c>
      <c r="J122" s="287" t="str">
        <f>HYPERLINK("https://www.google.com/maps/search/Centro%20de%20Interpreta%C3%A7%C3%A3o%20da%20Batalha%20de%20Aljubarrota%20S.%20Jorge%2C%20Porto%20de%20M%C3%B3s%20Portugal/@39.585,-8.793,17z","🏛 Centro de Interpretação da …")</f>
        <v>🏛 Centro de Interpretação da …</v>
      </c>
      <c r="K122" s="304" t="s">
        <v>4744</v>
      </c>
    </row>
    <row r="123" spans="1:11" ht="110" customHeight="1" x14ac:dyDescent="0.35">
      <c r="A123" s="358">
        <v>21</v>
      </c>
      <c r="B123" s="259" t="s">
        <v>4745</v>
      </c>
      <c r="C123" s="260" t="s">
        <v>836</v>
      </c>
      <c r="D123" s="259" t="s">
        <v>4746</v>
      </c>
      <c r="E123" s="259"/>
      <c r="F123" s="259" t="s">
        <v>4515</v>
      </c>
      <c r="G123" s="259" t="s">
        <v>4437</v>
      </c>
      <c r="H123" s="259" t="s">
        <v>4438</v>
      </c>
      <c r="I123" s="259" t="s">
        <v>4439</v>
      </c>
      <c r="J123" s="286" t="str">
        <f>HYPERLINK("https://www.google.com/maps/search/Museu%20Jos%C3%A9%20Malhoa%20Parque%20D.%20Carlos%20I%2C%20Caldas%20da%20Rainha%20Portugal/@39.4078,-8.3915,17z","🏛 Museu José Malhoa")</f>
        <v>🏛 Museu José Malhoa</v>
      </c>
      <c r="K123" s="305" t="s">
        <v>4747</v>
      </c>
    </row>
    <row r="124" spans="1:11" ht="110" customHeight="1" x14ac:dyDescent="0.35">
      <c r="A124" s="352">
        <v>22</v>
      </c>
      <c r="B124" s="262" t="s">
        <v>4748</v>
      </c>
      <c r="C124" s="263" t="s">
        <v>836</v>
      </c>
      <c r="D124" s="262" t="s">
        <v>4749</v>
      </c>
      <c r="E124" s="262"/>
      <c r="F124" s="262" t="s">
        <v>4653</v>
      </c>
      <c r="G124" s="262" t="s">
        <v>4437</v>
      </c>
      <c r="H124" s="262" t="s">
        <v>4438</v>
      </c>
      <c r="I124" s="262" t="s">
        <v>4439</v>
      </c>
      <c r="J124" s="287" t="str">
        <f>HYPERLINK("https://www.google.com/maps/search/Museu%20da%20Cer%C3%A2mica%20Centro%20Portugal/@39.4082,-8.392,17z","🏛 Museu da Cerâmica")</f>
        <v>🏛 Museu da Cerâmica</v>
      </c>
      <c r="K124" s="304" t="s">
        <v>4750</v>
      </c>
    </row>
    <row r="125" spans="1:11" ht="110" customHeight="1" x14ac:dyDescent="0.35">
      <c r="A125" s="358">
        <v>23</v>
      </c>
      <c r="B125" s="259" t="s">
        <v>4681</v>
      </c>
      <c r="C125" s="260" t="s">
        <v>836</v>
      </c>
      <c r="D125" s="259" t="s">
        <v>4751</v>
      </c>
      <c r="E125" s="259"/>
      <c r="F125" s="259"/>
      <c r="G125" s="259" t="s">
        <v>4437</v>
      </c>
      <c r="H125" s="259" t="s">
        <v>4438</v>
      </c>
      <c r="I125" s="259" t="s">
        <v>4439</v>
      </c>
      <c r="J125" s="286" t="str">
        <f>HYPERLINK("https://www.google.com/maps/search/Museu%20de%20Aveiro%20/%20Santa%20Joana%20Av.%20Santa%20Joana%2C%20Portugal/@40.6405,-8.6538,17z","🏛 Museu de Aveiro / Santa Joana")</f>
        <v>🏛 Museu de Aveiro / Santa Joana</v>
      </c>
      <c r="K125" s="305" t="s">
        <v>4752</v>
      </c>
    </row>
    <row r="126" spans="1:11" ht="110" customHeight="1" x14ac:dyDescent="0.35">
      <c r="A126" s="352">
        <v>24</v>
      </c>
      <c r="B126" s="262" t="s">
        <v>4753</v>
      </c>
      <c r="C126" s="263" t="s">
        <v>836</v>
      </c>
      <c r="D126" s="262" t="s">
        <v>4754</v>
      </c>
      <c r="E126" s="262"/>
      <c r="F126" s="262"/>
      <c r="G126" s="262" t="s">
        <v>4374</v>
      </c>
      <c r="H126" s="262" t="s">
        <v>4375</v>
      </c>
      <c r="I126" s="262" t="s">
        <v>4376</v>
      </c>
      <c r="J126" s="287" t="str">
        <f>HYPERLINK("https://www.google.com/maps/search/Museu%20da%20Cidade%20de%20Aveiro%20Centro%20Portugal/@40.6405,-8.6538,17z","🏛 Museu da Cidade de Aveiro")</f>
        <v>🏛 Museu da Cidade de Aveiro</v>
      </c>
      <c r="K126" s="304" t="s">
        <v>4755</v>
      </c>
    </row>
    <row r="127" spans="1:11" ht="110" customHeight="1" x14ac:dyDescent="0.35">
      <c r="A127" s="358">
        <v>25</v>
      </c>
      <c r="B127" s="259" t="s">
        <v>4756</v>
      </c>
      <c r="C127" s="260" t="s">
        <v>836</v>
      </c>
      <c r="D127" s="259" t="s">
        <v>4757</v>
      </c>
      <c r="E127" s="259"/>
      <c r="F127" s="259"/>
      <c r="G127" s="259" t="s">
        <v>4374</v>
      </c>
      <c r="H127" s="259" t="s">
        <v>4375</v>
      </c>
      <c r="I127" s="259" t="s">
        <v>4376</v>
      </c>
      <c r="J127" s="286" t="str">
        <f>HYPERLINK("https://www.google.com/maps/search/Ecomuseu%20Marinha%20da%20Troncalhada%20Marinhas%20de%20Sal%2C%20Portugal/@40.6405,-8.6538,17z","🏛 Ecomuseu Marinha da Troncal…")</f>
        <v>🏛 Ecomuseu Marinha da Troncal…</v>
      </c>
      <c r="K127" s="305" t="s">
        <v>4758</v>
      </c>
    </row>
    <row r="128" spans="1:11" ht="110" customHeight="1" x14ac:dyDescent="0.35">
      <c r="A128" s="352">
        <v>26</v>
      </c>
      <c r="B128" s="262" t="s">
        <v>4684</v>
      </c>
      <c r="C128" s="263" t="s">
        <v>836</v>
      </c>
      <c r="D128" s="262" t="s">
        <v>4759</v>
      </c>
      <c r="E128" s="262"/>
      <c r="F128" s="262"/>
      <c r="G128" s="262" t="s">
        <v>4374</v>
      </c>
      <c r="H128" s="262" t="s">
        <v>4375</v>
      </c>
      <c r="I128" s="262" t="s">
        <v>4376</v>
      </c>
      <c r="J128" s="287" t="str">
        <f>HYPERLINK("https://www.google.com/maps/search/Museu%20Mar%C3%ADtimo%20de%20%C3%8Dlhavo%20Centro%20Portugal/@40.5992,-8.6686,17z","🏛 Museu Marítimo de Ílhavo")</f>
        <v>🏛 Museu Marítimo de Ílhavo</v>
      </c>
      <c r="K128" s="304" t="s">
        <v>4686</v>
      </c>
    </row>
    <row r="129" spans="1:11" ht="110" customHeight="1" x14ac:dyDescent="0.35">
      <c r="A129" s="358">
        <v>27</v>
      </c>
      <c r="B129" s="259" t="s">
        <v>4687</v>
      </c>
      <c r="C129" s="260" t="s">
        <v>836</v>
      </c>
      <c r="D129" s="259" t="s">
        <v>4760</v>
      </c>
      <c r="E129" s="259"/>
      <c r="F129" s="259"/>
      <c r="G129" s="259" t="s">
        <v>4531</v>
      </c>
      <c r="H129" s="259" t="s">
        <v>4532</v>
      </c>
      <c r="I129" s="259" t="s">
        <v>4533</v>
      </c>
      <c r="J129" s="286" t="str">
        <f>HYPERLINK("https://www.google.com/maps/search/Museu%20Vista%20Alegre%20Lugar%20da%20Vista%20Alegre%2C%20Portugal/@40.5992,-8.6686,17z","🏛 Museu Vista Alegre")</f>
        <v>🏛 Museu Vista Alegre</v>
      </c>
      <c r="K129" s="305" t="s">
        <v>4689</v>
      </c>
    </row>
    <row r="130" spans="1:11" ht="110" customHeight="1" x14ac:dyDescent="0.35">
      <c r="A130" s="352">
        <v>28</v>
      </c>
      <c r="B130" s="262" t="s">
        <v>4761</v>
      </c>
      <c r="C130" s="263" t="s">
        <v>836</v>
      </c>
      <c r="D130" s="262" t="s">
        <v>4762</v>
      </c>
      <c r="E130" s="262"/>
      <c r="F130" s="262"/>
      <c r="G130" s="262" t="s">
        <v>4374</v>
      </c>
      <c r="H130" s="262" t="s">
        <v>4375</v>
      </c>
      <c r="I130" s="262" t="s">
        <v>4376</v>
      </c>
      <c r="J130" s="287" t="str">
        <f>HYPERLINK("https://www.google.com/maps/search/Museu%20Etnogr%C3%A1fico%20de%20Vagos%20Centro%20Portugal/@40.5531,-8.6903,17z","🏛 Museu Etnográfico de Vagos")</f>
        <v>🏛 Museu Etnográfico de Vagos</v>
      </c>
      <c r="K130" s="304" t="s">
        <v>4763</v>
      </c>
    </row>
    <row r="131" spans="1:11" ht="110" customHeight="1" x14ac:dyDescent="0.35">
      <c r="A131" s="358">
        <v>29</v>
      </c>
      <c r="B131" s="259" t="s">
        <v>4764</v>
      </c>
      <c r="C131" s="260" t="s">
        <v>836</v>
      </c>
      <c r="D131" s="259" t="s">
        <v>4765</v>
      </c>
      <c r="E131" s="259"/>
      <c r="F131" s="259"/>
      <c r="G131" s="259" t="s">
        <v>4374</v>
      </c>
      <c r="H131" s="259" t="s">
        <v>4375</v>
      </c>
      <c r="I131" s="259" t="s">
        <v>4376</v>
      </c>
      <c r="J131" s="286" t="str">
        <f>HYPERLINK("https://www.google.com/maps/search/Museu%20Municipal%20de%20%C3%81gueda%20Centro%20Portugal/@40.5742,-8.4433,17z","🏛 Museu Municipal de Águeda")</f>
        <v>🏛 Museu Municipal de Águeda</v>
      </c>
      <c r="K131" s="305" t="s">
        <v>4766</v>
      </c>
    </row>
    <row r="132" spans="1:11" ht="110" customHeight="1" x14ac:dyDescent="0.35">
      <c r="A132" s="352">
        <v>30</v>
      </c>
      <c r="B132" s="262" t="s">
        <v>4690</v>
      </c>
      <c r="C132" s="263" t="s">
        <v>836</v>
      </c>
      <c r="D132" s="262" t="s">
        <v>4767</v>
      </c>
      <c r="E132" s="262"/>
      <c r="F132" s="262"/>
      <c r="G132" s="262" t="s">
        <v>3697</v>
      </c>
      <c r="H132" s="262" t="s">
        <v>2944</v>
      </c>
      <c r="I132" s="262" t="s">
        <v>4384</v>
      </c>
      <c r="J132" s="287" t="str">
        <f>HYPERLINK("https://www.google.com/maps/search/Museu%20Ferrovi%C3%A1rio%20de%20Macinhata%20do%20Vouga%20Esta%C3%A7%C3%A3o%20de%20Macinhata%2C%20Portugal/@40.5742,-8.4433,17z","🏛 Museu Ferroviário de Macinh…")</f>
        <v>🏛 Museu Ferroviário de Macinh…</v>
      </c>
      <c r="K132" s="304" t="s">
        <v>4692</v>
      </c>
    </row>
    <row r="133" spans="1:11" ht="110" customHeight="1" x14ac:dyDescent="0.35">
      <c r="A133" s="358">
        <v>31</v>
      </c>
      <c r="B133" s="259" t="s">
        <v>4768</v>
      </c>
      <c r="C133" s="260" t="s">
        <v>836</v>
      </c>
      <c r="D133" s="259" t="s">
        <v>4769</v>
      </c>
      <c r="E133" s="259"/>
      <c r="F133" s="259"/>
      <c r="G133" s="259" t="s">
        <v>4374</v>
      </c>
      <c r="H133" s="259" t="s">
        <v>4375</v>
      </c>
      <c r="I133" s="259" t="s">
        <v>4376</v>
      </c>
      <c r="J133" s="286" t="str">
        <f>HYPERLINK("https://www.google.com/maps/search/Museu%20Municipal%20de%20Anadia%20Centro%20Portugal/@40.4439,-8.4358,17z","🏛 Museu Municipal de Anadia")</f>
        <v>🏛 Museu Municipal de Anadia</v>
      </c>
      <c r="K133" s="305" t="s">
        <v>4770</v>
      </c>
    </row>
    <row r="134" spans="1:11" ht="110" customHeight="1" x14ac:dyDescent="0.35">
      <c r="A134" s="352">
        <v>32</v>
      </c>
      <c r="B134" s="262" t="s">
        <v>4693</v>
      </c>
      <c r="C134" s="263" t="s">
        <v>836</v>
      </c>
      <c r="D134" s="262" t="s">
        <v>4771</v>
      </c>
      <c r="E134" s="262"/>
      <c r="F134" s="262"/>
      <c r="G134" s="262" t="s">
        <v>4374</v>
      </c>
      <c r="H134" s="262" t="s">
        <v>4375</v>
      </c>
      <c r="I134" s="262" t="s">
        <v>4376</v>
      </c>
      <c r="J134" s="287" t="str">
        <f>HYPERLINK("https://www.google.com/maps/search/Museu%20do%20Vinho%20da%20Bairrada%20Centro%20Portugal/@40.4439,-8.4358,17z","🏛 Museu do Vinho da Bairrada")</f>
        <v>🏛 Museu do Vinho da Bairrada</v>
      </c>
      <c r="K134" s="304" t="s">
        <v>4696</v>
      </c>
    </row>
    <row r="135" spans="1:11" ht="110" customHeight="1" x14ac:dyDescent="0.35">
      <c r="A135" s="358">
        <v>33</v>
      </c>
      <c r="B135" s="259" t="s">
        <v>4772</v>
      </c>
      <c r="C135" s="260" t="s">
        <v>836</v>
      </c>
      <c r="D135" s="259" t="s">
        <v>4773</v>
      </c>
      <c r="E135" s="259"/>
      <c r="F135" s="259"/>
      <c r="G135" s="259" t="s">
        <v>4374</v>
      </c>
      <c r="H135" s="259" t="s">
        <v>4375</v>
      </c>
      <c r="I135" s="259" t="s">
        <v>4376</v>
      </c>
      <c r="J135" s="286" t="str">
        <f>HYPERLINK("https://www.google.com/maps/search/Museu%20Municipal%20de%20Oliveira%20do%20Bairro%20Centro%20Portugal/@40.5239,-8.4947,17z","🏛 Museu Municipal de Oliveira…")</f>
        <v>🏛 Museu Municipal de Oliveira…</v>
      </c>
      <c r="K135" s="305" t="s">
        <v>4774</v>
      </c>
    </row>
    <row r="136" spans="1:11" ht="110" customHeight="1" x14ac:dyDescent="0.35">
      <c r="A136" s="352">
        <v>34</v>
      </c>
      <c r="B136" s="262" t="s">
        <v>4775</v>
      </c>
      <c r="C136" s="263" t="s">
        <v>836</v>
      </c>
      <c r="D136" s="262" t="s">
        <v>4776</v>
      </c>
      <c r="E136" s="262"/>
      <c r="F136" s="262"/>
      <c r="G136" s="262" t="s">
        <v>4374</v>
      </c>
      <c r="H136" s="262" t="s">
        <v>4375</v>
      </c>
      <c r="I136" s="262" t="s">
        <v>4376</v>
      </c>
      <c r="J136" s="287" t="str">
        <f>HYPERLINK("https://www.google.com/maps/search/Museu%20Municipal%20de%20Mealhada%20Centro%20Portugal/@40.3778,-8.4494,17z","🏛 Museu Municipal de Mealhada")</f>
        <v>🏛 Museu Municipal de Mealhada</v>
      </c>
      <c r="K136" s="304" t="s">
        <v>4777</v>
      </c>
    </row>
    <row r="137" spans="1:11" ht="110" customHeight="1" x14ac:dyDescent="0.35">
      <c r="A137" s="358">
        <v>35</v>
      </c>
      <c r="B137" s="259" t="s">
        <v>4778</v>
      </c>
      <c r="C137" s="260" t="s">
        <v>836</v>
      </c>
      <c r="D137" s="259" t="s">
        <v>4779</v>
      </c>
      <c r="E137" s="259"/>
      <c r="F137" s="259"/>
      <c r="G137" s="259" t="s">
        <v>4374</v>
      </c>
      <c r="H137" s="259" t="s">
        <v>4375</v>
      </c>
      <c r="I137" s="259" t="s">
        <v>4376</v>
      </c>
      <c r="J137" s="286" t="str">
        <f>HYPERLINK("https://www.google.com/maps/search/Museu%20Municipal%20de%20Sever%20do%20Vouga%20Centro%20Portugal/@40.7272,-8.3622,17z","🏛 Museu Municipal de Sever do…")</f>
        <v>🏛 Museu Municipal de Sever do…</v>
      </c>
      <c r="K137" s="305" t="s">
        <v>4780</v>
      </c>
    </row>
    <row r="138" spans="1:11" ht="110" customHeight="1" x14ac:dyDescent="0.35">
      <c r="A138" s="352">
        <v>36</v>
      </c>
      <c r="B138" s="262" t="s">
        <v>4781</v>
      </c>
      <c r="C138" s="263" t="s">
        <v>836</v>
      </c>
      <c r="D138" s="262" t="s">
        <v>4782</v>
      </c>
      <c r="E138" s="262"/>
      <c r="F138" s="262"/>
      <c r="G138" s="262" t="s">
        <v>4374</v>
      </c>
      <c r="H138" s="262" t="s">
        <v>4375</v>
      </c>
      <c r="I138" s="262" t="s">
        <v>4376</v>
      </c>
      <c r="J138" s="287" t="str">
        <f>HYPERLINK("https://www.google.com/maps/search/Centro%20de%20Interpreta%C3%A7%C3%A3o%20das%20Minas%20do%20Bra%C3%A7al%20Bra%C3%A7al%2C%20Portugal/@40.7272,-8.3622,17z","🏛 Centro de Interpretação das…")</f>
        <v>🏛 Centro de Interpretação das…</v>
      </c>
      <c r="K138" s="304" t="s">
        <v>4783</v>
      </c>
    </row>
    <row r="139" spans="1:11" ht="110" customHeight="1" x14ac:dyDescent="0.35">
      <c r="A139" s="358">
        <v>37</v>
      </c>
      <c r="B139" s="259" t="s">
        <v>4784</v>
      </c>
      <c r="C139" s="260" t="s">
        <v>836</v>
      </c>
      <c r="D139" s="259" t="s">
        <v>4785</v>
      </c>
      <c r="E139" s="259"/>
      <c r="F139" s="259"/>
      <c r="G139" s="259" t="s">
        <v>4374</v>
      </c>
      <c r="H139" s="259" t="s">
        <v>4375</v>
      </c>
      <c r="I139" s="259" t="s">
        <v>4376</v>
      </c>
      <c r="J139" s="286" t="str">
        <f>HYPERLINK("https://www.google.com/maps/search/Museu%20Municipal%20de%20Estarreja%20Centro%20Portugal/@40.7522,-8.5711,17z","🏛 Museu Municipal de Estarreja")</f>
        <v>🏛 Museu Municipal de Estarreja</v>
      </c>
      <c r="K139" s="305" t="s">
        <v>4786</v>
      </c>
    </row>
    <row r="140" spans="1:11" ht="110" customHeight="1" x14ac:dyDescent="0.35">
      <c r="A140" s="352">
        <v>38</v>
      </c>
      <c r="B140" s="262" t="s">
        <v>4697</v>
      </c>
      <c r="C140" s="263" t="s">
        <v>836</v>
      </c>
      <c r="D140" s="262" t="s">
        <v>4787</v>
      </c>
      <c r="E140" s="262"/>
      <c r="F140" s="262"/>
      <c r="G140" s="262" t="s">
        <v>3697</v>
      </c>
      <c r="H140" s="262" t="s">
        <v>2944</v>
      </c>
      <c r="I140" s="262" t="s">
        <v>4384</v>
      </c>
      <c r="J140" s="287" t="str">
        <f>HYPERLINK("https://www.google.com/maps/search/Casa-Museu%20Egas%20Moniz%20Centro%20Portugal/@40.7522,-8.5711,17z","🏛 Casa-Museu Egas Moniz")</f>
        <v>🏛 Casa-Museu Egas Moniz</v>
      </c>
      <c r="K140" s="304" t="s">
        <v>4700</v>
      </c>
    </row>
    <row r="141" spans="1:11" ht="110" customHeight="1" x14ac:dyDescent="0.35">
      <c r="A141" s="358">
        <v>39</v>
      </c>
      <c r="B141" s="259" t="s">
        <v>4701</v>
      </c>
      <c r="C141" s="260" t="s">
        <v>836</v>
      </c>
      <c r="D141" s="259" t="s">
        <v>4788</v>
      </c>
      <c r="E141" s="259"/>
      <c r="F141" s="259"/>
      <c r="G141" s="259" t="s">
        <v>4374</v>
      </c>
      <c r="H141" s="259" t="s">
        <v>4375</v>
      </c>
      <c r="I141" s="259" t="s">
        <v>4376</v>
      </c>
      <c r="J141" s="286" t="str">
        <f>HYPERLINK("https://www.google.com/maps/search/Museu%20Municipal%20de%20Ovar%20Centro%20Portugal/@40.8633,-8.6253,17z","🏛 Museu Municipal de Ovar")</f>
        <v>🏛 Museu Municipal de Ovar</v>
      </c>
      <c r="K141" s="305" t="s">
        <v>4703</v>
      </c>
    </row>
    <row r="142" spans="1:11" ht="110" customHeight="1" x14ac:dyDescent="0.35">
      <c r="A142" s="352">
        <v>40</v>
      </c>
      <c r="B142" s="262" t="s">
        <v>4789</v>
      </c>
      <c r="C142" s="263" t="s">
        <v>836</v>
      </c>
      <c r="D142" s="262" t="s">
        <v>4790</v>
      </c>
      <c r="E142" s="262"/>
      <c r="F142" s="262"/>
      <c r="G142" s="262" t="s">
        <v>4374</v>
      </c>
      <c r="H142" s="262" t="s">
        <v>4375</v>
      </c>
      <c r="I142" s="262" t="s">
        <v>4376</v>
      </c>
      <c r="J142" s="287" t="str">
        <f>HYPERLINK("https://www.google.com/maps/search/Centro%20de%20Arte%20de%20Ovar%20Portugal/@40.8633,-8.6253,17z","🏛 Centro de Arte de Ovar")</f>
        <v>🏛 Centro de Arte de Ovar</v>
      </c>
      <c r="K142" s="304" t="s">
        <v>4791</v>
      </c>
    </row>
    <row r="143" spans="1:11" ht="110" customHeight="1" x14ac:dyDescent="0.35">
      <c r="A143" s="358">
        <v>41</v>
      </c>
      <c r="B143" s="259" t="s">
        <v>4704</v>
      </c>
      <c r="C143" s="260" t="s">
        <v>836</v>
      </c>
      <c r="D143" s="259" t="s">
        <v>4792</v>
      </c>
      <c r="E143" s="259"/>
      <c r="F143" s="259"/>
      <c r="G143" s="259" t="s">
        <v>4437</v>
      </c>
      <c r="H143" s="259" t="s">
        <v>4438</v>
      </c>
      <c r="I143" s="259" t="s">
        <v>4439</v>
      </c>
      <c r="J143" s="286" t="str">
        <f>HYPERLINK("https://www.google.com/maps/search/Museu%20Nacional%20de%20Machado%20de%20Castro%20Centro%20Portugal/@40.2033,-8.4103,17z","🏛 Museu Nacional de Machado d…")</f>
        <v>🏛 Museu Nacional de Machado d…</v>
      </c>
      <c r="K143" s="305" t="s">
        <v>4793</v>
      </c>
    </row>
    <row r="144" spans="1:11" ht="110" customHeight="1" x14ac:dyDescent="0.35">
      <c r="A144" s="352">
        <v>42</v>
      </c>
      <c r="B144" s="262" t="s">
        <v>4707</v>
      </c>
      <c r="C144" s="263" t="s">
        <v>836</v>
      </c>
      <c r="D144" s="262" t="s">
        <v>4794</v>
      </c>
      <c r="E144" s="262"/>
      <c r="F144" s="262"/>
      <c r="G144" s="262" t="s">
        <v>4709</v>
      </c>
      <c r="H144" s="262" t="s">
        <v>4438</v>
      </c>
      <c r="I144" s="262" t="s">
        <v>4384</v>
      </c>
      <c r="J144" s="287" t="str">
        <f>HYPERLINK("https://www.google.com/maps/search/Museu%20da%20Ci%C3%AAncia%20da%20Universidade%20de%20Coimbra%20Laborat%C3%B3rio%20Chimico%2C%20Portugal/@40.2033,-8.4103,17z","🏛 Museu da Ciência da Univers…")</f>
        <v>🏛 Museu da Ciência da Univers…</v>
      </c>
      <c r="K144" s="304" t="s">
        <v>4710</v>
      </c>
    </row>
    <row r="145" spans="1:11" ht="110" customHeight="1" x14ac:dyDescent="0.35">
      <c r="A145" s="358">
        <v>43</v>
      </c>
      <c r="B145" s="259" t="s">
        <v>4795</v>
      </c>
      <c r="C145" s="260" t="s">
        <v>836</v>
      </c>
      <c r="D145" s="259" t="s">
        <v>4796</v>
      </c>
      <c r="E145" s="259"/>
      <c r="F145" s="259"/>
      <c r="G145" s="259" t="s">
        <v>4374</v>
      </c>
      <c r="H145" s="259" t="s">
        <v>4375</v>
      </c>
      <c r="I145" s="259" t="s">
        <v>4376</v>
      </c>
      <c r="J145" s="286" t="str">
        <f>HYPERLINK("https://www.google.com/maps/search/Museu%20da%20%C3%81gua%20de%20Coimbra%20Centro%20Portugal/@40.2033,-8.4103,17z","🏛 Museu da Água de Coimbra")</f>
        <v>🏛 Museu da Água de Coimbra</v>
      </c>
      <c r="K145" s="305" t="s">
        <v>4797</v>
      </c>
    </row>
    <row r="146" spans="1:11" ht="110" customHeight="1" x14ac:dyDescent="0.35">
      <c r="A146" s="352">
        <v>44</v>
      </c>
      <c r="B146" s="262" t="s">
        <v>4798</v>
      </c>
      <c r="C146" s="263" t="s">
        <v>836</v>
      </c>
      <c r="D146" s="262" t="s">
        <v>4799</v>
      </c>
      <c r="E146" s="262"/>
      <c r="F146" s="262"/>
      <c r="G146" s="262" t="s">
        <v>4374</v>
      </c>
      <c r="H146" s="262" t="s">
        <v>4375</v>
      </c>
      <c r="I146" s="262" t="s">
        <v>4376</v>
      </c>
      <c r="J146" s="287" t="str">
        <f>HYPERLINK("https://www.google.com/maps/search/Museu%20Municipal%20de%20Coimbra%20Edif%C3%ADcio%20Chiado%2C%20Portugal/@40.2033,-8.4103,17z","🏛 Museu Municipal de Coimbra")</f>
        <v>🏛 Museu Municipal de Coimbra</v>
      </c>
      <c r="K146" s="304" t="s">
        <v>4800</v>
      </c>
    </row>
    <row r="147" spans="1:11" ht="110" customHeight="1" x14ac:dyDescent="0.35">
      <c r="A147" s="358">
        <v>45</v>
      </c>
      <c r="B147" s="259" t="s">
        <v>4801</v>
      </c>
      <c r="C147" s="260" t="s">
        <v>836</v>
      </c>
      <c r="D147" s="259" t="s">
        <v>4802</v>
      </c>
      <c r="E147" s="259"/>
      <c r="F147" s="259"/>
      <c r="G147" s="259" t="s">
        <v>3697</v>
      </c>
      <c r="H147" s="259" t="s">
        <v>2944</v>
      </c>
      <c r="I147" s="259" t="s">
        <v>4384</v>
      </c>
      <c r="J147" s="286" t="str">
        <f>HYPERLINK("https://www.google.com/maps/search/Explorat%C3%B3rio%20%E2%80%94%20Centro%20Ci%C3%AAncia%20Viva%20Parque%20Verde%20do%20Mondego%2C%20Portugal/@40.2033,-8.4103,17z","🏛 Exploratório — Centro Ciênc…")</f>
        <v>🏛 Exploratório — Centro Ciênc…</v>
      </c>
      <c r="K147" s="305" t="s">
        <v>4803</v>
      </c>
    </row>
    <row r="148" spans="1:11" ht="110" customHeight="1" x14ac:dyDescent="0.35">
      <c r="A148" s="352">
        <v>46</v>
      </c>
      <c r="B148" s="262" t="s">
        <v>4711</v>
      </c>
      <c r="C148" s="263" t="s">
        <v>836</v>
      </c>
      <c r="D148" s="262" t="s">
        <v>4804</v>
      </c>
      <c r="E148" s="262"/>
      <c r="F148" s="262"/>
      <c r="G148" s="262" t="s">
        <v>4437</v>
      </c>
      <c r="H148" s="262" t="s">
        <v>4438</v>
      </c>
      <c r="I148" s="262" t="s">
        <v>4439</v>
      </c>
      <c r="J148" s="287" t="str">
        <f>HYPERLINK("https://www.google.com/maps/search/Museu%20Monogr%C3%A1fico%20de%20Con%C3%ADmbriga%20Con%C3%ADmbriga%2C%20Portugal/@40.1133,-8.4939,17z","🏛 Museu Monográfico de Conímb…")</f>
        <v>🏛 Museu Monográfico de Conímb…</v>
      </c>
      <c r="K148" s="304" t="s">
        <v>4805</v>
      </c>
    </row>
    <row r="149" spans="1:11" ht="110" customHeight="1" x14ac:dyDescent="0.35">
      <c r="A149" s="358">
        <v>47</v>
      </c>
      <c r="B149" s="259" t="s">
        <v>4806</v>
      </c>
      <c r="C149" s="260" t="s">
        <v>836</v>
      </c>
      <c r="D149" s="259" t="s">
        <v>4807</v>
      </c>
      <c r="E149" s="259"/>
      <c r="F149" s="259"/>
      <c r="G149" s="259" t="s">
        <v>4374</v>
      </c>
      <c r="H149" s="259" t="s">
        <v>4375</v>
      </c>
      <c r="I149" s="259" t="s">
        <v>4376</v>
      </c>
      <c r="J149" s="286" t="str">
        <f>HYPERLINK("https://www.google.com/maps/search/Museu%20Municipal%20de%20Montemor-o-Velho%20Centro%20Portugal/@40.1711,-8.6803,17z","🏛 Museu Municipal de Montemor…")</f>
        <v>🏛 Museu Municipal de Montemor…</v>
      </c>
      <c r="K149" s="305" t="s">
        <v>4397</v>
      </c>
    </row>
    <row r="150" spans="1:11" ht="110" customHeight="1" x14ac:dyDescent="0.35">
      <c r="A150" s="352">
        <v>48</v>
      </c>
      <c r="B150" s="262" t="s">
        <v>4808</v>
      </c>
      <c r="C150" s="263" t="s">
        <v>836</v>
      </c>
      <c r="D150" s="262" t="s">
        <v>4809</v>
      </c>
      <c r="E150" s="262"/>
      <c r="F150" s="262"/>
      <c r="G150" s="262" t="s">
        <v>4374</v>
      </c>
      <c r="H150" s="262" t="s">
        <v>4375</v>
      </c>
      <c r="I150" s="262" t="s">
        <v>4376</v>
      </c>
      <c r="J150" s="287" t="str">
        <f>HYPERLINK("https://www.google.com/maps/search/Museu%20Municipal%20de%20Soure%20Centro%20Portugal/@40.0594,-8.6261,17z","🏛 Museu Municipal de Soure")</f>
        <v>🏛 Museu Municipal de Soure</v>
      </c>
      <c r="K150" s="304" t="s">
        <v>4434</v>
      </c>
    </row>
    <row r="151" spans="1:11" ht="110" customHeight="1" x14ac:dyDescent="0.35">
      <c r="A151" s="358">
        <v>49</v>
      </c>
      <c r="B151" s="259" t="s">
        <v>4810</v>
      </c>
      <c r="C151" s="260" t="s">
        <v>836</v>
      </c>
      <c r="D151" s="259" t="s">
        <v>4811</v>
      </c>
      <c r="E151" s="259"/>
      <c r="F151" s="259"/>
      <c r="G151" s="259" t="s">
        <v>4374</v>
      </c>
      <c r="H151" s="259" t="s">
        <v>4375</v>
      </c>
      <c r="I151" s="259" t="s">
        <v>4376</v>
      </c>
      <c r="J151" s="286" t="str">
        <f>HYPERLINK("https://www.google.com/maps/search/Museu%20Municipal%20de%20Penela%20Castelo%20de%20Penela%2C%20Portugal/@40.0275,-8.3883,17z","🏛 Museu Municipal de Penela")</f>
        <v>🏛 Museu Municipal de Penela</v>
      </c>
      <c r="K151" s="305" t="s">
        <v>4812</v>
      </c>
    </row>
    <row r="152" spans="1:11" ht="110" customHeight="1" x14ac:dyDescent="0.35">
      <c r="A152" s="352">
        <v>50</v>
      </c>
      <c r="B152" s="262" t="s">
        <v>4813</v>
      </c>
      <c r="C152" s="263" t="s">
        <v>836</v>
      </c>
      <c r="D152" s="262" t="s">
        <v>4814</v>
      </c>
      <c r="E152" s="262"/>
      <c r="F152" s="262"/>
      <c r="G152" s="262" t="s">
        <v>4374</v>
      </c>
      <c r="H152" s="262" t="s">
        <v>4375</v>
      </c>
      <c r="I152" s="262" t="s">
        <v>4376</v>
      </c>
      <c r="J152" s="287" t="str">
        <f>HYPERLINK("https://www.google.com/maps/search/Museu%20Municipal%20da%20Lous%C3%A3%20Centro%20Portugal/@40.1083,-8.2483,17z","🏛 Museu Municipal da Lousã")</f>
        <v>🏛 Museu Municipal da Lousã</v>
      </c>
      <c r="K152" s="304" t="s">
        <v>4815</v>
      </c>
    </row>
    <row r="153" spans="1:11" ht="110" customHeight="1" x14ac:dyDescent="0.35">
      <c r="A153" s="358">
        <v>51</v>
      </c>
      <c r="B153" s="259" t="s">
        <v>4714</v>
      </c>
      <c r="C153" s="260" t="s">
        <v>836</v>
      </c>
      <c r="D153" s="259" t="s">
        <v>4816</v>
      </c>
      <c r="E153" s="259"/>
      <c r="F153" s="259"/>
      <c r="G153" s="259" t="s">
        <v>4374</v>
      </c>
      <c r="H153" s="259" t="s">
        <v>4375</v>
      </c>
      <c r="I153" s="259" t="s">
        <v>4376</v>
      </c>
      <c r="J153" s="286" t="str">
        <f>HYPERLINK("https://www.google.com/maps/search/Ecomuseu%20da%20Serra%20da%20Lous%C3%A3%20Talasnal%2C%20Portugal/@40.1083,-8.2483,17z","🏛 Ecomuseu da Serra da Lousã")</f>
        <v>🏛 Ecomuseu da Serra da Lousã</v>
      </c>
      <c r="K153" s="305" t="s">
        <v>4717</v>
      </c>
    </row>
    <row r="154" spans="1:11" ht="110" customHeight="1" x14ac:dyDescent="0.35">
      <c r="A154" s="352">
        <v>52</v>
      </c>
      <c r="B154" s="262" t="s">
        <v>4817</v>
      </c>
      <c r="C154" s="263" t="s">
        <v>836</v>
      </c>
      <c r="D154" s="262" t="s">
        <v>4818</v>
      </c>
      <c r="E154" s="262"/>
      <c r="F154" s="262"/>
      <c r="G154" s="262" t="s">
        <v>4374</v>
      </c>
      <c r="H154" s="262" t="s">
        <v>4375</v>
      </c>
      <c r="I154" s="262" t="s">
        <v>4376</v>
      </c>
      <c r="J154" s="287" t="str">
        <f>HYPERLINK("https://www.google.com/maps/search/Museu%20Municipal%20de%20G%C3%B3is%20Centro%20Portugal/@40.1547,-8.1022,17z","🏛 Museu Municipal de Góis")</f>
        <v>🏛 Museu Municipal de Góis</v>
      </c>
      <c r="K154" s="304" t="s">
        <v>4434</v>
      </c>
    </row>
    <row r="155" spans="1:11" ht="110" customHeight="1" x14ac:dyDescent="0.35">
      <c r="A155" s="358">
        <v>53</v>
      </c>
      <c r="B155" s="259" t="s">
        <v>4819</v>
      </c>
      <c r="C155" s="260" t="s">
        <v>836</v>
      </c>
      <c r="D155" s="259" t="s">
        <v>4820</v>
      </c>
      <c r="E155" s="259"/>
      <c r="F155" s="259"/>
      <c r="G155" s="259" t="s">
        <v>4374</v>
      </c>
      <c r="H155" s="259" t="s">
        <v>4375</v>
      </c>
      <c r="I155" s="259" t="s">
        <v>4376</v>
      </c>
      <c r="J155" s="286" t="str">
        <f>HYPERLINK("https://www.google.com/maps/search/Museu%20Municipal%20de%20Arganil%20Centro%20Portugal/@40.2197,-8.0533,17z","🏛 Museu Municipal de Arganil")</f>
        <v>🏛 Museu Municipal de Arganil</v>
      </c>
      <c r="K155" s="305" t="s">
        <v>4821</v>
      </c>
    </row>
    <row r="156" spans="1:11" ht="110" customHeight="1" x14ac:dyDescent="0.35">
      <c r="A156" s="352">
        <v>54</v>
      </c>
      <c r="B156" s="262" t="s">
        <v>4822</v>
      </c>
      <c r="C156" s="263" t="s">
        <v>836</v>
      </c>
      <c r="D156" s="262" t="s">
        <v>4823</v>
      </c>
      <c r="E156" s="262"/>
      <c r="F156" s="262"/>
      <c r="G156" s="262" t="s">
        <v>4374</v>
      </c>
      <c r="H156" s="262" t="s">
        <v>4375</v>
      </c>
      <c r="I156" s="262" t="s">
        <v>4376</v>
      </c>
      <c r="J156" s="287" t="str">
        <f>HYPERLINK("https://www.google.com/maps/search/Museu%20Municipal%20de%20Oliveira%20do%20Hospital%20Centro%20Portugal/@40.3589,-7.8628,17z","🏛 Museu Municipal de Oliveira…")</f>
        <v>🏛 Museu Municipal de Oliveira…</v>
      </c>
      <c r="K156" s="304" t="s">
        <v>4824</v>
      </c>
    </row>
    <row r="157" spans="1:11" ht="110" customHeight="1" x14ac:dyDescent="0.35">
      <c r="A157" s="358">
        <v>55</v>
      </c>
      <c r="B157" s="259" t="s">
        <v>4825</v>
      </c>
      <c r="C157" s="260" t="s">
        <v>836</v>
      </c>
      <c r="D157" s="259" t="s">
        <v>4826</v>
      </c>
      <c r="E157" s="259"/>
      <c r="F157" s="259"/>
      <c r="G157" s="259" t="s">
        <v>4374</v>
      </c>
      <c r="H157" s="259" t="s">
        <v>4375</v>
      </c>
      <c r="I157" s="259" t="s">
        <v>4376</v>
      </c>
      <c r="J157" s="286" t="str">
        <f>HYPERLINK("https://www.google.com/maps/search/Museu%20Municipal%20de%20T%C3%A1bua%20Centro%20Portugal/@40.3606,-8.0242,17z","🏛 Museu Municipal de Tábua")</f>
        <v>🏛 Museu Municipal de Tábua</v>
      </c>
      <c r="K157" s="305" t="s">
        <v>4827</v>
      </c>
    </row>
    <row r="158" spans="1:11" ht="110" customHeight="1" x14ac:dyDescent="0.35">
      <c r="A158" s="352">
        <v>56</v>
      </c>
      <c r="B158" s="262" t="s">
        <v>4828</v>
      </c>
      <c r="C158" s="263" t="s">
        <v>836</v>
      </c>
      <c r="D158" s="262" t="s">
        <v>4829</v>
      </c>
      <c r="E158" s="262"/>
      <c r="F158" s="262"/>
      <c r="G158" s="262" t="s">
        <v>4374</v>
      </c>
      <c r="H158" s="262" t="s">
        <v>4375</v>
      </c>
      <c r="I158" s="262" t="s">
        <v>4376</v>
      </c>
      <c r="J158" s="287" t="str">
        <f>HYPERLINK("https://www.google.com/maps/search/Museu%20Municipal%20de%20Mira%20Centro%20Portugal/@40.4305,-8.7349,17z","🏛 Museu Municipal de Mira")</f>
        <v>🏛 Museu Municipal de Mira</v>
      </c>
      <c r="K158" s="304" t="s">
        <v>4830</v>
      </c>
    </row>
    <row r="159" spans="1:11" ht="110" customHeight="1" x14ac:dyDescent="0.35">
      <c r="A159" s="358">
        <v>57</v>
      </c>
      <c r="B159" s="259" t="s">
        <v>4739</v>
      </c>
      <c r="C159" s="260" t="s">
        <v>836</v>
      </c>
      <c r="D159" s="259" t="s">
        <v>4831</v>
      </c>
      <c r="E159" s="259"/>
      <c r="F159" s="259"/>
      <c r="G159" s="259" t="s">
        <v>4374</v>
      </c>
      <c r="H159" s="259" t="s">
        <v>4375</v>
      </c>
      <c r="I159" s="259" t="s">
        <v>4376</v>
      </c>
      <c r="J159" s="286" t="str">
        <f>HYPERLINK("https://www.google.com/maps/search/Museu%20de%20Leiria%20Centro%20Portugal/@39.7473,-8.8078,17z","🏛 Museu de Leiria")</f>
        <v>🏛 Museu de Leiria</v>
      </c>
      <c r="K159" s="305" t="s">
        <v>4741</v>
      </c>
    </row>
    <row r="160" spans="1:11" ht="110" customHeight="1" x14ac:dyDescent="0.35">
      <c r="A160" s="352">
        <v>58</v>
      </c>
      <c r="B160" s="262" t="s">
        <v>4832</v>
      </c>
      <c r="C160" s="263" t="s">
        <v>836</v>
      </c>
      <c r="D160" s="262" t="s">
        <v>4833</v>
      </c>
      <c r="E160" s="262"/>
      <c r="F160" s="262"/>
      <c r="G160" s="262" t="s">
        <v>4374</v>
      </c>
      <c r="H160" s="262" t="s">
        <v>4375</v>
      </c>
      <c r="I160" s="262" t="s">
        <v>4376</v>
      </c>
      <c r="J160" s="287" t="str">
        <f>HYPERLINK("https://www.google.com/maps/search/Museu%20da%20Imagem%20em%20Movimento%20Centro%20Portugal/@39.7473,-8.8078,17z","🏛 Museu da Imagem em Movimento")</f>
        <v>🏛 Museu da Imagem em Movimento</v>
      </c>
      <c r="K160" s="304" t="s">
        <v>4834</v>
      </c>
    </row>
    <row r="161" spans="1:11" ht="110" customHeight="1" x14ac:dyDescent="0.35">
      <c r="A161" s="358">
        <v>59</v>
      </c>
      <c r="B161" s="259" t="s">
        <v>4835</v>
      </c>
      <c r="C161" s="260" t="s">
        <v>836</v>
      </c>
      <c r="D161" s="259" t="s">
        <v>4836</v>
      </c>
      <c r="E161" s="259"/>
      <c r="F161" s="259"/>
      <c r="G161" s="259" t="s">
        <v>4374</v>
      </c>
      <c r="H161" s="259" t="s">
        <v>4375</v>
      </c>
      <c r="I161" s="259" t="s">
        <v>4376</v>
      </c>
      <c r="J161" s="286" t="str">
        <f>HYPERLINK("https://www.google.com/maps/search/Museu%20do%20Moinho%20de%20Papel%20Centro%20Portugal/@39.7473,-8.8078,17z","🏛 Museu do Moinho de Papel")</f>
        <v>🏛 Museu do Moinho de Papel</v>
      </c>
      <c r="K161" s="305" t="s">
        <v>4837</v>
      </c>
    </row>
    <row r="162" spans="1:11" ht="110" customHeight="1" x14ac:dyDescent="0.35">
      <c r="A162" s="352">
        <v>60</v>
      </c>
      <c r="B162" s="262" t="s">
        <v>4838</v>
      </c>
      <c r="C162" s="263" t="s">
        <v>836</v>
      </c>
      <c r="D162" s="262" t="s">
        <v>4839</v>
      </c>
      <c r="E162" s="262"/>
      <c r="F162" s="262"/>
      <c r="G162" s="262" t="s">
        <v>4374</v>
      </c>
      <c r="H162" s="262" t="s">
        <v>4375</v>
      </c>
      <c r="I162" s="262" t="s">
        <v>4376</v>
      </c>
      <c r="J162" s="287" t="str">
        <f>HYPERLINK("https://www.google.com/maps/search/Museu%20da%20Comunidade%20Concelhia%20da%20Batalha%20Centro%20Portugal/@39.6558,-8.8253,17z","🏛 Museu da Comunidade Concelh…")</f>
        <v>🏛 Museu da Comunidade Concelh…</v>
      </c>
      <c r="K162" s="304" t="s">
        <v>4840</v>
      </c>
    </row>
    <row r="163" spans="1:11" ht="110" customHeight="1" x14ac:dyDescent="0.35">
      <c r="A163" s="358">
        <v>61</v>
      </c>
      <c r="B163" s="259" t="s">
        <v>4742</v>
      </c>
      <c r="C163" s="260" t="s">
        <v>836</v>
      </c>
      <c r="D163" s="259" t="s">
        <v>4841</v>
      </c>
      <c r="E163" s="259"/>
      <c r="F163" s="259"/>
      <c r="G163" s="259" t="s">
        <v>3697</v>
      </c>
      <c r="H163" s="259" t="s">
        <v>2944</v>
      </c>
      <c r="I163" s="259" t="s">
        <v>4384</v>
      </c>
      <c r="J163" s="286" t="str">
        <f>HYPERLINK("https://www.google.com/maps/search/Centro%20de%20Interpreta%C3%A7%C3%A3o%20da%20Batalha%20de%20Aljubarrota%20S.%20Jorge%2C%20Portugal/@39.6053,-8.8231,17z","🏛 Centro de Interpretação da …")</f>
        <v>🏛 Centro de Interpretação da …</v>
      </c>
      <c r="K163" s="305" t="s">
        <v>4744</v>
      </c>
    </row>
    <row r="164" spans="1:11" ht="110" customHeight="1" x14ac:dyDescent="0.35">
      <c r="A164" s="352">
        <v>62</v>
      </c>
      <c r="B164" s="262" t="s">
        <v>4842</v>
      </c>
      <c r="C164" s="263" t="s">
        <v>836</v>
      </c>
      <c r="D164" s="262" t="s">
        <v>4843</v>
      </c>
      <c r="E164" s="262"/>
      <c r="F164" s="262"/>
      <c r="G164" s="262" t="s">
        <v>4374</v>
      </c>
      <c r="H164" s="262" t="s">
        <v>4375</v>
      </c>
      <c r="I164" s="262" t="s">
        <v>4376</v>
      </c>
      <c r="J164" s="287" t="str">
        <f>HYPERLINK("https://www.google.com/maps/search/Museu%20Municipal%20de%20Alcoba%C3%A7a%20Centro%20Portugal/@39.5522,-8.9806,17z","🏛 Museu Municipal de Alcobaça")</f>
        <v>🏛 Museu Municipal de Alcobaça</v>
      </c>
      <c r="K164" s="304" t="s">
        <v>4844</v>
      </c>
    </row>
    <row r="165" spans="1:11" ht="110" customHeight="1" x14ac:dyDescent="0.35">
      <c r="A165" s="358">
        <v>63</v>
      </c>
      <c r="B165" s="259" t="s">
        <v>4845</v>
      </c>
      <c r="C165" s="260" t="s">
        <v>836</v>
      </c>
      <c r="D165" s="259" t="s">
        <v>4846</v>
      </c>
      <c r="E165" s="259"/>
      <c r="F165" s="259"/>
      <c r="G165" s="259" t="s">
        <v>4374</v>
      </c>
      <c r="H165" s="259" t="s">
        <v>4375</v>
      </c>
      <c r="I165" s="259" t="s">
        <v>4376</v>
      </c>
      <c r="J165" s="286" t="str">
        <f>HYPERLINK("https://www.google.com/maps/search/Museu%20do%20Vinho%20de%20Alcoba%C3%A7a%20Centro%20Portugal/@39.5522,-8.9806,17z","🏛 Museu do Vinho de Alcobaça")</f>
        <v>🏛 Museu do Vinho de Alcobaça</v>
      </c>
      <c r="K165" s="305" t="s">
        <v>4847</v>
      </c>
    </row>
    <row r="166" spans="1:11" ht="110" customHeight="1" x14ac:dyDescent="0.35">
      <c r="A166" s="352">
        <v>64</v>
      </c>
      <c r="B166" s="262" t="s">
        <v>4848</v>
      </c>
      <c r="C166" s="263" t="s">
        <v>836</v>
      </c>
      <c r="D166" s="262" t="s">
        <v>4849</v>
      </c>
      <c r="E166" s="262"/>
      <c r="F166" s="262"/>
      <c r="G166" s="262" t="s">
        <v>4374</v>
      </c>
      <c r="H166" s="262" t="s">
        <v>4375</v>
      </c>
      <c r="I166" s="262" t="s">
        <v>4376</v>
      </c>
      <c r="J166" s="287" t="str">
        <f>HYPERLINK("https://www.google.com/maps/search/Museu%20Municipal%20de%20Nazar%C3%A9%20Centro%20Portugal/@39.6014,-9.0714,17z","🏛 Museu Municipal de Nazaré")</f>
        <v>🏛 Museu Municipal de Nazaré</v>
      </c>
      <c r="K166" s="304" t="s">
        <v>4850</v>
      </c>
    </row>
    <row r="167" spans="1:11" ht="110" customHeight="1" x14ac:dyDescent="0.35">
      <c r="A167" s="358">
        <v>65</v>
      </c>
      <c r="B167" s="259" t="s">
        <v>4851</v>
      </c>
      <c r="C167" s="260" t="s">
        <v>836</v>
      </c>
      <c r="D167" s="259" t="s">
        <v>4852</v>
      </c>
      <c r="E167" s="259"/>
      <c r="F167" s="259"/>
      <c r="G167" s="259" t="s">
        <v>4374</v>
      </c>
      <c r="H167" s="259" t="s">
        <v>4375</v>
      </c>
      <c r="I167" s="259" t="s">
        <v>4376</v>
      </c>
      <c r="J167" s="286" t="str">
        <f>HYPERLINK("https://www.google.com/maps/search/Museu%20Municipal%20de%20Caldas%20da%20Rainha%20Centro%20Portugal/@39.4011,-9.1358,17z","🏛 Museu Municipal de Caldas d…")</f>
        <v>🏛 Museu Municipal de Caldas d…</v>
      </c>
      <c r="K167" s="305" t="s">
        <v>4853</v>
      </c>
    </row>
    <row r="168" spans="1:11" ht="110" customHeight="1" x14ac:dyDescent="0.35">
      <c r="A168" s="352">
        <v>66</v>
      </c>
      <c r="B168" s="262" t="s">
        <v>4745</v>
      </c>
      <c r="C168" s="263" t="s">
        <v>836</v>
      </c>
      <c r="D168" s="262" t="s">
        <v>4854</v>
      </c>
      <c r="E168" s="262"/>
      <c r="F168" s="262"/>
      <c r="G168" s="262" t="s">
        <v>4437</v>
      </c>
      <c r="H168" s="262" t="s">
        <v>4438</v>
      </c>
      <c r="I168" s="262" t="s">
        <v>4439</v>
      </c>
      <c r="J168" s="287" t="str">
        <f>HYPERLINK("https://www.google.com/maps/search/Museu%20Jos%C3%A9%20Malhoa%20Parque%20D.%20Carlos%20I%2C%20Portugal/@39.4011,-9.1358,17z","🏛 Museu José Malhoa")</f>
        <v>🏛 Museu José Malhoa</v>
      </c>
      <c r="K168" s="304" t="s">
        <v>4855</v>
      </c>
    </row>
    <row r="169" spans="1:11" ht="110" customHeight="1" x14ac:dyDescent="0.35">
      <c r="A169" s="358">
        <v>67</v>
      </c>
      <c r="B169" s="259" t="s">
        <v>4748</v>
      </c>
      <c r="C169" s="260" t="s">
        <v>836</v>
      </c>
      <c r="D169" s="259" t="s">
        <v>4856</v>
      </c>
      <c r="E169" s="259"/>
      <c r="F169" s="259"/>
      <c r="G169" s="259" t="s">
        <v>4437</v>
      </c>
      <c r="H169" s="259" t="s">
        <v>4438</v>
      </c>
      <c r="I169" s="259" t="s">
        <v>4439</v>
      </c>
      <c r="J169" s="286" t="str">
        <f>HYPERLINK("https://www.google.com/maps/search/Museu%20da%20Cer%C3%A2mica%20Centro%20Portugal/@39.4011,-9.1358,17z","🏛 Museu da Cerâmica")</f>
        <v>🏛 Museu da Cerâmica</v>
      </c>
      <c r="K169" s="305" t="s">
        <v>4857</v>
      </c>
    </row>
    <row r="170" spans="1:11" ht="110" customHeight="1" x14ac:dyDescent="0.35">
      <c r="A170" s="352">
        <v>68</v>
      </c>
      <c r="B170" s="262" t="s">
        <v>4858</v>
      </c>
      <c r="C170" s="263" t="s">
        <v>836</v>
      </c>
      <c r="D170" s="262" t="s">
        <v>4859</v>
      </c>
      <c r="E170" s="262"/>
      <c r="F170" s="262"/>
      <c r="G170" s="262" t="s">
        <v>4374</v>
      </c>
      <c r="H170" s="262" t="s">
        <v>4375</v>
      </c>
      <c r="I170" s="262" t="s">
        <v>4376</v>
      </c>
      <c r="J170" s="287" t="str">
        <f>HYPERLINK("https://www.google.com/maps/search/Museu%20Municipal%20de%20%C3%93bidos%20Centro%20Portugal/@39.3636,-9.1572,17z","🏛 Museu Municipal de Óbidos")</f>
        <v>🏛 Museu Municipal de Óbidos</v>
      </c>
      <c r="K170" s="304" t="s">
        <v>4397</v>
      </c>
    </row>
    <row r="171" spans="1:11" ht="110" customHeight="1" x14ac:dyDescent="0.35">
      <c r="A171" s="358">
        <v>69</v>
      </c>
      <c r="B171" s="259" t="s">
        <v>4733</v>
      </c>
      <c r="C171" s="260" t="s">
        <v>836</v>
      </c>
      <c r="D171" s="259" t="s">
        <v>4860</v>
      </c>
      <c r="E171" s="259"/>
      <c r="F171" s="259"/>
      <c r="G171" s="259" t="s">
        <v>4374</v>
      </c>
      <c r="H171" s="259" t="s">
        <v>4375</v>
      </c>
      <c r="I171" s="259" t="s">
        <v>4376</v>
      </c>
      <c r="J171" s="286" t="str">
        <f>HYPERLINK("https://www.google.com/maps/search/Museu%20Cargaleiro%20Centro%20Portugal/@39.8286,-7.4914,17z","🏛 Museu Cargaleiro")</f>
        <v>🏛 Museu Cargaleiro</v>
      </c>
      <c r="K171" s="305" t="s">
        <v>4861</v>
      </c>
    </row>
    <row r="172" spans="1:11" ht="110" customHeight="1" x14ac:dyDescent="0.35">
      <c r="A172" s="352">
        <v>70</v>
      </c>
      <c r="B172" s="262" t="s">
        <v>4730</v>
      </c>
      <c r="C172" s="263" t="s">
        <v>836</v>
      </c>
      <c r="D172" s="262" t="s">
        <v>4862</v>
      </c>
      <c r="E172" s="262"/>
      <c r="F172" s="262"/>
      <c r="G172" s="262" t="s">
        <v>4437</v>
      </c>
      <c r="H172" s="262" t="s">
        <v>4438</v>
      </c>
      <c r="I172" s="262" t="s">
        <v>4439</v>
      </c>
      <c r="J172" s="287" t="str">
        <f>HYPERLINK("https://www.google.com/maps/search/Museu%20Francisco%20Tavares%20Proen%C3%A7a%20J%C3%BAnior%20Centro%20Portugal/@39.8286,-7.4914,17z","🏛 Museu Francisco Tavares Pro…")</f>
        <v>🏛 Museu Francisco Tavares Pro…</v>
      </c>
      <c r="K172" s="304" t="s">
        <v>4863</v>
      </c>
    </row>
    <row r="173" spans="1:11" ht="110" customHeight="1" x14ac:dyDescent="0.35">
      <c r="A173" s="358">
        <v>71</v>
      </c>
      <c r="B173" s="259" t="s">
        <v>4864</v>
      </c>
      <c r="C173" s="260" t="s">
        <v>836</v>
      </c>
      <c r="D173" s="259" t="s">
        <v>4865</v>
      </c>
      <c r="E173" s="259"/>
      <c r="F173" s="259"/>
      <c r="G173" s="259" t="s">
        <v>4374</v>
      </c>
      <c r="H173" s="259" t="s">
        <v>4375</v>
      </c>
      <c r="I173" s="259" t="s">
        <v>4376</v>
      </c>
      <c r="J173" s="286" t="str">
        <f>HYPERLINK("https://www.google.com/maps/search/Museu%20Municipal%20de%20Idanha-a-Nova%20Centro%20Portugal/@39.9258,-7.1442,17z","🏛 Museu Municipal de Idanha-a…")</f>
        <v>🏛 Museu Municipal de Idanha-a…</v>
      </c>
      <c r="K173" s="305" t="s">
        <v>4866</v>
      </c>
    </row>
    <row r="174" spans="1:11" ht="110" customHeight="1" x14ac:dyDescent="0.35">
      <c r="A174" s="352">
        <v>72</v>
      </c>
      <c r="B174" s="262" t="s">
        <v>4867</v>
      </c>
      <c r="C174" s="263" t="s">
        <v>836</v>
      </c>
      <c r="D174" s="262" t="s">
        <v>4868</v>
      </c>
      <c r="E174" s="262"/>
      <c r="F174" s="262"/>
      <c r="G174" s="262" t="s">
        <v>4374</v>
      </c>
      <c r="H174" s="262" t="s">
        <v>4375</v>
      </c>
      <c r="I174" s="262" t="s">
        <v>4376</v>
      </c>
      <c r="J174" s="287" t="str">
        <f>HYPERLINK("https://www.google.com/maps/search/Museu%20Municipal%20de%20Penamacor%20Centro%20Portugal/@40.1658,-7.175,17z","🏛 Museu Municipal de Penamacor")</f>
        <v>🏛 Museu Municipal de Penamacor</v>
      </c>
      <c r="K174" s="304" t="s">
        <v>4419</v>
      </c>
    </row>
    <row r="175" spans="1:11" ht="110" customHeight="1" x14ac:dyDescent="0.35">
      <c r="A175" s="358">
        <v>73</v>
      </c>
      <c r="B175" s="259" t="s">
        <v>4869</v>
      </c>
      <c r="C175" s="260" t="s">
        <v>836</v>
      </c>
      <c r="D175" s="259" t="s">
        <v>4870</v>
      </c>
      <c r="E175" s="259"/>
      <c r="F175" s="259"/>
      <c r="G175" s="259" t="s">
        <v>4374</v>
      </c>
      <c r="H175" s="259" t="s">
        <v>4375</v>
      </c>
      <c r="I175" s="259" t="s">
        <v>4376</v>
      </c>
      <c r="J175" s="286" t="str">
        <f>HYPERLINK("https://www.google.com/maps/search/Museu%20Municipal%20do%20Fund%C3%A3o%20Centro%20Portugal/@40.1386,-7.5014,17z","🏛 Museu Municipal do Fundão")</f>
        <v>🏛 Museu Municipal do Fundão</v>
      </c>
      <c r="K175" s="305" t="s">
        <v>4871</v>
      </c>
    </row>
    <row r="176" spans="1:11" ht="110" customHeight="1" x14ac:dyDescent="0.35">
      <c r="A176" s="352">
        <v>74</v>
      </c>
      <c r="B176" s="262" t="s">
        <v>4872</v>
      </c>
      <c r="C176" s="263" t="s">
        <v>836</v>
      </c>
      <c r="D176" s="262" t="s">
        <v>4873</v>
      </c>
      <c r="E176" s="262"/>
      <c r="F176" s="262"/>
      <c r="G176" s="262" t="s">
        <v>4374</v>
      </c>
      <c r="H176" s="262" t="s">
        <v>4375</v>
      </c>
      <c r="I176" s="262" t="s">
        <v>4376</v>
      </c>
      <c r="J176" s="287" t="str">
        <f>HYPERLINK("https://www.google.com/maps/search/Centro%20de%20Interpreta%C3%A7%C3%A3o%20da%20Cereja%20Alcongosta%2C%20Portugal/@40.1386,-7.5014,17z","🏛 Centro de Interpretação da …")</f>
        <v>🏛 Centro de Interpretação da …</v>
      </c>
      <c r="K176" s="304" t="s">
        <v>4874</v>
      </c>
    </row>
    <row r="177" spans="1:11" ht="110" customHeight="1" x14ac:dyDescent="0.35">
      <c r="A177" s="358">
        <v>75</v>
      </c>
      <c r="B177" s="259" t="s">
        <v>4875</v>
      </c>
      <c r="C177" s="260" t="s">
        <v>836</v>
      </c>
      <c r="D177" s="259" t="s">
        <v>4876</v>
      </c>
      <c r="E177" s="259"/>
      <c r="F177" s="259"/>
      <c r="G177" s="259" t="s">
        <v>4374</v>
      </c>
      <c r="H177" s="259" t="s">
        <v>4375</v>
      </c>
      <c r="I177" s="259" t="s">
        <v>4376</v>
      </c>
      <c r="J177" s="286" t="str">
        <f>HYPERLINK("https://www.google.com/maps/search/Museu%20Municipal%20da%20Covilh%C3%A3%20Centro%20Portugal/@40.2822,-7.5053,17z","🏛 Museu Municipal da Covilhã")</f>
        <v>🏛 Museu Municipal da Covilhã</v>
      </c>
      <c r="K177" s="305" t="s">
        <v>4877</v>
      </c>
    </row>
    <row r="178" spans="1:11" ht="110" customHeight="1" x14ac:dyDescent="0.35">
      <c r="A178" s="352">
        <v>76</v>
      </c>
      <c r="B178" s="262" t="s">
        <v>4727</v>
      </c>
      <c r="C178" s="263" t="s">
        <v>836</v>
      </c>
      <c r="D178" s="262" t="s">
        <v>4878</v>
      </c>
      <c r="E178" s="262"/>
      <c r="F178" s="262"/>
      <c r="G178" s="262" t="s">
        <v>4879</v>
      </c>
      <c r="H178" s="262" t="s">
        <v>4438</v>
      </c>
      <c r="I178" s="262" t="s">
        <v>4384</v>
      </c>
      <c r="J178" s="287" t="str">
        <f>HYPERLINK("https://www.google.com/maps/search/Museu%20de%20Lanif%C3%ADcios%20Centro%20Portugal/@40.2822,-7.5053,17z","🏛 Museu de Lanifícios")</f>
        <v>🏛 Museu de Lanifícios</v>
      </c>
      <c r="K178" s="304" t="s">
        <v>4880</v>
      </c>
    </row>
    <row r="179" spans="1:11" ht="110" customHeight="1" x14ac:dyDescent="0.35">
      <c r="A179" s="358">
        <v>77</v>
      </c>
      <c r="B179" s="259" t="s">
        <v>4881</v>
      </c>
      <c r="C179" s="260" t="s">
        <v>836</v>
      </c>
      <c r="D179" s="259" t="s">
        <v>4882</v>
      </c>
      <c r="E179" s="259"/>
      <c r="F179" s="259"/>
      <c r="G179" s="259" t="s">
        <v>4374</v>
      </c>
      <c r="H179" s="259" t="s">
        <v>4375</v>
      </c>
      <c r="I179" s="259" t="s">
        <v>4376</v>
      </c>
      <c r="J179" s="286" t="str">
        <f>HYPERLINK("https://www.google.com/maps/search/Museu%20Municipal%20de%20Oleiros%20Centro%20Portugal/@39.9181,-7.9103,17z","🏛 Museu Municipal de Oleiros")</f>
        <v>🏛 Museu Municipal de Oleiros</v>
      </c>
      <c r="K179" s="305" t="s">
        <v>4883</v>
      </c>
    </row>
    <row r="180" spans="1:11" ht="110" customHeight="1" x14ac:dyDescent="0.35">
      <c r="A180" s="352">
        <v>78</v>
      </c>
      <c r="B180" s="262" t="s">
        <v>4884</v>
      </c>
      <c r="C180" s="263" t="s">
        <v>836</v>
      </c>
      <c r="D180" s="262" t="s">
        <v>4885</v>
      </c>
      <c r="E180" s="262"/>
      <c r="F180" s="262"/>
      <c r="G180" s="262" t="s">
        <v>4374</v>
      </c>
      <c r="H180" s="262" t="s">
        <v>4375</v>
      </c>
      <c r="I180" s="262" t="s">
        <v>4376</v>
      </c>
      <c r="J180" s="287" t="str">
        <f>HYPERLINK("https://www.google.com/maps/search/Museu%20Municipal%20de%20Proen%C3%A7a-a-Nova%20Centro%20Portugal/@39.7531,-7.9258,17z","🏛 Museu Municipal de Proença-…")</f>
        <v>🏛 Museu Municipal de Proença-…</v>
      </c>
      <c r="K180" s="304" t="s">
        <v>4886</v>
      </c>
    </row>
    <row r="181" spans="1:11" ht="110" customHeight="1" x14ac:dyDescent="0.35">
      <c r="A181" s="358">
        <v>79</v>
      </c>
      <c r="B181" s="259" t="s">
        <v>4887</v>
      </c>
      <c r="C181" s="260" t="s">
        <v>836</v>
      </c>
      <c r="D181" s="259" t="s">
        <v>4888</v>
      </c>
      <c r="E181" s="259"/>
      <c r="F181" s="259"/>
      <c r="G181" s="259" t="s">
        <v>4374</v>
      </c>
      <c r="H181" s="259" t="s">
        <v>4375</v>
      </c>
      <c r="I181" s="259" t="s">
        <v>4376</v>
      </c>
      <c r="J181" s="286" t="str">
        <f>HYPERLINK("https://www.google.com/maps/search/Museu%20Municipal%20de%20Vila%20Velha%20de%20R%C3%B3d%C3%A3o%20Centro%20Portugal/@39.6611,-7.6747,17z","🏛 Museu Municipal de Vila Vel…")</f>
        <v>🏛 Museu Municipal de Vila Vel…</v>
      </c>
      <c r="K181" s="305" t="s">
        <v>4886</v>
      </c>
    </row>
    <row r="182" spans="1:11" ht="110" customHeight="1" x14ac:dyDescent="0.35">
      <c r="A182" s="352">
        <v>80</v>
      </c>
      <c r="B182" s="262" t="s">
        <v>4724</v>
      </c>
      <c r="C182" s="263" t="s">
        <v>836</v>
      </c>
      <c r="D182" s="262" t="s">
        <v>4889</v>
      </c>
      <c r="E182" s="262"/>
      <c r="F182" s="262"/>
      <c r="G182" s="262" t="s">
        <v>4374</v>
      </c>
      <c r="H182" s="262" t="s">
        <v>4375</v>
      </c>
      <c r="I182" s="262" t="s">
        <v>4376</v>
      </c>
      <c r="J182" s="287" t="str">
        <f>HYPERLINK("https://www.google.com/maps/search/Museu%20da%20Guarda%20Centro%20Portugal/@40.5369,-7.2681,17z","🏛 Museu da Guarda")</f>
        <v>🏛 Museu da Guarda</v>
      </c>
      <c r="K182" s="304" t="s">
        <v>4726</v>
      </c>
    </row>
    <row r="183" spans="1:11" ht="110" customHeight="1" x14ac:dyDescent="0.35">
      <c r="A183" s="358">
        <v>81</v>
      </c>
      <c r="B183" s="259" t="s">
        <v>4890</v>
      </c>
      <c r="C183" s="260" t="s">
        <v>836</v>
      </c>
      <c r="D183" s="259" t="s">
        <v>4891</v>
      </c>
      <c r="E183" s="259"/>
      <c r="F183" s="259"/>
      <c r="G183" s="259" t="s">
        <v>4496</v>
      </c>
      <c r="H183" s="259" t="s">
        <v>4438</v>
      </c>
      <c r="I183" s="259" t="s">
        <v>4384</v>
      </c>
      <c r="J183" s="286" t="str">
        <f>HYPERLINK("https://www.google.com/maps/search/Museu%20de%20Arte%20Sacra%20da%20Guarda%20Centro%20Portugal/@40.5369,-7.2681,17z","🏛 Museu de Arte Sacra da Guarda")</f>
        <v>🏛 Museu de Arte Sacra da Guarda</v>
      </c>
      <c r="K183" s="305" t="s">
        <v>4892</v>
      </c>
    </row>
    <row r="184" spans="1:11" ht="110" customHeight="1" x14ac:dyDescent="0.35">
      <c r="A184" s="352">
        <v>82</v>
      </c>
      <c r="B184" s="262" t="s">
        <v>4893</v>
      </c>
      <c r="C184" s="263" t="s">
        <v>836</v>
      </c>
      <c r="D184" s="262" t="s">
        <v>4894</v>
      </c>
      <c r="E184" s="262"/>
      <c r="F184" s="262"/>
      <c r="G184" s="262" t="s">
        <v>4374</v>
      </c>
      <c r="H184" s="262" t="s">
        <v>4375</v>
      </c>
      <c r="I184" s="262" t="s">
        <v>4376</v>
      </c>
      <c r="J184" s="287" t="str">
        <f>HYPERLINK("https://www.google.com/maps/search/Museu%20Municipal%20de%20Seia%20Centro%20Portugal/@40.4175,-7.7019,17z","🏛 Museu Municipal de Seia")</f>
        <v>🏛 Museu Municipal de Seia</v>
      </c>
      <c r="K184" s="304" t="s">
        <v>4895</v>
      </c>
    </row>
    <row r="185" spans="1:11" ht="110" customHeight="1" x14ac:dyDescent="0.35">
      <c r="A185" s="358">
        <v>83</v>
      </c>
      <c r="B185" s="259" t="s">
        <v>4896</v>
      </c>
      <c r="C185" s="260" t="s">
        <v>836</v>
      </c>
      <c r="D185" s="259" t="s">
        <v>4897</v>
      </c>
      <c r="E185" s="259"/>
      <c r="F185" s="259"/>
      <c r="G185" s="259" t="s">
        <v>4531</v>
      </c>
      <c r="H185" s="259" t="s">
        <v>4532</v>
      </c>
      <c r="I185" s="259" t="s">
        <v>4533</v>
      </c>
      <c r="J185" s="286" t="str">
        <f>HYPERLINK("https://www.google.com/maps/search/Museu%20do%20P%C3%A3o%20Quinta%20Fonte%20do%20Marr%C3%A3o%2C%20Portugal/@40.4175,-7.7019,17z","🏛 Museu do Pão")</f>
        <v>🏛 Museu do Pão</v>
      </c>
      <c r="K185" s="305" t="s">
        <v>4898</v>
      </c>
    </row>
    <row r="186" spans="1:11" ht="110" customHeight="1" x14ac:dyDescent="0.35">
      <c r="A186" s="352">
        <v>84</v>
      </c>
      <c r="B186" s="262" t="s">
        <v>4899</v>
      </c>
      <c r="C186" s="263" t="s">
        <v>836</v>
      </c>
      <c r="D186" s="262" t="s">
        <v>4900</v>
      </c>
      <c r="E186" s="262"/>
      <c r="F186" s="262"/>
      <c r="G186" s="262" t="s">
        <v>4374</v>
      </c>
      <c r="H186" s="262" t="s">
        <v>4375</v>
      </c>
      <c r="I186" s="262" t="s">
        <v>4376</v>
      </c>
      <c r="J186" s="287" t="str">
        <f>HYPERLINK("https://www.google.com/maps/search/Museu%20Natural%20da%20Electricidade%20Sabugueiro%2C%20Portugal/@40.4175,-7.7019,17z","🏛 Museu Natural da Electricid…")</f>
        <v>🏛 Museu Natural da Electricid…</v>
      </c>
      <c r="K186" s="304" t="s">
        <v>4901</v>
      </c>
    </row>
    <row r="187" spans="1:11" ht="110" customHeight="1" x14ac:dyDescent="0.35">
      <c r="A187" s="358">
        <v>85</v>
      </c>
      <c r="B187" s="259" t="s">
        <v>4902</v>
      </c>
      <c r="C187" s="260" t="s">
        <v>836</v>
      </c>
      <c r="D187" s="259" t="s">
        <v>4903</v>
      </c>
      <c r="E187" s="259"/>
      <c r="F187" s="259"/>
      <c r="G187" s="259" t="s">
        <v>4374</v>
      </c>
      <c r="H187" s="259" t="s">
        <v>4375</v>
      </c>
      <c r="I187" s="259" t="s">
        <v>4376</v>
      </c>
      <c r="J187" s="286" t="str">
        <f>HYPERLINK("https://www.google.com/maps/search/Museu%20Municipal%20de%20Gouveia%20Centro%20Portugal/@40.4942,-7.5931,17z","🏛 Museu Municipal de Gouveia")</f>
        <v>🏛 Museu Municipal de Gouveia</v>
      </c>
      <c r="K187" s="305" t="s">
        <v>4904</v>
      </c>
    </row>
    <row r="188" spans="1:11" ht="110" customHeight="1" x14ac:dyDescent="0.35">
      <c r="A188" s="352">
        <v>86</v>
      </c>
      <c r="B188" s="262" t="s">
        <v>4905</v>
      </c>
      <c r="C188" s="263" t="s">
        <v>836</v>
      </c>
      <c r="D188" s="262" t="s">
        <v>4906</v>
      </c>
      <c r="E188" s="262"/>
      <c r="F188" s="262"/>
      <c r="G188" s="262" t="s">
        <v>4374</v>
      </c>
      <c r="H188" s="262" t="s">
        <v>4375</v>
      </c>
      <c r="I188" s="262" t="s">
        <v>4376</v>
      </c>
      <c r="J188" s="287" t="str">
        <f>HYPERLINK("https://www.google.com/maps/search/Museu%20Municipal%20de%20Manteigas%20Centro%20Portugal/@40.3978,-7.5358,17z","🏛 Museu Municipal de Manteigas")</f>
        <v>🏛 Museu Municipal de Manteigas</v>
      </c>
      <c r="K188" s="304" t="s">
        <v>4907</v>
      </c>
    </row>
    <row r="189" spans="1:11" ht="110" customHeight="1" x14ac:dyDescent="0.35">
      <c r="A189" s="358">
        <v>87</v>
      </c>
      <c r="B189" s="259" t="s">
        <v>4908</v>
      </c>
      <c r="C189" s="260" t="s">
        <v>836</v>
      </c>
      <c r="D189" s="259" t="s">
        <v>4909</v>
      </c>
      <c r="E189" s="259"/>
      <c r="F189" s="259"/>
      <c r="G189" s="259" t="s">
        <v>4374</v>
      </c>
      <c r="H189" s="259" t="s">
        <v>4375</v>
      </c>
      <c r="I189" s="259" t="s">
        <v>4376</v>
      </c>
      <c r="J189" s="286" t="str">
        <f>HYPERLINK("https://www.google.com/maps/search/Museu%20Municipal%20de%20Pinhel%20Centro%20Portugal/@40.7769,-7.0614,17z","🏛 Museu Municipal de Pinhel")</f>
        <v>🏛 Museu Municipal de Pinhel</v>
      </c>
      <c r="K189" s="305" t="s">
        <v>4449</v>
      </c>
    </row>
    <row r="190" spans="1:11" ht="110" customHeight="1" x14ac:dyDescent="0.35">
      <c r="A190" s="352">
        <v>88</v>
      </c>
      <c r="B190" s="262" t="s">
        <v>4736</v>
      </c>
      <c r="C190" s="263" t="s">
        <v>836</v>
      </c>
      <c r="D190" s="262" t="s">
        <v>4910</v>
      </c>
      <c r="E190" s="262"/>
      <c r="F190" s="262"/>
      <c r="G190" s="262" t="s">
        <v>4374</v>
      </c>
      <c r="H190" s="262" t="s">
        <v>4375</v>
      </c>
      <c r="I190" s="262" t="s">
        <v>4376</v>
      </c>
      <c r="J190" s="287" t="str">
        <f>HYPERLINK("https://www.google.com/maps/search/Museu%20Municipal%20de%20Almeida%20Fortaleza%20de%20Almeida%2C%20Portugal/@40.7261,-6.9075,17z","🏛 Museu Municipal de Almeida")</f>
        <v>🏛 Museu Municipal de Almeida</v>
      </c>
      <c r="K190" s="304" t="s">
        <v>4738</v>
      </c>
    </row>
    <row r="191" spans="1:11" ht="110" customHeight="1" x14ac:dyDescent="0.35">
      <c r="A191" s="358">
        <v>89</v>
      </c>
      <c r="B191" s="259" t="s">
        <v>4911</v>
      </c>
      <c r="C191" s="260" t="s">
        <v>836</v>
      </c>
      <c r="D191" s="259" t="s">
        <v>4912</v>
      </c>
      <c r="E191" s="259"/>
      <c r="F191" s="259"/>
      <c r="G191" s="259" t="s">
        <v>4374</v>
      </c>
      <c r="H191" s="259" t="s">
        <v>4375</v>
      </c>
      <c r="I191" s="259" t="s">
        <v>4376</v>
      </c>
      <c r="J191" s="286" t="str">
        <f>HYPERLINK("https://www.google.com/maps/search/Museu%20Municipal%20de%20Trancoso%20Centro%20Portugal/@40.7769,-7.3483,17z","🏛 Museu Municipal de Trancoso")</f>
        <v>🏛 Museu Municipal de Trancoso</v>
      </c>
      <c r="K191" s="305" t="s">
        <v>4913</v>
      </c>
    </row>
    <row r="192" spans="1:11" ht="110" customHeight="1" x14ac:dyDescent="0.35">
      <c r="A192" s="352">
        <v>90</v>
      </c>
      <c r="B192" s="262" t="s">
        <v>4914</v>
      </c>
      <c r="C192" s="263" t="s">
        <v>836</v>
      </c>
      <c r="D192" s="262" t="s">
        <v>4915</v>
      </c>
      <c r="E192" s="262"/>
      <c r="F192" s="262"/>
      <c r="G192" s="262" t="s">
        <v>4374</v>
      </c>
      <c r="H192" s="262" t="s">
        <v>4375</v>
      </c>
      <c r="I192" s="262" t="s">
        <v>4376</v>
      </c>
      <c r="J192" s="287" t="str">
        <f>HYPERLINK("https://www.google.com/maps/search/Museu%20Municipal%20de%20Figueira%20de%20Castelo%20Rodrigo%20Centro%20Portugal/@40.8981,-6.9647,17z","🏛 Museu Municipal de Figueira…")</f>
        <v>🏛 Museu Municipal de Figueira…</v>
      </c>
      <c r="K192" s="304" t="s">
        <v>4886</v>
      </c>
    </row>
    <row r="193" spans="1:11" ht="110" customHeight="1" x14ac:dyDescent="0.35">
      <c r="A193" s="358">
        <v>91</v>
      </c>
      <c r="B193" s="259" t="s">
        <v>4718</v>
      </c>
      <c r="C193" s="260" t="s">
        <v>836</v>
      </c>
      <c r="D193" s="259" t="s">
        <v>4916</v>
      </c>
      <c r="E193" s="259"/>
      <c r="F193" s="259"/>
      <c r="G193" s="259" t="s">
        <v>4437</v>
      </c>
      <c r="H193" s="259" t="s">
        <v>4438</v>
      </c>
      <c r="I193" s="259" t="s">
        <v>4439</v>
      </c>
      <c r="J193" s="286" t="str">
        <f>HYPERLINK("https://www.google.com/maps/search/Museu%20Nacional%20Gr%C3%A3o%20Vasco%20Adro%20da%20S%C3%A9%2C%20Portugal/@40.6589,-7.9122,17z","🏛 Museu Nacional Grão Vasco")</f>
        <v>🏛 Museu Nacional Grão Vasco</v>
      </c>
      <c r="K193" s="305" t="s">
        <v>4917</v>
      </c>
    </row>
    <row r="194" spans="1:11" ht="110" customHeight="1" x14ac:dyDescent="0.35">
      <c r="A194" s="352">
        <v>92</v>
      </c>
      <c r="B194" s="262" t="s">
        <v>4918</v>
      </c>
      <c r="C194" s="263" t="s">
        <v>836</v>
      </c>
      <c r="D194" s="262" t="s">
        <v>4919</v>
      </c>
      <c r="E194" s="262"/>
      <c r="F194" s="262"/>
      <c r="G194" s="262" t="s">
        <v>4374</v>
      </c>
      <c r="H194" s="262" t="s">
        <v>4375</v>
      </c>
      <c r="I194" s="262" t="s">
        <v>4376</v>
      </c>
      <c r="J194" s="287" t="str">
        <f>HYPERLINK("https://www.google.com/maps/search/Museu%20Almeida%20Moreira%20Centro%20Portugal/@40.6589,-7.9122,17z","🏛 Museu Almeida Moreira")</f>
        <v>🏛 Museu Almeida Moreira</v>
      </c>
      <c r="K194" s="304" t="s">
        <v>4920</v>
      </c>
    </row>
    <row r="195" spans="1:11" ht="110" customHeight="1" x14ac:dyDescent="0.35">
      <c r="A195" s="358">
        <v>93</v>
      </c>
      <c r="B195" s="259" t="s">
        <v>4721</v>
      </c>
      <c r="C195" s="260" t="s">
        <v>836</v>
      </c>
      <c r="D195" s="259" t="s">
        <v>4921</v>
      </c>
      <c r="E195" s="259"/>
      <c r="F195" s="259"/>
      <c r="G195" s="259" t="s">
        <v>4374</v>
      </c>
      <c r="H195" s="259" t="s">
        <v>4375</v>
      </c>
      <c r="I195" s="259" t="s">
        <v>4376</v>
      </c>
      <c r="J195" s="286" t="str">
        <f>HYPERLINK("https://www.google.com/maps/search/Museu%20do%20Quartzo%20Monte%20de%20Santa%20Luzia%2C%20Portugal/@40.6589,-7.9122,17z","🏛 Museu do Quartzo")</f>
        <v>🏛 Museu do Quartzo</v>
      </c>
      <c r="K195" s="305" t="s">
        <v>4922</v>
      </c>
    </row>
    <row r="196" spans="1:11" ht="110" customHeight="1" x14ac:dyDescent="0.35">
      <c r="A196" s="352">
        <v>94</v>
      </c>
      <c r="B196" s="262" t="s">
        <v>4923</v>
      </c>
      <c r="C196" s="263" t="s">
        <v>836</v>
      </c>
      <c r="D196" s="262" t="s">
        <v>4924</v>
      </c>
      <c r="E196" s="262"/>
      <c r="F196" s="262"/>
      <c r="G196" s="262" t="s">
        <v>4374</v>
      </c>
      <c r="H196" s="262" t="s">
        <v>4375</v>
      </c>
      <c r="I196" s="262" t="s">
        <v>4376</v>
      </c>
      <c r="J196" s="287" t="str">
        <f>HYPERLINK("https://www.google.com/maps/search/Museu%20Municipal%20de%20Tondela%20Centro%20Portugal/@40.5156,-8.0789,17z","🏛 Museu Municipal de Tondela")</f>
        <v>🏛 Museu Municipal de Tondela</v>
      </c>
      <c r="K196" s="304" t="s">
        <v>4925</v>
      </c>
    </row>
    <row r="197" spans="1:11" ht="110" customHeight="1" x14ac:dyDescent="0.35">
      <c r="A197" s="358">
        <v>95</v>
      </c>
      <c r="B197" s="259" t="s">
        <v>4926</v>
      </c>
      <c r="C197" s="260" t="s">
        <v>836</v>
      </c>
      <c r="D197" s="259" t="s">
        <v>4927</v>
      </c>
      <c r="E197" s="259"/>
      <c r="F197" s="259"/>
      <c r="G197" s="259" t="s">
        <v>4374</v>
      </c>
      <c r="H197" s="259" t="s">
        <v>4375</v>
      </c>
      <c r="I197" s="259" t="s">
        <v>4376</v>
      </c>
      <c r="J197" s="286" t="str">
        <f>HYPERLINK("https://www.google.com/maps/search/Museu%20Municipal%20de%20Santa%20Comba%20D%C3%A3o%20Centro%20Portugal/@40.3953,-8.1361,17z","🏛 Museu Municipal de Santa Co…")</f>
        <v>🏛 Museu Municipal de Santa Co…</v>
      </c>
      <c r="K197" s="305" t="s">
        <v>4886</v>
      </c>
    </row>
    <row r="198" spans="1:11" ht="110" customHeight="1" x14ac:dyDescent="0.35">
      <c r="A198" s="352">
        <v>96</v>
      </c>
      <c r="B198" s="262" t="s">
        <v>4928</v>
      </c>
      <c r="C198" s="263" t="s">
        <v>836</v>
      </c>
      <c r="D198" s="262" t="s">
        <v>4929</v>
      </c>
      <c r="E198" s="262"/>
      <c r="F198" s="262"/>
      <c r="G198" s="262" t="s">
        <v>4374</v>
      </c>
      <c r="H198" s="262" t="s">
        <v>4375</v>
      </c>
      <c r="I198" s="262" t="s">
        <v>4376</v>
      </c>
      <c r="J198" s="287" t="str">
        <f>HYPERLINK("https://www.google.com/maps/search/Museu%20Municipal%20de%20Mangualde%20Centro%20Portugal/@40.6053,-7.7619,17z","🏛 Museu Municipal de Mangualde")</f>
        <v>🏛 Museu Municipal de Mangualde</v>
      </c>
      <c r="K198" s="304" t="s">
        <v>4930</v>
      </c>
    </row>
    <row r="199" spans="1:11" ht="110" customHeight="1" x14ac:dyDescent="0.35">
      <c r="A199" s="358">
        <v>97</v>
      </c>
      <c r="B199" s="259" t="s">
        <v>4931</v>
      </c>
      <c r="C199" s="260" t="s">
        <v>836</v>
      </c>
      <c r="D199" s="259" t="s">
        <v>4932</v>
      </c>
      <c r="E199" s="259"/>
      <c r="F199" s="259"/>
      <c r="G199" s="259" t="s">
        <v>4374</v>
      </c>
      <c r="H199" s="259" t="s">
        <v>4375</v>
      </c>
      <c r="I199" s="259" t="s">
        <v>4376</v>
      </c>
      <c r="J199" s="286" t="str">
        <f>HYPERLINK("https://www.google.com/maps/search/Museu%20Municipal%20de%20Nelas%20Centro%20Portugal/@40.5289,-7.8572,17z","🏛 Museu Municipal de Nelas")</f>
        <v>🏛 Museu Municipal de Nelas</v>
      </c>
      <c r="K199" s="305" t="s">
        <v>4933</v>
      </c>
    </row>
    <row r="200" spans="1:11" ht="110" customHeight="1" x14ac:dyDescent="0.35">
      <c r="A200" s="352">
        <v>98</v>
      </c>
      <c r="B200" s="262" t="s">
        <v>4934</v>
      </c>
      <c r="C200" s="263" t="s">
        <v>836</v>
      </c>
      <c r="D200" s="262" t="s">
        <v>4935</v>
      </c>
      <c r="E200" s="262"/>
      <c r="F200" s="262"/>
      <c r="G200" s="262" t="s">
        <v>4374</v>
      </c>
      <c r="H200" s="262" t="s">
        <v>4375</v>
      </c>
      <c r="I200" s="262" t="s">
        <v>4376</v>
      </c>
      <c r="J200" s="287" t="str">
        <f>HYPERLINK("https://www.google.com/maps/search/Museu%20Municipal%20de%20Carregal%20do%20Sal%20Centro%20Portugal/@40.4303,-8.0153,17z","🏛 Museu Municipal de Carregal…")</f>
        <v>🏛 Museu Municipal de Carregal…</v>
      </c>
      <c r="K200" s="304" t="s">
        <v>4936</v>
      </c>
    </row>
    <row r="201" spans="1:11" ht="110" customHeight="1" x14ac:dyDescent="0.35">
      <c r="A201" s="358">
        <v>99</v>
      </c>
      <c r="B201" s="259" t="s">
        <v>4937</v>
      </c>
      <c r="C201" s="260" t="s">
        <v>836</v>
      </c>
      <c r="D201" s="259" t="s">
        <v>4938</v>
      </c>
      <c r="E201" s="259"/>
      <c r="F201" s="259"/>
      <c r="G201" s="259" t="s">
        <v>4374</v>
      </c>
      <c r="H201" s="259" t="s">
        <v>4375</v>
      </c>
      <c r="I201" s="259" t="s">
        <v>4376</v>
      </c>
      <c r="J201" s="286" t="str">
        <f>HYPERLINK("https://www.google.com/maps/search/Museu%20Municipal%20de%20Penalva%20do%20Castelo%20Centro%20Portugal/@40.6742,-7.6975,17z","🏛 Museu Municipal de Penalva …")</f>
        <v>🏛 Museu Municipal de Penalva …</v>
      </c>
      <c r="K201" s="305" t="s">
        <v>4930</v>
      </c>
    </row>
    <row r="202" spans="1:11" ht="110" customHeight="1" x14ac:dyDescent="0.35">
      <c r="A202" s="352">
        <v>100</v>
      </c>
      <c r="B202" s="262" t="s">
        <v>4939</v>
      </c>
      <c r="C202" s="263" t="s">
        <v>836</v>
      </c>
      <c r="D202" s="262" t="s">
        <v>4940</v>
      </c>
      <c r="E202" s="262"/>
      <c r="F202" s="262"/>
      <c r="G202" s="262" t="s">
        <v>4374</v>
      </c>
      <c r="H202" s="262" t="s">
        <v>4375</v>
      </c>
      <c r="I202" s="262" t="s">
        <v>4376</v>
      </c>
      <c r="J202" s="287" t="str">
        <f>HYPERLINK("https://www.google.com/maps/search/Museu%20Municipal%20de%20S%C3%A1t%C3%A3o%20Centro%20Portugal/@40.7431,-7.6231,17z","🏛 Museu Municipal de Sátão")</f>
        <v>🏛 Museu Municipal de Sátão</v>
      </c>
      <c r="K202" s="304" t="s">
        <v>4397</v>
      </c>
    </row>
    <row r="203" spans="1:11" ht="110" customHeight="1" x14ac:dyDescent="0.35">
      <c r="A203" s="358">
        <v>101</v>
      </c>
      <c r="B203" s="259" t="s">
        <v>4941</v>
      </c>
      <c r="C203" s="260" t="s">
        <v>836</v>
      </c>
      <c r="D203" s="259" t="s">
        <v>4942</v>
      </c>
      <c r="E203" s="259"/>
      <c r="F203" s="259"/>
      <c r="G203" s="259" t="s">
        <v>4374</v>
      </c>
      <c r="H203" s="259" t="s">
        <v>4375</v>
      </c>
      <c r="I203" s="259" t="s">
        <v>4376</v>
      </c>
      <c r="J203" s="286" t="str">
        <f>HYPERLINK("https://www.google.com/maps/search/Museu%20Municipal%20de%20Moimenta%20da%20Beira%20Centro%20Portugal/@40.9886,-7.6272,17z","🏛 Museu Municipal de Moimenta…")</f>
        <v>🏛 Museu Municipal de Moimenta…</v>
      </c>
      <c r="K203" s="305" t="s">
        <v>4886</v>
      </c>
    </row>
    <row r="204" spans="1:11" ht="110" customHeight="1" x14ac:dyDescent="0.35">
      <c r="A204" s="352">
        <v>102</v>
      </c>
      <c r="B204" s="262" t="s">
        <v>4943</v>
      </c>
      <c r="C204" s="263" t="s">
        <v>836</v>
      </c>
      <c r="D204" s="262" t="s">
        <v>4944</v>
      </c>
      <c r="E204" s="262"/>
      <c r="F204" s="262"/>
      <c r="G204" s="262" t="s">
        <v>4374</v>
      </c>
      <c r="H204" s="262" t="s">
        <v>4375</v>
      </c>
      <c r="I204" s="262" t="s">
        <v>4376</v>
      </c>
      <c r="J204" s="287" t="str">
        <f>HYPERLINK("https://www.google.com/maps/search/Museu%20Municipal%20de%20Sernancelhe%20Centro%20Portugal/@40.8994,-7.5294,17z","🏛 Museu Municipal de Sernance…")</f>
        <v>🏛 Museu Municipal de Sernance…</v>
      </c>
      <c r="K204" s="304" t="s">
        <v>4419</v>
      </c>
    </row>
    <row r="205" spans="1:11" ht="110" customHeight="1" x14ac:dyDescent="0.35">
      <c r="A205" s="358">
        <v>103</v>
      </c>
      <c r="B205" s="259" t="s">
        <v>4945</v>
      </c>
      <c r="C205" s="260" t="s">
        <v>836</v>
      </c>
      <c r="D205" s="259" t="s">
        <v>4946</v>
      </c>
      <c r="E205" s="259"/>
      <c r="F205" s="259"/>
      <c r="G205" s="259" t="s">
        <v>4374</v>
      </c>
      <c r="H205" s="259" t="s">
        <v>4375</v>
      </c>
      <c r="I205" s="259" t="s">
        <v>4376</v>
      </c>
      <c r="J205" s="286" t="str">
        <f>HYPERLINK("https://www.google.com/maps/search/Museu%20Municipal%20de%20Tarouca%20Centro%20Portugal/@41.0272,-7.7822,17z","🏛 Museu Municipal de Tarouca")</f>
        <v>🏛 Museu Municipal de Tarouca</v>
      </c>
      <c r="K205" s="305" t="s">
        <v>4886</v>
      </c>
    </row>
    <row r="206" spans="1:11" ht="22" customHeight="1" x14ac:dyDescent="0.35">
      <c r="A206" s="1480" t="s">
        <v>4947</v>
      </c>
      <c r="B206" s="1313"/>
      <c r="C206" s="1313"/>
      <c r="D206" s="1313"/>
      <c r="E206" s="1313"/>
      <c r="F206" s="1313"/>
      <c r="G206" s="1313"/>
      <c r="H206" s="1313"/>
      <c r="I206" s="1313"/>
      <c r="J206" s="1313"/>
      <c r="K206" s="1313"/>
    </row>
    <row r="207" spans="1:11" ht="110" customHeight="1" x14ac:dyDescent="0.35">
      <c r="A207" s="360">
        <v>1</v>
      </c>
      <c r="B207" s="245" t="s">
        <v>4948</v>
      </c>
      <c r="C207" s="246" t="s">
        <v>913</v>
      </c>
      <c r="D207" s="245" t="s">
        <v>4949</v>
      </c>
      <c r="E207" s="245"/>
      <c r="F207" s="245" t="s">
        <v>4515</v>
      </c>
      <c r="G207" s="245" t="s">
        <v>4437</v>
      </c>
      <c r="H207" s="245" t="s">
        <v>4438</v>
      </c>
      <c r="I207" s="245" t="s">
        <v>4439</v>
      </c>
      <c r="J207" s="265" t="str">
        <f>HYPERLINK("https://www.google.com/maps/search/Museu%20Nacional%20de%20Arte%20Antiga%20Lisboa%20Portugal/@38.7095,-9.1592,17z","🏛 Museu Nacional de Arte Antiga")</f>
        <v>🏛 Museu Nacional de Arte Antiga</v>
      </c>
      <c r="K207" s="304" t="s">
        <v>4950</v>
      </c>
    </row>
    <row r="208" spans="1:11" ht="110" customHeight="1" x14ac:dyDescent="0.35">
      <c r="A208" s="340">
        <v>2</v>
      </c>
      <c r="B208" s="248" t="s">
        <v>4951</v>
      </c>
      <c r="C208" s="249" t="s">
        <v>913</v>
      </c>
      <c r="D208" s="248" t="s">
        <v>4952</v>
      </c>
      <c r="E208" s="248"/>
      <c r="F208" s="248" t="s">
        <v>4515</v>
      </c>
      <c r="G208" s="248" t="s">
        <v>4437</v>
      </c>
      <c r="H208" s="248" t="s">
        <v>4438</v>
      </c>
      <c r="I208" s="248" t="s">
        <v>4439</v>
      </c>
      <c r="J208" s="266" t="str">
        <f>HYPERLINK("https://www.google.com/maps/search/Museu%20Nacional%20do%20Azulejo%20Lisboa%20Portugal/@38.7243,-9.1058,17z","🏛 Museu Nacional do Azulejo")</f>
        <v>🏛 Museu Nacional do Azulejo</v>
      </c>
      <c r="K208" s="305" t="s">
        <v>4953</v>
      </c>
    </row>
    <row r="209" spans="1:11" ht="110" customHeight="1" x14ac:dyDescent="0.35">
      <c r="A209" s="360">
        <v>3</v>
      </c>
      <c r="B209" s="245" t="s">
        <v>4954</v>
      </c>
      <c r="C209" s="246" t="s">
        <v>913</v>
      </c>
      <c r="D209" s="245" t="s">
        <v>4955</v>
      </c>
      <c r="E209" s="245"/>
      <c r="F209" s="245" t="s">
        <v>4485</v>
      </c>
      <c r="G209" s="245" t="s">
        <v>4437</v>
      </c>
      <c r="H209" s="245" t="s">
        <v>4438</v>
      </c>
      <c r="I209" s="245" t="s">
        <v>4439</v>
      </c>
      <c r="J209" s="265" t="str">
        <f>HYPERLINK("https://www.google.com/maps/search/Museu%20Nacional%20dos%20Coches%20Lisboa%20Portugal/@38.6988,-9.1942,17z","🏛 Museu Nacional dos Coches")</f>
        <v>🏛 Museu Nacional dos Coches</v>
      </c>
      <c r="K209" s="304" t="s">
        <v>4956</v>
      </c>
    </row>
    <row r="210" spans="1:11" ht="110" customHeight="1" x14ac:dyDescent="0.35">
      <c r="A210" s="340">
        <v>4</v>
      </c>
      <c r="B210" s="248" t="s">
        <v>4957</v>
      </c>
      <c r="C210" s="249" t="s">
        <v>913</v>
      </c>
      <c r="D210" s="248" t="s">
        <v>4958</v>
      </c>
      <c r="E210" s="248"/>
      <c r="F210" s="248" t="s">
        <v>4539</v>
      </c>
      <c r="G210" s="248" t="s">
        <v>4437</v>
      </c>
      <c r="H210" s="248" t="s">
        <v>4438</v>
      </c>
      <c r="I210" s="248" t="s">
        <v>4439</v>
      </c>
      <c r="J210" s="266" t="str">
        <f>HYPERLINK("https://www.google.com/maps/search/Museu%20Nacional%20de%20Arqueologia%20Lisboa%20Portugal/@38.6976,-9.2057,17z","🏛 Museu Nacional de Arqueologia")</f>
        <v>🏛 Museu Nacional de Arqueologia</v>
      </c>
      <c r="K210" s="305" t="s">
        <v>4959</v>
      </c>
    </row>
    <row r="211" spans="1:11" ht="110" customHeight="1" x14ac:dyDescent="0.35">
      <c r="A211" s="360">
        <v>5</v>
      </c>
      <c r="B211" s="245" t="s">
        <v>4960</v>
      </c>
      <c r="C211" s="246" t="s">
        <v>913</v>
      </c>
      <c r="D211" s="245" t="s">
        <v>4961</v>
      </c>
      <c r="E211" s="245"/>
      <c r="F211" s="245" t="s">
        <v>4524</v>
      </c>
      <c r="G211" s="245" t="s">
        <v>4374</v>
      </c>
      <c r="H211" s="245" t="s">
        <v>4375</v>
      </c>
      <c r="I211" s="245" t="s">
        <v>4376</v>
      </c>
      <c r="J211" s="265" t="str">
        <f>HYPERLINK("https://www.google.com/maps/search/Museu%20do%20Fado%20Lisboa%20Portugal/@38.708,-9.1262,17z","🏛 Museu do Fado")</f>
        <v>🏛 Museu do Fado</v>
      </c>
      <c r="K211" s="304" t="s">
        <v>4962</v>
      </c>
    </row>
    <row r="212" spans="1:11" ht="110" customHeight="1" x14ac:dyDescent="0.35">
      <c r="A212" s="340">
        <v>6</v>
      </c>
      <c r="B212" s="248" t="s">
        <v>4963</v>
      </c>
      <c r="C212" s="249" t="s">
        <v>913</v>
      </c>
      <c r="D212" s="248" t="s">
        <v>4964</v>
      </c>
      <c r="E212" s="248"/>
      <c r="F212" s="248" t="s">
        <v>4515</v>
      </c>
      <c r="G212" s="248" t="s">
        <v>3697</v>
      </c>
      <c r="H212" s="248" t="s">
        <v>2944</v>
      </c>
      <c r="I212" s="248" t="s">
        <v>4497</v>
      </c>
      <c r="J212" s="266" t="str">
        <f>HYPERLINK("https://www.google.com/maps/search/Museu%20Calouste%20Gulbenkian%20Lisboa%20Portugal/@38.7366,-9.1525,17z","🏛 Museu Calouste Gulbenkian")</f>
        <v>🏛 Museu Calouste Gulbenkian</v>
      </c>
      <c r="K212" s="305" t="s">
        <v>4965</v>
      </c>
    </row>
    <row r="213" spans="1:11" ht="110" customHeight="1" x14ac:dyDescent="0.35">
      <c r="A213" s="360">
        <v>7</v>
      </c>
      <c r="B213" s="245" t="s">
        <v>4966</v>
      </c>
      <c r="C213" s="246" t="s">
        <v>913</v>
      </c>
      <c r="D213" s="245" t="s">
        <v>4967</v>
      </c>
      <c r="E213" s="245"/>
      <c r="F213" s="245" t="s">
        <v>4559</v>
      </c>
      <c r="G213" s="245" t="s">
        <v>3697</v>
      </c>
      <c r="H213" s="245" t="s">
        <v>2944</v>
      </c>
      <c r="I213" s="245" t="s">
        <v>4497</v>
      </c>
      <c r="J213" s="265" t="str">
        <f>HYPERLINK("https://www.google.com/maps/search/MAAT%20%E2%80%94%20Museu%20de%20Arte%2C%20Arquitetura%20e%20Tecnologia%20Lisboa%20Portugal/@38.6963,-9.1985,17z","🏛 MAAT — Museu de Arte, Arqui…")</f>
        <v>🏛 MAAT — Museu de Arte, Arqui…</v>
      </c>
      <c r="K213" s="304" t="s">
        <v>4968</v>
      </c>
    </row>
    <row r="214" spans="1:11" ht="110" customHeight="1" x14ac:dyDescent="0.35">
      <c r="A214" s="340">
        <v>8</v>
      </c>
      <c r="B214" s="248" t="s">
        <v>4969</v>
      </c>
      <c r="C214" s="249" t="s">
        <v>913</v>
      </c>
      <c r="D214" s="248" t="s">
        <v>4967</v>
      </c>
      <c r="E214" s="248"/>
      <c r="F214" s="248" t="s">
        <v>4970</v>
      </c>
      <c r="G214" s="248" t="s">
        <v>3697</v>
      </c>
      <c r="H214" s="248" t="s">
        <v>2944</v>
      </c>
      <c r="I214" s="248" t="s">
        <v>4384</v>
      </c>
      <c r="J214" s="266" t="str">
        <f>HYPERLINK("https://www.google.com/maps/search/Museu%20do%20Oriente%20Lisboa%20Portugal/@38.703,-9.1968,17z","🏛 Museu do Oriente")</f>
        <v>🏛 Museu do Oriente</v>
      </c>
      <c r="K214" s="305" t="s">
        <v>4971</v>
      </c>
    </row>
    <row r="215" spans="1:11" ht="110" customHeight="1" x14ac:dyDescent="0.35">
      <c r="A215" s="360">
        <v>9</v>
      </c>
      <c r="B215" s="245" t="s">
        <v>4972</v>
      </c>
      <c r="C215" s="246" t="s">
        <v>913</v>
      </c>
      <c r="D215" s="245" t="s">
        <v>4973</v>
      </c>
      <c r="E215" s="245"/>
      <c r="F215" s="245" t="s">
        <v>4485</v>
      </c>
      <c r="G215" s="245" t="s">
        <v>4374</v>
      </c>
      <c r="H215" s="245" t="s">
        <v>4375</v>
      </c>
      <c r="I215" s="245" t="s">
        <v>4376</v>
      </c>
      <c r="J215" s="265" t="str">
        <f>HYPERLINK("https://www.google.com/maps/search/Museu%20do%20Aljube%20%E2%80%94%20Resist%C3%AAncia%20e%20Liberdade%20Lisboa%20Portugal/@38.7098,-9.1352,17z","🏛 Museu do Aljube — Resistênc…")</f>
        <v>🏛 Museu do Aljube — Resistênc…</v>
      </c>
      <c r="K215" s="304" t="s">
        <v>4974</v>
      </c>
    </row>
    <row r="216" spans="1:11" ht="110" customHeight="1" x14ac:dyDescent="0.35">
      <c r="A216" s="340">
        <v>10</v>
      </c>
      <c r="B216" s="248" t="s">
        <v>4975</v>
      </c>
      <c r="C216" s="249" t="s">
        <v>913</v>
      </c>
      <c r="D216" s="248" t="s">
        <v>4976</v>
      </c>
      <c r="E216" s="248"/>
      <c r="F216" s="248" t="s">
        <v>4485</v>
      </c>
      <c r="G216" s="248" t="s">
        <v>4374</v>
      </c>
      <c r="H216" s="248" t="s">
        <v>4375</v>
      </c>
      <c r="I216" s="248" t="s">
        <v>4376</v>
      </c>
      <c r="J216" s="266" t="str">
        <f>HYPERLINK("https://www.google.com/maps/search/Museu%20de%20Lisboa%20%E2%80%94%20Pal%C3%A1cio%20Pimenta%20Campo%20Grande%20Portugal/@38.76,-9.1558,17z","🏛 Museu de Lisboa — Palácio P…")</f>
        <v>🏛 Museu de Lisboa — Palácio P…</v>
      </c>
      <c r="K216" s="305" t="s">
        <v>4977</v>
      </c>
    </row>
    <row r="217" spans="1:11" ht="110" customHeight="1" x14ac:dyDescent="0.35">
      <c r="A217" s="360">
        <v>11</v>
      </c>
      <c r="B217" s="245" t="s">
        <v>4978</v>
      </c>
      <c r="C217" s="246" t="s">
        <v>913</v>
      </c>
      <c r="D217" s="245" t="s">
        <v>4979</v>
      </c>
      <c r="E217" s="245"/>
      <c r="F217" s="245" t="s">
        <v>4515</v>
      </c>
      <c r="G217" s="245" t="s">
        <v>3697</v>
      </c>
      <c r="H217" s="245" t="s">
        <v>2944</v>
      </c>
      <c r="I217" s="245" t="s">
        <v>4497</v>
      </c>
      <c r="J217" s="265" t="str">
        <f>HYPERLINK("https://www.google.com/maps/search/Casa%20das%20Hist%C3%B3rias%20Paula%20Rego%20Lisboa%20Portugal/@38.6988,-9.421,17z","🏛 Casa das Histórias Paula Rego")</f>
        <v>🏛 Casa das Histórias Paula Rego</v>
      </c>
      <c r="K217" s="304" t="s">
        <v>4980</v>
      </c>
    </row>
    <row r="218" spans="1:11" ht="110" customHeight="1" x14ac:dyDescent="0.35">
      <c r="A218" s="340">
        <v>12</v>
      </c>
      <c r="B218" s="248" t="s">
        <v>4981</v>
      </c>
      <c r="C218" s="249" t="s">
        <v>913</v>
      </c>
      <c r="D218" s="248" t="s">
        <v>4982</v>
      </c>
      <c r="E218" s="248"/>
      <c r="F218" s="248" t="s">
        <v>4657</v>
      </c>
      <c r="G218" s="248" t="s">
        <v>4374</v>
      </c>
      <c r="H218" s="248" t="s">
        <v>4375</v>
      </c>
      <c r="I218" s="248" t="s">
        <v>4376</v>
      </c>
      <c r="J218" s="266" t="str">
        <f>HYPERLINK("https://www.google.com/maps/search/Museu%20do%20Mar%20Rei%20D.%20Carlos%20Lisboa%20Portugal/@38.6978,-9.4215,17z","🏛 Museu do Mar Rei D. Carlos")</f>
        <v>🏛 Museu do Mar Rei D. Carlos</v>
      </c>
      <c r="K218" s="305" t="s">
        <v>4983</v>
      </c>
    </row>
    <row r="219" spans="1:11" ht="110" customHeight="1" x14ac:dyDescent="0.35">
      <c r="A219" s="360">
        <v>13</v>
      </c>
      <c r="B219" s="245" t="s">
        <v>4948</v>
      </c>
      <c r="C219" s="246" t="s">
        <v>913</v>
      </c>
      <c r="D219" s="245" t="s">
        <v>4984</v>
      </c>
      <c r="E219" s="245"/>
      <c r="F219" s="245"/>
      <c r="G219" s="245" t="s">
        <v>4437</v>
      </c>
      <c r="H219" s="245" t="s">
        <v>4438</v>
      </c>
      <c r="I219" s="245" t="s">
        <v>4439</v>
      </c>
      <c r="J219" s="265" t="str">
        <f>HYPERLINK("https://www.google.com/maps/search/Museu%20Nacional%20de%20Arte%20Antiga%20Lisboa%20Portugal/@38.7167,-9.1333,17z","🏛 Museu Nacional de Arte Antiga")</f>
        <v>🏛 Museu Nacional de Arte Antiga</v>
      </c>
      <c r="K219" s="304" t="s">
        <v>4985</v>
      </c>
    </row>
    <row r="220" spans="1:11" ht="110" customHeight="1" x14ac:dyDescent="0.35">
      <c r="A220" s="340">
        <v>14</v>
      </c>
      <c r="B220" s="248" t="s">
        <v>4951</v>
      </c>
      <c r="C220" s="249" t="s">
        <v>913</v>
      </c>
      <c r="D220" s="248" t="s">
        <v>4986</v>
      </c>
      <c r="E220" s="248"/>
      <c r="F220" s="248"/>
      <c r="G220" s="248" t="s">
        <v>4437</v>
      </c>
      <c r="H220" s="248" t="s">
        <v>4438</v>
      </c>
      <c r="I220" s="248" t="s">
        <v>4439</v>
      </c>
      <c r="J220" s="266" t="str">
        <f>HYPERLINK("https://www.google.com/maps/search/Museu%20Nacional%20do%20Azulejo%20Lisboa%20Portugal/@38.7167,-9.1333,17z","🏛 Museu Nacional do Azulejo")</f>
        <v>🏛 Museu Nacional do Azulejo</v>
      </c>
      <c r="K220" s="305" t="s">
        <v>4987</v>
      </c>
    </row>
    <row r="221" spans="1:11" ht="110" customHeight="1" x14ac:dyDescent="0.35">
      <c r="A221" s="360">
        <v>15</v>
      </c>
      <c r="B221" s="245" t="s">
        <v>4954</v>
      </c>
      <c r="C221" s="246" t="s">
        <v>913</v>
      </c>
      <c r="D221" s="245" t="s">
        <v>4988</v>
      </c>
      <c r="E221" s="245"/>
      <c r="F221" s="245"/>
      <c r="G221" s="245" t="s">
        <v>4437</v>
      </c>
      <c r="H221" s="245" t="s">
        <v>4438</v>
      </c>
      <c r="I221" s="245" t="s">
        <v>4439</v>
      </c>
      <c r="J221" s="265" t="str">
        <f>HYPERLINK("https://www.google.com/maps/search/Museu%20Nacional%20dos%20Coches%20Lisboa%20Portugal/@38.7167,-9.1333,17z","🏛 Museu Nacional dos Coches")</f>
        <v>🏛 Museu Nacional dos Coches</v>
      </c>
      <c r="K221" s="304" t="s">
        <v>4956</v>
      </c>
    </row>
    <row r="222" spans="1:11" ht="110" customHeight="1" x14ac:dyDescent="0.35">
      <c r="A222" s="340">
        <v>16</v>
      </c>
      <c r="B222" s="248" t="s">
        <v>4957</v>
      </c>
      <c r="C222" s="249" t="s">
        <v>913</v>
      </c>
      <c r="D222" s="248" t="s">
        <v>1397</v>
      </c>
      <c r="E222" s="248"/>
      <c r="F222" s="248"/>
      <c r="G222" s="248" t="s">
        <v>4437</v>
      </c>
      <c r="H222" s="248" t="s">
        <v>4438</v>
      </c>
      <c r="I222" s="248" t="s">
        <v>4439</v>
      </c>
      <c r="J222" s="266" t="str">
        <f>HYPERLINK("https://www.google.com/maps/search/Museu%20Nacional%20de%20Arqueologia%20Lisboa%20Portugal/@38.7167,-9.1333,17z","🏛 Museu Nacional de Arqueologia")</f>
        <v>🏛 Museu Nacional de Arqueologia</v>
      </c>
      <c r="K222" s="305" t="s">
        <v>4989</v>
      </c>
    </row>
    <row r="223" spans="1:11" ht="110" customHeight="1" x14ac:dyDescent="0.35">
      <c r="A223" s="360">
        <v>17</v>
      </c>
      <c r="B223" s="245" t="s">
        <v>4990</v>
      </c>
      <c r="C223" s="246" t="s">
        <v>913</v>
      </c>
      <c r="D223" s="245" t="s">
        <v>4991</v>
      </c>
      <c r="E223" s="245"/>
      <c r="F223" s="245"/>
      <c r="G223" s="245" t="s">
        <v>4709</v>
      </c>
      <c r="H223" s="245" t="s">
        <v>4438</v>
      </c>
      <c r="I223" s="245" t="s">
        <v>4384</v>
      </c>
      <c r="J223" s="265" t="str">
        <f>HYPERLINK("https://www.google.com/maps/search/Museu%20Nacional%20de%20Hist%C3%B3ria%20Natural%20e%20da%20Ci%C3%AAncia%20Lisboa%20Portugal/@38.7167,-9.1333,17z","🏛 Museu Nacional de História …")</f>
        <v>🏛 Museu Nacional de História …</v>
      </c>
      <c r="K223" s="304" t="s">
        <v>4992</v>
      </c>
    </row>
    <row r="224" spans="1:11" ht="110" customHeight="1" x14ac:dyDescent="0.35">
      <c r="A224" s="340">
        <v>18</v>
      </c>
      <c r="B224" s="248" t="s">
        <v>4975</v>
      </c>
      <c r="C224" s="249" t="s">
        <v>913</v>
      </c>
      <c r="D224" s="248" t="s">
        <v>4993</v>
      </c>
      <c r="E224" s="248"/>
      <c r="F224" s="248"/>
      <c r="G224" s="248" t="s">
        <v>4374</v>
      </c>
      <c r="H224" s="248" t="s">
        <v>4375</v>
      </c>
      <c r="I224" s="248" t="s">
        <v>4376</v>
      </c>
      <c r="J224" s="266" t="str">
        <f>HYPERLINK("https://www.google.com/maps/search/Museu%20de%20Lisboa%20%E2%80%94%20Pal%C3%A1cio%20Pimenta%20Campo%20Grande%20Portugal/@38.7167,-9.1333,17z","🏛 Museu de Lisboa — Palácio P…")</f>
        <v>🏛 Museu de Lisboa — Palácio P…</v>
      </c>
      <c r="K224" s="305" t="s">
        <v>4977</v>
      </c>
    </row>
    <row r="225" spans="1:11" ht="110" customHeight="1" x14ac:dyDescent="0.35">
      <c r="A225" s="360">
        <v>19</v>
      </c>
      <c r="B225" s="245" t="s">
        <v>4994</v>
      </c>
      <c r="C225" s="246" t="s">
        <v>913</v>
      </c>
      <c r="D225" s="245" t="s">
        <v>4995</v>
      </c>
      <c r="E225" s="245"/>
      <c r="F225" s="245"/>
      <c r="G225" s="245" t="s">
        <v>4374</v>
      </c>
      <c r="H225" s="245" t="s">
        <v>4375</v>
      </c>
      <c r="I225" s="245" t="s">
        <v>4376</v>
      </c>
      <c r="J225" s="265" t="str">
        <f>HYPERLINK("https://www.google.com/maps/search/Museu%20de%20Lisboa%20%E2%80%94%20Teatro%20Romano%20Portugal/@38.7167,-9.1333,17z","🏛 Museu de Lisboa — Teatro Ro…")</f>
        <v>🏛 Museu de Lisboa — Teatro Ro…</v>
      </c>
      <c r="K225" s="304" t="s">
        <v>4996</v>
      </c>
    </row>
    <row r="226" spans="1:11" ht="110" customHeight="1" x14ac:dyDescent="0.35">
      <c r="A226" s="340">
        <v>20</v>
      </c>
      <c r="B226" s="248" t="s">
        <v>4960</v>
      </c>
      <c r="C226" s="249" t="s">
        <v>913</v>
      </c>
      <c r="D226" s="248" t="s">
        <v>4997</v>
      </c>
      <c r="E226" s="248"/>
      <c r="F226" s="248"/>
      <c r="G226" s="248" t="s">
        <v>4374</v>
      </c>
      <c r="H226" s="248" t="s">
        <v>4375</v>
      </c>
      <c r="I226" s="248" t="s">
        <v>4376</v>
      </c>
      <c r="J226" s="266" t="str">
        <f>HYPERLINK("https://www.google.com/maps/search/Museu%20do%20Fado%20Lisboa%20Portugal/@38.7167,-9.1333,17z","🏛 Museu do Fado")</f>
        <v>🏛 Museu do Fado</v>
      </c>
      <c r="K226" s="305" t="s">
        <v>4962</v>
      </c>
    </row>
    <row r="227" spans="1:11" ht="110" customHeight="1" x14ac:dyDescent="0.35">
      <c r="A227" s="360">
        <v>21</v>
      </c>
      <c r="B227" s="245" t="s">
        <v>4963</v>
      </c>
      <c r="C227" s="246" t="s">
        <v>913</v>
      </c>
      <c r="D227" s="245" t="s">
        <v>4998</v>
      </c>
      <c r="E227" s="245"/>
      <c r="F227" s="245"/>
      <c r="G227" s="245" t="s">
        <v>3697</v>
      </c>
      <c r="H227" s="245" t="s">
        <v>2944</v>
      </c>
      <c r="I227" s="245" t="s">
        <v>4384</v>
      </c>
      <c r="J227" s="265" t="str">
        <f>HYPERLINK("https://www.google.com/maps/search/Museu%20Calouste%20Gulbenkian%20Lisboa%20Portugal/@38.7167,-9.1333,17z","🏛 Museu Calouste Gulbenkian")</f>
        <v>🏛 Museu Calouste Gulbenkian</v>
      </c>
      <c r="K227" s="304" t="s">
        <v>4999</v>
      </c>
    </row>
    <row r="228" spans="1:11" ht="110" customHeight="1" x14ac:dyDescent="0.35">
      <c r="A228" s="340">
        <v>22</v>
      </c>
      <c r="B228" s="248" t="s">
        <v>5000</v>
      </c>
      <c r="C228" s="249" t="s">
        <v>913</v>
      </c>
      <c r="D228" s="248" t="s">
        <v>5001</v>
      </c>
      <c r="E228" s="248"/>
      <c r="F228" s="248"/>
      <c r="G228" s="248" t="s">
        <v>3697</v>
      </c>
      <c r="H228" s="248" t="s">
        <v>2944</v>
      </c>
      <c r="I228" s="248" t="s">
        <v>4384</v>
      </c>
      <c r="J228" s="266" t="str">
        <f>HYPERLINK("https://www.google.com/maps/search/Centro%20de%20Arte%20Moderna%20Gulbenkian%20Lisboa%20Portugal/@38.7167,-9.1333,17z","🏛 Centro de Arte Moderna Gulb…")</f>
        <v>🏛 Centro de Arte Moderna Gulb…</v>
      </c>
      <c r="K228" s="305" t="s">
        <v>5002</v>
      </c>
    </row>
    <row r="229" spans="1:11" ht="110" customHeight="1" x14ac:dyDescent="0.35">
      <c r="A229" s="360">
        <v>23</v>
      </c>
      <c r="B229" s="245" t="s">
        <v>5003</v>
      </c>
      <c r="C229" s="246" t="s">
        <v>913</v>
      </c>
      <c r="D229" s="245" t="s">
        <v>5004</v>
      </c>
      <c r="E229" s="245"/>
      <c r="F229" s="245"/>
      <c r="G229" s="245" t="s">
        <v>3697</v>
      </c>
      <c r="H229" s="245" t="s">
        <v>2944</v>
      </c>
      <c r="I229" s="245" t="s">
        <v>4384</v>
      </c>
      <c r="J229" s="265" t="str">
        <f>HYPERLINK("https://www.google.com/maps/search/Museu%20Cole%C3%A7%C3%A3o%20Berardo%20Centro%20Cultural%20de%20Bel%C3%A9m%2C%20Portugal/@38.7167,-9.1333,17z","🏛 Museu Coleção Berardo")</f>
        <v>🏛 Museu Coleção Berardo</v>
      </c>
      <c r="K229" s="304" t="s">
        <v>5005</v>
      </c>
    </row>
    <row r="230" spans="1:11" ht="110" customHeight="1" x14ac:dyDescent="0.35">
      <c r="A230" s="340">
        <v>24</v>
      </c>
      <c r="B230" s="248" t="s">
        <v>5006</v>
      </c>
      <c r="C230" s="249" t="s">
        <v>913</v>
      </c>
      <c r="D230" s="248" t="s">
        <v>5007</v>
      </c>
      <c r="E230" s="248"/>
      <c r="F230" s="248"/>
      <c r="G230" s="248" t="s">
        <v>3697</v>
      </c>
      <c r="H230" s="248" t="s">
        <v>2944</v>
      </c>
      <c r="I230" s="248" t="s">
        <v>4384</v>
      </c>
      <c r="J230" s="266" t="str">
        <f>HYPERLINK("https://www.google.com/maps/search/Museu%20da%20Eletricidade%20Lisboa%20Portugal/@38.7167,-9.1333,17z","🏛 Museu da Eletricidade")</f>
        <v>🏛 Museu da Eletricidade</v>
      </c>
      <c r="K230" s="305" t="s">
        <v>4971</v>
      </c>
    </row>
    <row r="231" spans="1:11" ht="110" customHeight="1" x14ac:dyDescent="0.35">
      <c r="A231" s="360">
        <v>25</v>
      </c>
      <c r="B231" s="245" t="s">
        <v>4966</v>
      </c>
      <c r="C231" s="246" t="s">
        <v>913</v>
      </c>
      <c r="D231" s="245" t="s">
        <v>5007</v>
      </c>
      <c r="E231" s="245"/>
      <c r="F231" s="245"/>
      <c r="G231" s="245" t="s">
        <v>3697</v>
      </c>
      <c r="H231" s="245" t="s">
        <v>2944</v>
      </c>
      <c r="I231" s="245" t="s">
        <v>4384</v>
      </c>
      <c r="J231" s="265" t="str">
        <f>HYPERLINK("https://www.google.com/maps/search/MAAT%20%E2%80%94%20Museu%20de%20Arte%2C%20Arquitetura%20e%20Tecnologia%20Lisboa%20Portugal/@38.7167,-9.1333,17z","🏛 MAAT — Museu de Arte, Arqui…")</f>
        <v>🏛 MAAT — Museu de Arte, Arqui…</v>
      </c>
      <c r="K231" s="304" t="s">
        <v>4971</v>
      </c>
    </row>
    <row r="232" spans="1:11" ht="110" customHeight="1" x14ac:dyDescent="0.35">
      <c r="A232" s="340">
        <v>26</v>
      </c>
      <c r="B232" s="248" t="s">
        <v>4969</v>
      </c>
      <c r="C232" s="249" t="s">
        <v>913</v>
      </c>
      <c r="D232" s="248" t="s">
        <v>5008</v>
      </c>
      <c r="E232" s="248"/>
      <c r="F232" s="248"/>
      <c r="G232" s="248" t="s">
        <v>3697</v>
      </c>
      <c r="H232" s="248" t="s">
        <v>2944</v>
      </c>
      <c r="I232" s="248" t="s">
        <v>4384</v>
      </c>
      <c r="J232" s="266" t="str">
        <f>HYPERLINK("https://www.google.com/maps/search/Museu%20do%20Oriente%20Lisboa%20Portugal/@38.7167,-9.1333,17z","🏛 Museu do Oriente")</f>
        <v>🏛 Museu do Oriente</v>
      </c>
      <c r="K232" s="305" t="s">
        <v>4971</v>
      </c>
    </row>
    <row r="233" spans="1:11" ht="110" customHeight="1" x14ac:dyDescent="0.35">
      <c r="A233" s="360">
        <v>27</v>
      </c>
      <c r="B233" s="245" t="s">
        <v>5009</v>
      </c>
      <c r="C233" s="246" t="s">
        <v>913</v>
      </c>
      <c r="D233" s="245" t="s">
        <v>1397</v>
      </c>
      <c r="E233" s="245"/>
      <c r="F233" s="245"/>
      <c r="G233" s="245" t="s">
        <v>4437</v>
      </c>
      <c r="H233" s="245" t="s">
        <v>4438</v>
      </c>
      <c r="I233" s="245" t="s">
        <v>4439</v>
      </c>
      <c r="J233" s="265" t="str">
        <f>HYPERLINK("https://www.google.com/maps/search/Museu%20da%20Marinha%20Lisboa%20Portugal/@38.7167,-9.1333,17z","🏛 Museu da Marinha")</f>
        <v>🏛 Museu da Marinha</v>
      </c>
      <c r="K233" s="304" t="s">
        <v>4989</v>
      </c>
    </row>
    <row r="234" spans="1:11" ht="110" customHeight="1" x14ac:dyDescent="0.35">
      <c r="A234" s="340">
        <v>28</v>
      </c>
      <c r="B234" s="248" t="s">
        <v>5010</v>
      </c>
      <c r="C234" s="249" t="s">
        <v>913</v>
      </c>
      <c r="D234" s="248" t="s">
        <v>5011</v>
      </c>
      <c r="E234" s="248"/>
      <c r="F234" s="248"/>
      <c r="G234" s="248" t="s">
        <v>4437</v>
      </c>
      <c r="H234" s="248" t="s">
        <v>4438</v>
      </c>
      <c r="I234" s="248" t="s">
        <v>4439</v>
      </c>
      <c r="J234" s="266" t="str">
        <f>HYPERLINK("https://www.google.com/maps/search/Museu%20da%20Presid%C3%AAncia%20da%20Rep%C3%BAblica%20Lisboa%20Portugal/@38.7167,-9.1333,17z","🏛 Museu da Presidência da Rep…")</f>
        <v>🏛 Museu da Presidência da Rep…</v>
      </c>
      <c r="K234" s="305" t="s">
        <v>5012</v>
      </c>
    </row>
    <row r="235" spans="1:11" ht="110" customHeight="1" x14ac:dyDescent="0.35">
      <c r="A235" s="360">
        <v>29</v>
      </c>
      <c r="B235" s="245" t="s">
        <v>5013</v>
      </c>
      <c r="C235" s="246" t="s">
        <v>913</v>
      </c>
      <c r="D235" s="245" t="s">
        <v>5014</v>
      </c>
      <c r="E235" s="245"/>
      <c r="F235" s="245"/>
      <c r="G235" s="245" t="s">
        <v>4374</v>
      </c>
      <c r="H235" s="245" t="s">
        <v>4375</v>
      </c>
      <c r="I235" s="245" t="s">
        <v>4376</v>
      </c>
      <c r="J235" s="265" t="str">
        <f>HYPERLINK("https://www.google.com/maps/search/Museu%20da%20%C3%81gua%20Lisboa%20Portugal/@38.7167,-9.1333,17z","🏛 Museu da Água")</f>
        <v>🏛 Museu da Água</v>
      </c>
      <c r="K235" s="304" t="s">
        <v>5015</v>
      </c>
    </row>
    <row r="236" spans="1:11" ht="110" customHeight="1" x14ac:dyDescent="0.35">
      <c r="A236" s="340">
        <v>30</v>
      </c>
      <c r="B236" s="248" t="s">
        <v>5016</v>
      </c>
      <c r="C236" s="249" t="s">
        <v>913</v>
      </c>
      <c r="D236" s="248" t="s">
        <v>5017</v>
      </c>
      <c r="E236" s="248"/>
      <c r="F236" s="248"/>
      <c r="G236" s="248" t="s">
        <v>4374</v>
      </c>
      <c r="H236" s="248" t="s">
        <v>4375</v>
      </c>
      <c r="I236" s="248" t="s">
        <v>4376</v>
      </c>
      <c r="J236" s="266" t="str">
        <f>HYPERLINK("https://www.google.com/maps/search/Museu%20Bordalo%20Pinheiro%20Campo%20Grande%20Portugal/@38.7167,-9.1333,17z","🏛 Museu Bordalo Pinheiro")</f>
        <v>🏛 Museu Bordalo Pinheiro</v>
      </c>
      <c r="K236" s="305" t="s">
        <v>5018</v>
      </c>
    </row>
    <row r="237" spans="1:11" ht="110" customHeight="1" x14ac:dyDescent="0.35">
      <c r="A237" s="360">
        <v>31</v>
      </c>
      <c r="B237" s="245" t="s">
        <v>4972</v>
      </c>
      <c r="C237" s="246" t="s">
        <v>913</v>
      </c>
      <c r="D237" s="245" t="s">
        <v>5019</v>
      </c>
      <c r="E237" s="245"/>
      <c r="F237" s="245"/>
      <c r="G237" s="245" t="s">
        <v>4374</v>
      </c>
      <c r="H237" s="245" t="s">
        <v>4375</v>
      </c>
      <c r="I237" s="245" t="s">
        <v>4376</v>
      </c>
      <c r="J237" s="265" t="str">
        <f>HYPERLINK("https://www.google.com/maps/search/Museu%20do%20Aljube%20%E2%80%94%20Resist%C3%AAncia%20e%20Liberdade%20Lisboa%20Portugal/@38.7167,-9.1333,17z","🏛 Museu do Aljube — Resistênc…")</f>
        <v>🏛 Museu do Aljube — Resistênc…</v>
      </c>
      <c r="K237" s="304" t="s">
        <v>4974</v>
      </c>
    </row>
    <row r="238" spans="1:11" ht="110" customHeight="1" x14ac:dyDescent="0.35">
      <c r="A238" s="340">
        <v>32</v>
      </c>
      <c r="B238" s="248" t="s">
        <v>5020</v>
      </c>
      <c r="C238" s="249" t="s">
        <v>913</v>
      </c>
      <c r="D238" s="248" t="s">
        <v>5021</v>
      </c>
      <c r="E238" s="248"/>
      <c r="F238" s="248"/>
      <c r="G238" s="248" t="s">
        <v>4531</v>
      </c>
      <c r="H238" s="248" t="s">
        <v>4532</v>
      </c>
      <c r="I238" s="248" t="s">
        <v>4533</v>
      </c>
      <c r="J238" s="266" t="str">
        <f>HYPERLINK("https://www.google.com/maps/search/Museu%20Benfica%20%E2%80%94%20Cosme%20Dami%C3%A3o%20Lisboa%20Portugal/@38.7167,-9.1333,17z","🏛 Museu Benfica — Cosme Damião")</f>
        <v>🏛 Museu Benfica — Cosme Damião</v>
      </c>
      <c r="K238" s="305" t="s">
        <v>5022</v>
      </c>
    </row>
    <row r="239" spans="1:11" ht="110" customHeight="1" x14ac:dyDescent="0.35">
      <c r="A239" s="360">
        <v>33</v>
      </c>
      <c r="B239" s="245" t="s">
        <v>5023</v>
      </c>
      <c r="C239" s="246" t="s">
        <v>913</v>
      </c>
      <c r="D239" s="245" t="s">
        <v>5024</v>
      </c>
      <c r="E239" s="245"/>
      <c r="F239" s="245"/>
      <c r="G239" s="245" t="s">
        <v>4531</v>
      </c>
      <c r="H239" s="245" t="s">
        <v>4532</v>
      </c>
      <c r="I239" s="245" t="s">
        <v>4533</v>
      </c>
      <c r="J239" s="265" t="str">
        <f>HYPERLINK("https://www.google.com/maps/search/Museu%20Sporting%20Est%C3%A1dio%20Jos%C3%A9%20Alvalade%2C%20Portugal/@38.7167,-9.1333,17z","🏛 Museu Sporting")</f>
        <v>🏛 Museu Sporting</v>
      </c>
      <c r="K239" s="304" t="s">
        <v>5025</v>
      </c>
    </row>
    <row r="240" spans="1:11" ht="110" customHeight="1" x14ac:dyDescent="0.35">
      <c r="A240" s="340">
        <v>34</v>
      </c>
      <c r="B240" s="248" t="s">
        <v>5026</v>
      </c>
      <c r="C240" s="249" t="s">
        <v>913</v>
      </c>
      <c r="D240" s="248" t="s">
        <v>5027</v>
      </c>
      <c r="E240" s="248"/>
      <c r="F240" s="248"/>
      <c r="G240" s="248" t="s">
        <v>4374</v>
      </c>
      <c r="H240" s="248" t="s">
        <v>4375</v>
      </c>
      <c r="I240" s="248" t="s">
        <v>4376</v>
      </c>
      <c r="J240" s="266" t="str">
        <f>HYPERLINK("https://www.google.com/maps/search/Museu%20Arqueol%C3%B3gico%20de%20S%C3%A3o%20Miguel%20de%20Odrinhas%20Estrada%20de%20S%C3%A3o%20Miguel%20Portugal/@38.8017,-9.3847,17z","🏛 Museu Arqueológico de São M…")</f>
        <v>🏛 Museu Arqueológico de São M…</v>
      </c>
      <c r="K240" s="305" t="s">
        <v>5028</v>
      </c>
    </row>
    <row r="241" spans="1:11" ht="110" customHeight="1" x14ac:dyDescent="0.35">
      <c r="A241" s="360">
        <v>35</v>
      </c>
      <c r="B241" s="245" t="s">
        <v>5029</v>
      </c>
      <c r="C241" s="246" t="s">
        <v>913</v>
      </c>
      <c r="D241" s="245" t="s">
        <v>5030</v>
      </c>
      <c r="E241" s="245"/>
      <c r="F241" s="245"/>
      <c r="G241" s="245" t="s">
        <v>4374</v>
      </c>
      <c r="H241" s="245" t="s">
        <v>4375</v>
      </c>
      <c r="I241" s="245" t="s">
        <v>4376</v>
      </c>
      <c r="J241" s="265" t="str">
        <f>HYPERLINK("https://www.google.com/maps/search/Museu%20Municipal%20de%20Cascais%20%E2%80%94%20Pal%C3%A1cio%20da%20Cidadela%20Lisboa%20Portugal/@38.6979,-9.4211,17z","🏛 Museu Municipal de Cascais …")</f>
        <v>🏛 Museu Municipal de Cascais …</v>
      </c>
      <c r="K241" s="304" t="s">
        <v>5031</v>
      </c>
    </row>
    <row r="242" spans="1:11" ht="110" customHeight="1" x14ac:dyDescent="0.35">
      <c r="A242" s="340">
        <v>36</v>
      </c>
      <c r="B242" s="248" t="s">
        <v>4981</v>
      </c>
      <c r="C242" s="249" t="s">
        <v>913</v>
      </c>
      <c r="D242" s="248" t="s">
        <v>5032</v>
      </c>
      <c r="E242" s="248"/>
      <c r="F242" s="248"/>
      <c r="G242" s="248" t="s">
        <v>4374</v>
      </c>
      <c r="H242" s="248" t="s">
        <v>4375</v>
      </c>
      <c r="I242" s="248" t="s">
        <v>4376</v>
      </c>
      <c r="J242" s="266" t="str">
        <f>HYPERLINK("https://www.google.com/maps/search/Museu%20do%20Mar%20Rei%20D.%20Carlos%20Lisboa%20Portugal/@38.6979,-9.4211,17z","🏛 Museu do Mar Rei D. Carlos")</f>
        <v>🏛 Museu do Mar Rei D. Carlos</v>
      </c>
      <c r="K242" s="305" t="s">
        <v>4983</v>
      </c>
    </row>
    <row r="243" spans="1:11" ht="110" customHeight="1" x14ac:dyDescent="0.35">
      <c r="A243" s="360">
        <v>37</v>
      </c>
      <c r="B243" s="245" t="s">
        <v>4978</v>
      </c>
      <c r="C243" s="246" t="s">
        <v>913</v>
      </c>
      <c r="D243" s="245" t="s">
        <v>5033</v>
      </c>
      <c r="E243" s="245"/>
      <c r="F243" s="245"/>
      <c r="G243" s="245" t="s">
        <v>3697</v>
      </c>
      <c r="H243" s="245" t="s">
        <v>2944</v>
      </c>
      <c r="I243" s="245" t="s">
        <v>4384</v>
      </c>
      <c r="J243" s="265" t="str">
        <f>HYPERLINK("https://www.google.com/maps/search/Casa%20das%20Hist%C3%B3rias%20Paula%20Rego%20Lisboa%20Portugal/@38.6979,-9.4211,17z","🏛 Casa das Histórias Paula Rego")</f>
        <v>🏛 Casa das Histórias Paula Rego</v>
      </c>
      <c r="K243" s="304" t="s">
        <v>5034</v>
      </c>
    </row>
    <row r="244" spans="1:11" ht="110" customHeight="1" x14ac:dyDescent="0.35">
      <c r="A244" s="340">
        <v>38</v>
      </c>
      <c r="B244" s="248" t="s">
        <v>5035</v>
      </c>
      <c r="C244" s="249" t="s">
        <v>913</v>
      </c>
      <c r="D244" s="248" t="s">
        <v>5036</v>
      </c>
      <c r="E244" s="248"/>
      <c r="F244" s="248"/>
      <c r="G244" s="248" t="s">
        <v>4374</v>
      </c>
      <c r="H244" s="248" t="s">
        <v>4375</v>
      </c>
      <c r="I244" s="248" t="s">
        <v>4376</v>
      </c>
      <c r="J244" s="266" t="str">
        <f>HYPERLINK("https://www.google.com/maps/search/Museu%20Municipal%20de%20Almada%20Lisboa%20Portugal/@38.6753,-9.1636,17z","🏛 Museu Municipal de Almada")</f>
        <v>🏛 Museu Municipal de Almada</v>
      </c>
      <c r="K244" s="305" t="s">
        <v>5037</v>
      </c>
    </row>
    <row r="245" spans="1:11" ht="110" customHeight="1" x14ac:dyDescent="0.35">
      <c r="A245" s="360">
        <v>39</v>
      </c>
      <c r="B245" s="245" t="s">
        <v>5038</v>
      </c>
      <c r="C245" s="246" t="s">
        <v>913</v>
      </c>
      <c r="D245" s="245" t="s">
        <v>5039</v>
      </c>
      <c r="E245" s="245"/>
      <c r="F245" s="245"/>
      <c r="G245" s="245" t="s">
        <v>4374</v>
      </c>
      <c r="H245" s="245" t="s">
        <v>4375</v>
      </c>
      <c r="I245" s="245" t="s">
        <v>4376</v>
      </c>
      <c r="J245" s="265" t="str">
        <f>HYPERLINK("https://www.google.com/maps/search/Museu%20Municipal%20do%20Seixal%20Lisboa%20Portugal/@38.6383,-9.1058,17z","🏛 Museu Municipal do Seixal")</f>
        <v>🏛 Museu Municipal do Seixal</v>
      </c>
      <c r="K245" s="304" t="s">
        <v>5040</v>
      </c>
    </row>
    <row r="246" spans="1:11" ht="110" customHeight="1" x14ac:dyDescent="0.35">
      <c r="A246" s="340">
        <v>40</v>
      </c>
      <c r="B246" s="248" t="s">
        <v>5041</v>
      </c>
      <c r="C246" s="249" t="s">
        <v>913</v>
      </c>
      <c r="D246" s="248" t="s">
        <v>5042</v>
      </c>
      <c r="E246" s="248"/>
      <c r="F246" s="248"/>
      <c r="G246" s="248" t="s">
        <v>4374</v>
      </c>
      <c r="H246" s="248" t="s">
        <v>4375</v>
      </c>
      <c r="I246" s="248" t="s">
        <v>4376</v>
      </c>
      <c r="J246" s="266" t="str">
        <f>HYPERLINK("https://www.google.com/maps/search/Museu%20Municipal%20de%20Set%C3%BAbal%20Lisboa%20Portugal/@38.5278,-8.8931,17z","🏛 Museu Municipal de Setúbal")</f>
        <v>🏛 Museu Municipal de Setúbal</v>
      </c>
      <c r="K246" s="305" t="s">
        <v>5043</v>
      </c>
    </row>
    <row r="247" spans="1:11" ht="110" customHeight="1" x14ac:dyDescent="0.35">
      <c r="A247" s="360">
        <v>41</v>
      </c>
      <c r="B247" s="245" t="s">
        <v>5044</v>
      </c>
      <c r="C247" s="246" t="s">
        <v>913</v>
      </c>
      <c r="D247" s="245" t="s">
        <v>5045</v>
      </c>
      <c r="E247" s="245"/>
      <c r="F247" s="245"/>
      <c r="G247" s="245" t="s">
        <v>4374</v>
      </c>
      <c r="H247" s="245" t="s">
        <v>4375</v>
      </c>
      <c r="I247" s="245" t="s">
        <v>4376</v>
      </c>
      <c r="J247" s="265" t="str">
        <f>HYPERLINK("https://www.google.com/maps/search/Museu%20do%20Trabalho%20Michel%20Giacometti%20Lisboa%20Portugal/@38.5278,-8.8931,17z","🏛 Museu do Trabalho Michel Gi…")</f>
        <v>🏛 Museu do Trabalho Michel Gi…</v>
      </c>
      <c r="K247" s="304" t="s">
        <v>5046</v>
      </c>
    </row>
    <row r="248" spans="1:11" ht="110" customHeight="1" x14ac:dyDescent="0.35">
      <c r="A248" s="340">
        <v>42</v>
      </c>
      <c r="B248" s="248" t="s">
        <v>5047</v>
      </c>
      <c r="C248" s="249" t="s">
        <v>913</v>
      </c>
      <c r="D248" s="248" t="s">
        <v>5048</v>
      </c>
      <c r="E248" s="248"/>
      <c r="F248" s="248"/>
      <c r="G248" s="248" t="s">
        <v>5049</v>
      </c>
      <c r="H248" s="248" t="s">
        <v>4438</v>
      </c>
      <c r="I248" s="248" t="s">
        <v>4384</v>
      </c>
      <c r="J248" s="266" t="str">
        <f>HYPERLINK("https://www.google.com/maps/search/Museu%20Oceanogr%C3%A1fico%20do%20Portinho%20da%20Arr%C3%A1bida%20Portinho%20da%20Arr%C3%A1bida%2C%20Portugal/@38.5278,-8.8931,17z","🏛 Museu Oceanográfico do Port…")</f>
        <v>🏛 Museu Oceanográfico do Port…</v>
      </c>
      <c r="K248" s="305" t="s">
        <v>5050</v>
      </c>
    </row>
    <row r="249" spans="1:11" ht="110" customHeight="1" x14ac:dyDescent="0.35">
      <c r="A249" s="360">
        <v>43</v>
      </c>
      <c r="B249" s="245" t="s">
        <v>5051</v>
      </c>
      <c r="C249" s="246" t="s">
        <v>913</v>
      </c>
      <c r="D249" s="245" t="s">
        <v>5052</v>
      </c>
      <c r="E249" s="245"/>
      <c r="F249" s="245"/>
      <c r="G249" s="245" t="s">
        <v>4374</v>
      </c>
      <c r="H249" s="245" t="s">
        <v>4375</v>
      </c>
      <c r="I249" s="245" t="s">
        <v>4376</v>
      </c>
      <c r="J249" s="265" t="str">
        <f>HYPERLINK("https://www.google.com/maps/search/Museu%20Municipal%20de%20Palmela%20Castelo%20de%20Palmela%2C%20Portugal/@38.5683,-8.9044,17z","🏛 Museu Municipal de Palmela")</f>
        <v>🏛 Museu Municipal de Palmela</v>
      </c>
      <c r="K249" s="304" t="s">
        <v>5053</v>
      </c>
    </row>
    <row r="250" spans="1:11" ht="110" customHeight="1" x14ac:dyDescent="0.35">
      <c r="A250" s="340">
        <v>44</v>
      </c>
      <c r="B250" s="248" t="s">
        <v>5054</v>
      </c>
      <c r="C250" s="249" t="s">
        <v>913</v>
      </c>
      <c r="D250" s="248" t="s">
        <v>5055</v>
      </c>
      <c r="E250" s="248"/>
      <c r="F250" s="248"/>
      <c r="G250" s="248" t="s">
        <v>4374</v>
      </c>
      <c r="H250" s="248" t="s">
        <v>4375</v>
      </c>
      <c r="I250" s="248" t="s">
        <v>4376</v>
      </c>
      <c r="J250" s="266" t="str">
        <f>HYPERLINK("https://www.google.com/maps/search/Museu%20Municipal%20de%20Sesimbra%20Lisboa%20Portugal/@38.4439,-9.0997,17z","🏛 Museu Municipal de Sesimbra")</f>
        <v>🏛 Museu Municipal de Sesimbra</v>
      </c>
      <c r="K250" s="305" t="s">
        <v>5056</v>
      </c>
    </row>
    <row r="251" spans="1:11" ht="110" customHeight="1" x14ac:dyDescent="0.35">
      <c r="A251" s="360">
        <v>45</v>
      </c>
      <c r="B251" s="245" t="s">
        <v>5057</v>
      </c>
      <c r="C251" s="246" t="s">
        <v>913</v>
      </c>
      <c r="D251" s="245" t="s">
        <v>5058</v>
      </c>
      <c r="E251" s="245"/>
      <c r="F251" s="245"/>
      <c r="G251" s="245" t="s">
        <v>4374</v>
      </c>
      <c r="H251" s="245" t="s">
        <v>4375</v>
      </c>
      <c r="I251" s="245" t="s">
        <v>4376</v>
      </c>
      <c r="J251" s="265" t="str">
        <f>HYPERLINK("https://www.google.com/maps/search/Museu%20Mar%C3%ADtimo%20de%20Sesimbra%20Lisboa%20Portugal/@38.4439,-9.0997,17z","🏛 Museu Marítimo de Sesimbra")</f>
        <v>🏛 Museu Marítimo de Sesimbra</v>
      </c>
      <c r="K251" s="304" t="s">
        <v>5059</v>
      </c>
    </row>
    <row r="252" spans="1:11" ht="110" customHeight="1" x14ac:dyDescent="0.35">
      <c r="A252" s="340">
        <v>46</v>
      </c>
      <c r="B252" s="248" t="s">
        <v>5060</v>
      </c>
      <c r="C252" s="249" t="s">
        <v>913</v>
      </c>
      <c r="D252" s="248" t="s">
        <v>5061</v>
      </c>
      <c r="E252" s="248"/>
      <c r="F252" s="248"/>
      <c r="G252" s="248" t="s">
        <v>4374</v>
      </c>
      <c r="H252" s="248" t="s">
        <v>4375</v>
      </c>
      <c r="I252" s="248" t="s">
        <v>4376</v>
      </c>
      <c r="J252" s="266" t="str">
        <f>HYPERLINK("https://www.google.com/maps/search/Museu%20Municipal%20de%20Santar%C3%A9m%20Lisboa%20Portugal/@39.2369,-8.6872,17z","🏛 Museu Municipal de Santarém")</f>
        <v>🏛 Museu Municipal de Santarém</v>
      </c>
      <c r="K252" s="305" t="s">
        <v>5062</v>
      </c>
    </row>
    <row r="253" spans="1:11" ht="110" customHeight="1" x14ac:dyDescent="0.35">
      <c r="A253" s="360">
        <v>47</v>
      </c>
      <c r="B253" s="245" t="s">
        <v>5063</v>
      </c>
      <c r="C253" s="246" t="s">
        <v>913</v>
      </c>
      <c r="D253" s="245" t="s">
        <v>5064</v>
      </c>
      <c r="E253" s="245"/>
      <c r="F253" s="245"/>
      <c r="G253" s="245" t="s">
        <v>4374</v>
      </c>
      <c r="H253" s="245" t="s">
        <v>4375</v>
      </c>
      <c r="I253" s="245" t="s">
        <v>4376</v>
      </c>
      <c r="J253" s="265" t="str">
        <f>HYPERLINK("https://www.google.com/maps/search/Museu%20Municipal%20de%20Tomar%20Lisboa%20Portugal/@39.6036,-8.4186,17z","🏛 Museu Municipal de Tomar")</f>
        <v>🏛 Museu Municipal de Tomar</v>
      </c>
      <c r="K253" s="304" t="s">
        <v>5065</v>
      </c>
    </row>
    <row r="254" spans="1:11" ht="110" customHeight="1" x14ac:dyDescent="0.35">
      <c r="A254" s="340">
        <v>48</v>
      </c>
      <c r="B254" s="248" t="s">
        <v>5066</v>
      </c>
      <c r="C254" s="249" t="s">
        <v>913</v>
      </c>
      <c r="D254" s="248" t="s">
        <v>5067</v>
      </c>
      <c r="E254" s="248"/>
      <c r="F254" s="248"/>
      <c r="G254" s="248" t="s">
        <v>4531</v>
      </c>
      <c r="H254" s="248" t="s">
        <v>4532</v>
      </c>
      <c r="I254" s="248" t="s">
        <v>4533</v>
      </c>
      <c r="J254" s="266" t="str">
        <f>HYPERLINK("https://www.google.com/maps/search/Museu%20dos%20F%C3%B3sforos%20Convento%20de%20S%C3%A3o%20Francisco%2C%20Portugal/@39.6036,-8.4186,17z","🏛 Museu dos Fósforos")</f>
        <v>🏛 Museu dos Fósforos</v>
      </c>
      <c r="K254" s="305" t="s">
        <v>5068</v>
      </c>
    </row>
    <row r="255" spans="1:11" ht="110" customHeight="1" x14ac:dyDescent="0.35">
      <c r="A255" s="360">
        <v>49</v>
      </c>
      <c r="B255" s="245" t="s">
        <v>5069</v>
      </c>
      <c r="C255" s="246" t="s">
        <v>913</v>
      </c>
      <c r="D255" s="245" t="s">
        <v>5070</v>
      </c>
      <c r="E255" s="245"/>
      <c r="F255" s="245"/>
      <c r="G255" s="245" t="s">
        <v>4374</v>
      </c>
      <c r="H255" s="245" t="s">
        <v>4375</v>
      </c>
      <c r="I255" s="245" t="s">
        <v>4376</v>
      </c>
      <c r="J255" s="265" t="str">
        <f>HYPERLINK("https://www.google.com/maps/search/Museu%20Municipal%20de%20Torres%20Novas%20Lisboa%20Portugal/@39.4811,-8.5411,17z","🏛 Museu Municipal de Torres N…")</f>
        <v>🏛 Museu Municipal de Torres N…</v>
      </c>
      <c r="K255" s="304" t="s">
        <v>5071</v>
      </c>
    </row>
    <row r="256" spans="1:11" ht="110" customHeight="1" x14ac:dyDescent="0.35">
      <c r="A256" s="340">
        <v>50</v>
      </c>
      <c r="B256" s="248" t="s">
        <v>5072</v>
      </c>
      <c r="C256" s="249" t="s">
        <v>913</v>
      </c>
      <c r="D256" s="248" t="s">
        <v>5073</v>
      </c>
      <c r="E256" s="248"/>
      <c r="F256" s="248"/>
      <c r="G256" s="248" t="s">
        <v>4374</v>
      </c>
      <c r="H256" s="248" t="s">
        <v>4375</v>
      </c>
      <c r="I256" s="248" t="s">
        <v>4376</v>
      </c>
      <c r="J256" s="266" t="str">
        <f>HYPERLINK("https://www.google.com/maps/search/Museu%20Municipal%20de%20Abrantes%20Lisboa%20Portugal/@39.4622,-8.1986,17z","🏛 Museu Municipal de Abrantes")</f>
        <v>🏛 Museu Municipal de Abrantes</v>
      </c>
      <c r="K256" s="305" t="s">
        <v>5074</v>
      </c>
    </row>
    <row r="257" spans="1:11" ht="110" customHeight="1" x14ac:dyDescent="0.35">
      <c r="A257" s="360">
        <v>51</v>
      </c>
      <c r="B257" s="245" t="s">
        <v>5075</v>
      </c>
      <c r="C257" s="246" t="s">
        <v>913</v>
      </c>
      <c r="D257" s="245" t="s">
        <v>5076</v>
      </c>
      <c r="E257" s="245"/>
      <c r="F257" s="245"/>
      <c r="G257" s="245" t="s">
        <v>4374</v>
      </c>
      <c r="H257" s="245" t="s">
        <v>4375</v>
      </c>
      <c r="I257" s="245" t="s">
        <v>4376</v>
      </c>
      <c r="J257" s="265" t="str">
        <f>HYPERLINK("https://www.google.com/maps/search/Museu%20da%20Casa-Est%C3%BAdio%20Carlos%20Relvas%20Lisboa%20Portugal/@39.3997,-8.4897,17z","🏛 Museu da Casa-Estúdio Carlo…")</f>
        <v>🏛 Museu da Casa-Estúdio Carlo…</v>
      </c>
      <c r="K257" s="304" t="s">
        <v>5077</v>
      </c>
    </row>
    <row r="258" spans="1:11" ht="110" customHeight="1" x14ac:dyDescent="0.35">
      <c r="A258" s="340">
        <v>52</v>
      </c>
      <c r="B258" s="248" t="s">
        <v>5078</v>
      </c>
      <c r="C258" s="249" t="s">
        <v>913</v>
      </c>
      <c r="D258" s="248" t="s">
        <v>5079</v>
      </c>
      <c r="E258" s="248"/>
      <c r="F258" s="248"/>
      <c r="G258" s="248" t="s">
        <v>4374</v>
      </c>
      <c r="H258" s="248" t="s">
        <v>4375</v>
      </c>
      <c r="I258" s="248" t="s">
        <v>4376</v>
      </c>
      <c r="J258" s="266" t="str">
        <f>HYPERLINK("https://www.google.com/maps/search/Museu%20Municipal%20do%20Cartaxo%20Lisboa%20Portugal/@39.1558,-8.7817,17z","🏛 Museu Municipal do Cartaxo")</f>
        <v>🏛 Museu Municipal do Cartaxo</v>
      </c>
      <c r="K258" s="305" t="s">
        <v>5080</v>
      </c>
    </row>
    <row r="259" spans="1:11" ht="110" customHeight="1" x14ac:dyDescent="0.35">
      <c r="A259" s="360">
        <v>53</v>
      </c>
      <c r="B259" s="245" t="s">
        <v>5081</v>
      </c>
      <c r="C259" s="246" t="s">
        <v>913</v>
      </c>
      <c r="D259" s="245" t="s">
        <v>5082</v>
      </c>
      <c r="E259" s="245"/>
      <c r="F259" s="245"/>
      <c r="G259" s="245" t="s">
        <v>4374</v>
      </c>
      <c r="H259" s="245" t="s">
        <v>4375</v>
      </c>
      <c r="I259" s="245" t="s">
        <v>4376</v>
      </c>
      <c r="J259" s="265" t="str">
        <f>HYPERLINK("https://www.google.com/maps/search/Museu%20Municipal%20de%20Alpiar%C3%A7a%20%E2%80%94%20Casa%20dos%20Patudos%20Lisboa%20Portugal/@39.2619,-8.5814,17z","🏛 Museu Municipal de Alpiarça…")</f>
        <v>🏛 Museu Municipal de Alpiarça…</v>
      </c>
      <c r="K259" s="304" t="s">
        <v>5083</v>
      </c>
    </row>
    <row r="260" spans="1:11" ht="22" customHeight="1" x14ac:dyDescent="0.35">
      <c r="A260" s="1478" t="s">
        <v>5084</v>
      </c>
      <c r="B260" s="1313"/>
      <c r="C260" s="1313"/>
      <c r="D260" s="1313"/>
      <c r="E260" s="1313"/>
      <c r="F260" s="1313"/>
      <c r="G260" s="1313"/>
      <c r="H260" s="1313"/>
      <c r="I260" s="1313"/>
      <c r="J260" s="1313"/>
      <c r="K260" s="1313"/>
    </row>
    <row r="261" spans="1:11" ht="110" customHeight="1" x14ac:dyDescent="0.35">
      <c r="A261" s="346">
        <v>1</v>
      </c>
      <c r="B261" s="267" t="s">
        <v>5085</v>
      </c>
      <c r="C261" s="268" t="s">
        <v>853</v>
      </c>
      <c r="D261" s="267" t="s">
        <v>5086</v>
      </c>
      <c r="E261" s="267"/>
      <c r="F261" s="267" t="s">
        <v>5087</v>
      </c>
      <c r="G261" s="267" t="s">
        <v>4437</v>
      </c>
      <c r="H261" s="267" t="s">
        <v>4438</v>
      </c>
      <c r="I261" s="267" t="s">
        <v>4439</v>
      </c>
      <c r="J261" s="288" t="str">
        <f>HYPERLINK("https://www.google.com/maps/search/Museu%20Nacional%20Frei%20Manuel%20do%20Cen%C3%A1culo%20Alentejo%20Portugal/@38.5738,-7.9078,17z","🏛 Museu Nacional Frei Manuel …")</f>
        <v>🏛 Museu Nacional Frei Manuel …</v>
      </c>
      <c r="K261" s="305" t="s">
        <v>5088</v>
      </c>
    </row>
    <row r="262" spans="1:11" ht="110" customHeight="1" x14ac:dyDescent="0.35">
      <c r="A262" s="362">
        <v>2</v>
      </c>
      <c r="B262" s="270" t="s">
        <v>5089</v>
      </c>
      <c r="C262" s="271" t="s">
        <v>853</v>
      </c>
      <c r="D262" s="270" t="s">
        <v>5090</v>
      </c>
      <c r="E262" s="270"/>
      <c r="F262" s="270" t="s">
        <v>4653</v>
      </c>
      <c r="G262" s="270" t="s">
        <v>4531</v>
      </c>
      <c r="H262" s="270" t="s">
        <v>4532</v>
      </c>
      <c r="I262" s="270" t="s">
        <v>4533</v>
      </c>
      <c r="J262" s="289" t="str">
        <f>HYPERLINK("https://www.google.com/maps/search/Museu%20das%20Tape%C3%A7arias%20de%20Portalegre%20Alentejo%20Portugal/@39.2972,-7.4286,17z","🏛 Museu das Tapeçarias de Por…")</f>
        <v>🏛 Museu das Tapeçarias de Por…</v>
      </c>
      <c r="K262" s="304" t="s">
        <v>5091</v>
      </c>
    </row>
    <row r="263" spans="1:11" ht="110" customHeight="1" x14ac:dyDescent="0.35">
      <c r="A263" s="346">
        <v>3</v>
      </c>
      <c r="B263" s="267" t="s">
        <v>5092</v>
      </c>
      <c r="C263" s="268" t="s">
        <v>853</v>
      </c>
      <c r="D263" s="267" t="s">
        <v>5093</v>
      </c>
      <c r="E263" s="267"/>
      <c r="F263" s="267" t="s">
        <v>4524</v>
      </c>
      <c r="G263" s="267" t="s">
        <v>4374</v>
      </c>
      <c r="H263" s="267" t="s">
        <v>4375</v>
      </c>
      <c r="I263" s="267" t="s">
        <v>4376</v>
      </c>
      <c r="J263" s="288" t="str">
        <f>HYPERLINK("https://www.google.com/maps/search/Museu%20do%20Cante%20Alentejo%20Portugal/@37.944,-7.5994,17z","🏛 Museu do Cante")</f>
        <v>🏛 Museu do Cante</v>
      </c>
      <c r="K263" s="305" t="s">
        <v>5094</v>
      </c>
    </row>
    <row r="264" spans="1:11" ht="110" customHeight="1" x14ac:dyDescent="0.35">
      <c r="A264" s="362">
        <v>4</v>
      </c>
      <c r="B264" s="270" t="s">
        <v>5095</v>
      </c>
      <c r="C264" s="271" t="s">
        <v>853</v>
      </c>
      <c r="D264" s="270" t="s">
        <v>5096</v>
      </c>
      <c r="E264" s="270"/>
      <c r="F264" s="270" t="s">
        <v>4559</v>
      </c>
      <c r="G264" s="270" t="s">
        <v>4374</v>
      </c>
      <c r="H264" s="270" t="s">
        <v>4375</v>
      </c>
      <c r="I264" s="270" t="s">
        <v>4376</v>
      </c>
      <c r="J264" s="289" t="str">
        <f>HYPERLINK("https://www.google.com/maps/search/Museu%20de%20Arte%20Contempor%C3%A2nea%20de%20Elvas%20%E2%80%94%20MACE%20Alentejo%20Portugal/@38.8805,-7.1655,17z","🏛 Museu de Arte Contemporânea…")</f>
        <v>🏛 Museu de Arte Contemporânea…</v>
      </c>
      <c r="K264" s="304" t="s">
        <v>5097</v>
      </c>
    </row>
    <row r="265" spans="1:11" ht="110" customHeight="1" x14ac:dyDescent="0.35">
      <c r="A265" s="346">
        <v>5</v>
      </c>
      <c r="B265" s="267" t="s">
        <v>5098</v>
      </c>
      <c r="C265" s="268" t="s">
        <v>853</v>
      </c>
      <c r="D265" s="267" t="s">
        <v>5099</v>
      </c>
      <c r="E265" s="267"/>
      <c r="F265" s="267" t="s">
        <v>5100</v>
      </c>
      <c r="G265" s="267" t="s">
        <v>4374</v>
      </c>
      <c r="H265" s="267" t="s">
        <v>4375</v>
      </c>
      <c r="I265" s="267" t="s">
        <v>4376</v>
      </c>
      <c r="J265" s="288" t="str">
        <f>HYPERLINK("https://www.google.com/maps/search/Museu%20da%20Sinagoga%20de%20Castelo%20de%20Vide%20Alentejo%20Portugal/@39.4145,-7.4548,17z","🏛 Museu da Sinagoga de Castel…")</f>
        <v>🏛 Museu da Sinagoga de Castel…</v>
      </c>
      <c r="K265" s="305" t="s">
        <v>5101</v>
      </c>
    </row>
    <row r="266" spans="1:11" ht="110" customHeight="1" x14ac:dyDescent="0.35">
      <c r="A266" s="362">
        <v>6</v>
      </c>
      <c r="B266" s="270" t="s">
        <v>5102</v>
      </c>
      <c r="C266" s="271" t="s">
        <v>853</v>
      </c>
      <c r="D266" s="270" t="s">
        <v>5103</v>
      </c>
      <c r="E266" s="270"/>
      <c r="F266" s="270" t="s">
        <v>1101</v>
      </c>
      <c r="G266" s="270" t="s">
        <v>4374</v>
      </c>
      <c r="H266" s="270" t="s">
        <v>4375</v>
      </c>
      <c r="I266" s="270" t="s">
        <v>4376</v>
      </c>
      <c r="J266" s="289" t="str">
        <f>HYPERLINK("https://www.google.com/maps/search/Fluvi%C3%A1rio%20de%20Mora%20Parque%20Ecol%C3%B3gico%20do%20Gameiro%2C%20Mora%20Portugal/@38.9375,-8.159,17z","🏛 Fluviário de Mora")</f>
        <v>🏛 Fluviário de Mora</v>
      </c>
      <c r="K266" s="304" t="s">
        <v>5104</v>
      </c>
    </row>
    <row r="267" spans="1:11" ht="110" customHeight="1" x14ac:dyDescent="0.35">
      <c r="A267" s="346">
        <v>7</v>
      </c>
      <c r="B267" s="267" t="s">
        <v>5105</v>
      </c>
      <c r="C267" s="268" t="s">
        <v>853</v>
      </c>
      <c r="D267" s="267" t="s">
        <v>5106</v>
      </c>
      <c r="E267" s="267"/>
      <c r="F267" s="267"/>
      <c r="G267" s="267" t="s">
        <v>3697</v>
      </c>
      <c r="H267" s="267" t="s">
        <v>2944</v>
      </c>
      <c r="I267" s="267" t="s">
        <v>4384</v>
      </c>
      <c r="J267" s="288" t="str">
        <f>HYPERLINK("https://www.google.com/maps/search/Museu%20Municipal%20de%20Vila%20Vi%C3%A7osa%20Pa%C3%A7o%20Ducal%2C%20Portugal/@38.7788,-7.4147,17z","🏛 Museu Municipal de Vila Viç…")</f>
        <v>🏛 Museu Municipal de Vila Viç…</v>
      </c>
      <c r="K267" s="305" t="s">
        <v>5107</v>
      </c>
    </row>
    <row r="268" spans="1:11" ht="110" customHeight="1" x14ac:dyDescent="0.35">
      <c r="A268" s="362">
        <v>8</v>
      </c>
      <c r="B268" s="270" t="s">
        <v>5108</v>
      </c>
      <c r="C268" s="271" t="s">
        <v>853</v>
      </c>
      <c r="D268" s="270" t="s">
        <v>5109</v>
      </c>
      <c r="E268" s="270"/>
      <c r="F268" s="270"/>
      <c r="G268" s="270" t="s">
        <v>4374</v>
      </c>
      <c r="H268" s="270" t="s">
        <v>4375</v>
      </c>
      <c r="I268" s="270" t="s">
        <v>4376</v>
      </c>
      <c r="J268" s="289" t="str">
        <f>HYPERLINK("https://www.google.com/maps/search/Museu%20do%20M%C3%A1rmore%20Alentejo%20Portugal/@38.7788,-7.4147,17z","🏛 Museu do Mármore")</f>
        <v>🏛 Museu do Mármore</v>
      </c>
      <c r="K268" s="304" t="s">
        <v>5110</v>
      </c>
    </row>
    <row r="269" spans="1:11" ht="110" customHeight="1" x14ac:dyDescent="0.35">
      <c r="A269" s="346">
        <v>9</v>
      </c>
      <c r="B269" s="267" t="s">
        <v>5111</v>
      </c>
      <c r="C269" s="268" t="s">
        <v>853</v>
      </c>
      <c r="D269" s="267" t="s">
        <v>5112</v>
      </c>
      <c r="E269" s="267"/>
      <c r="F269" s="267"/>
      <c r="G269" s="267" t="s">
        <v>4374</v>
      </c>
      <c r="H269" s="267" t="s">
        <v>4375</v>
      </c>
      <c r="I269" s="267" t="s">
        <v>4376</v>
      </c>
      <c r="J269" s="288" t="str">
        <f>HYPERLINK("https://www.google.com/maps/search/Museu%20Municipal%20de%20Redondo%20Alentejo%20Portugal/@38.6442,-7.5417,17z","🏛 Museu Municipal de Redondo")</f>
        <v>🏛 Museu Municipal de Redondo</v>
      </c>
      <c r="K269" s="305" t="s">
        <v>5113</v>
      </c>
    </row>
    <row r="270" spans="1:11" ht="110" customHeight="1" x14ac:dyDescent="0.35">
      <c r="A270" s="362">
        <v>10</v>
      </c>
      <c r="B270" s="270" t="s">
        <v>5114</v>
      </c>
      <c r="C270" s="271" t="s">
        <v>853</v>
      </c>
      <c r="D270" s="270" t="s">
        <v>5115</v>
      </c>
      <c r="E270" s="270"/>
      <c r="F270" s="270"/>
      <c r="G270" s="270" t="s">
        <v>4374</v>
      </c>
      <c r="H270" s="270" t="s">
        <v>4375</v>
      </c>
      <c r="I270" s="270" t="s">
        <v>4376</v>
      </c>
      <c r="J270" s="289" t="str">
        <f>HYPERLINK("https://www.google.com/maps/search/Museu%20do%20Barro%20de%20Redondo%20Alentejo%20Portugal/@38.6442,-7.5417,17z","🏛 Museu do Barro de Redondo")</f>
        <v>🏛 Museu do Barro de Redondo</v>
      </c>
      <c r="K270" s="304" t="s">
        <v>4397</v>
      </c>
    </row>
    <row r="271" spans="1:11" ht="110" customHeight="1" x14ac:dyDescent="0.35">
      <c r="A271" s="346">
        <v>11</v>
      </c>
      <c r="B271" s="267" t="s">
        <v>5116</v>
      </c>
      <c r="C271" s="268" t="s">
        <v>853</v>
      </c>
      <c r="D271" s="267" t="s">
        <v>5117</v>
      </c>
      <c r="E271" s="267"/>
      <c r="F271" s="267"/>
      <c r="G271" s="267" t="s">
        <v>4374</v>
      </c>
      <c r="H271" s="267" t="s">
        <v>4375</v>
      </c>
      <c r="I271" s="267" t="s">
        <v>4376</v>
      </c>
      <c r="J271" s="288" t="str">
        <f>HYPERLINK("https://www.google.com/maps/search/Museu%20Municipal%20de%20Reguengos%20de%20Monsaraz%20Alentejo%20Portugal/@38.4192,-7.5394,17z","🏛 Museu Municipal de Reguengo…")</f>
        <v>🏛 Museu Municipal de Reguengo…</v>
      </c>
      <c r="K271" s="305" t="s">
        <v>5118</v>
      </c>
    </row>
    <row r="272" spans="1:11" ht="110" customHeight="1" x14ac:dyDescent="0.35">
      <c r="A272" s="362">
        <v>12</v>
      </c>
      <c r="B272" s="270" t="s">
        <v>5119</v>
      </c>
      <c r="C272" s="271" t="s">
        <v>853</v>
      </c>
      <c r="D272" s="270" t="s">
        <v>5120</v>
      </c>
      <c r="E272" s="270"/>
      <c r="F272" s="270"/>
      <c r="G272" s="270" t="s">
        <v>4531</v>
      </c>
      <c r="H272" s="270" t="s">
        <v>4532</v>
      </c>
      <c r="I272" s="270" t="s">
        <v>4533</v>
      </c>
      <c r="J272" s="289" t="str">
        <f>HYPERLINK("https://www.google.com/maps/search/Museu%20do%20Azeite%20Alentejo%20Portugal/@38.4192,-7.5394,17z","🏛 Museu do Azeite")</f>
        <v>🏛 Museu do Azeite</v>
      </c>
      <c r="K272" s="304" t="s">
        <v>5121</v>
      </c>
    </row>
    <row r="273" spans="1:11" ht="110" customHeight="1" x14ac:dyDescent="0.35">
      <c r="A273" s="346">
        <v>13</v>
      </c>
      <c r="B273" s="267" t="s">
        <v>5122</v>
      </c>
      <c r="C273" s="268" t="s">
        <v>853</v>
      </c>
      <c r="D273" s="267" t="s">
        <v>5123</v>
      </c>
      <c r="E273" s="267"/>
      <c r="F273" s="267"/>
      <c r="G273" s="267" t="s">
        <v>4374</v>
      </c>
      <c r="H273" s="267" t="s">
        <v>4375</v>
      </c>
      <c r="I273" s="267" t="s">
        <v>4376</v>
      </c>
      <c r="J273" s="288" t="str">
        <f>HYPERLINK("https://www.google.com/maps/search/Museu%20Municipal%20de%20Mour%C3%A3o%20Alentejo%20Portugal/@38.3681,-7.3586,17z","🏛 Museu Municipal de Mourão")</f>
        <v>🏛 Museu Municipal de Mourão</v>
      </c>
      <c r="K273" s="305" t="s">
        <v>4930</v>
      </c>
    </row>
    <row r="274" spans="1:11" ht="110" customHeight="1" x14ac:dyDescent="0.35">
      <c r="A274" s="362">
        <v>14</v>
      </c>
      <c r="B274" s="270" t="s">
        <v>5124</v>
      </c>
      <c r="C274" s="271" t="s">
        <v>853</v>
      </c>
      <c r="D274" s="270" t="s">
        <v>5125</v>
      </c>
      <c r="E274" s="270"/>
      <c r="F274" s="270"/>
      <c r="G274" s="270" t="s">
        <v>4374</v>
      </c>
      <c r="H274" s="270" t="s">
        <v>4375</v>
      </c>
      <c r="I274" s="270" t="s">
        <v>4376</v>
      </c>
      <c r="J274" s="289" t="str">
        <f>HYPERLINK("https://www.google.com/maps/search/Museu%20Municipal%20de%20Alandroal%20Alentejo%20Portugal/@38.6594,-7.3917,17z","🏛 Museu Municipal de Alandroal")</f>
        <v>🏛 Museu Municipal de Alandroal</v>
      </c>
      <c r="K274" s="304" t="s">
        <v>4419</v>
      </c>
    </row>
    <row r="275" spans="1:11" ht="110" customHeight="1" x14ac:dyDescent="0.35">
      <c r="A275" s="346">
        <v>15</v>
      </c>
      <c r="B275" s="267" t="s">
        <v>5126</v>
      </c>
      <c r="C275" s="268" t="s">
        <v>853</v>
      </c>
      <c r="D275" s="267" t="s">
        <v>5127</v>
      </c>
      <c r="E275" s="267"/>
      <c r="F275" s="267"/>
      <c r="G275" s="267" t="s">
        <v>4374</v>
      </c>
      <c r="H275" s="267" t="s">
        <v>4375</v>
      </c>
      <c r="I275" s="267" t="s">
        <v>4376</v>
      </c>
      <c r="J275" s="288" t="str">
        <f>HYPERLINK("https://www.google.com/maps/search/Museu%20Municipal%20de%20Montemor-o-Novo%20Convento%20de%20S%C3%A3o%20Domingos%2C%20Portugal/@38.65,-8.2167,17z","🏛 Museu Municipal de Montemor…")</f>
        <v>🏛 Museu Municipal de Montemor…</v>
      </c>
      <c r="K275" s="305" t="s">
        <v>5128</v>
      </c>
    </row>
    <row r="276" spans="1:11" ht="110" customHeight="1" x14ac:dyDescent="0.35">
      <c r="A276" s="362">
        <v>16</v>
      </c>
      <c r="B276" s="270" t="s">
        <v>5129</v>
      </c>
      <c r="C276" s="271" t="s">
        <v>853</v>
      </c>
      <c r="D276" s="270" t="s">
        <v>5130</v>
      </c>
      <c r="E276" s="270"/>
      <c r="F276" s="270"/>
      <c r="G276" s="270" t="s">
        <v>4374</v>
      </c>
      <c r="H276" s="270" t="s">
        <v>4375</v>
      </c>
      <c r="I276" s="270" t="s">
        <v>4376</v>
      </c>
      <c r="J276" s="289" t="str">
        <f>HYPERLINK("https://www.google.com/maps/search/Museu%20Municipal%20de%20Vendas%20Novas%20Alentejo%20Portugal/@38.6778,-8.4553,17z","🏛 Museu Municipal de Vendas N…")</f>
        <v>🏛 Museu Municipal de Vendas N…</v>
      </c>
      <c r="K276" s="304" t="s">
        <v>5131</v>
      </c>
    </row>
    <row r="277" spans="1:11" ht="110" customHeight="1" x14ac:dyDescent="0.35">
      <c r="A277" s="346">
        <v>17</v>
      </c>
      <c r="B277" s="267" t="s">
        <v>5132</v>
      </c>
      <c r="C277" s="268" t="s">
        <v>853</v>
      </c>
      <c r="D277" s="267" t="s">
        <v>5133</v>
      </c>
      <c r="E277" s="267"/>
      <c r="F277" s="267"/>
      <c r="G277" s="267" t="s">
        <v>4374</v>
      </c>
      <c r="H277" s="267" t="s">
        <v>4375</v>
      </c>
      <c r="I277" s="267" t="s">
        <v>4376</v>
      </c>
      <c r="J277" s="288" t="str">
        <f>HYPERLINK("https://www.google.com/maps/search/Museu%20Municipal%20de%20Mora%20Alentejo%20Portugal/@38.9375,-8.1614,17z","🏛 Museu Municipal de Mora")</f>
        <v>🏛 Museu Municipal de Mora</v>
      </c>
      <c r="K277" s="305" t="s">
        <v>4886</v>
      </c>
    </row>
    <row r="278" spans="1:11" ht="110" customHeight="1" x14ac:dyDescent="0.35">
      <c r="A278" s="362">
        <v>18</v>
      </c>
      <c r="B278" s="270" t="s">
        <v>5102</v>
      </c>
      <c r="C278" s="271" t="s">
        <v>853</v>
      </c>
      <c r="D278" s="270" t="s">
        <v>5134</v>
      </c>
      <c r="E278" s="270"/>
      <c r="F278" s="270"/>
      <c r="G278" s="270" t="s">
        <v>4374</v>
      </c>
      <c r="H278" s="270" t="s">
        <v>4375</v>
      </c>
      <c r="I278" s="270" t="s">
        <v>4376</v>
      </c>
      <c r="J278" s="289" t="str">
        <f>HYPERLINK("https://www.google.com/maps/search/Fluvi%C3%A1rio%20de%20Mora%20Parque%20Ecol%C3%B3gico%20do%20Gameiro%2C%20Portugal/@38.9375,-8.1614,17z","🏛 Fluviário de Mora")</f>
        <v>🏛 Fluviário de Mora</v>
      </c>
      <c r="K278" s="304" t="s">
        <v>5104</v>
      </c>
    </row>
    <row r="279" spans="1:11" ht="110" customHeight="1" x14ac:dyDescent="0.35">
      <c r="A279" s="346">
        <v>19</v>
      </c>
      <c r="B279" s="267" t="s">
        <v>5135</v>
      </c>
      <c r="C279" s="268" t="s">
        <v>853</v>
      </c>
      <c r="D279" s="267" t="s">
        <v>5136</v>
      </c>
      <c r="E279" s="267"/>
      <c r="F279" s="267"/>
      <c r="G279" s="267" t="s">
        <v>4374</v>
      </c>
      <c r="H279" s="267" t="s">
        <v>4375</v>
      </c>
      <c r="I279" s="267" t="s">
        <v>4376</v>
      </c>
      <c r="J279" s="288" t="str">
        <f>HYPERLINK("https://www.google.com/maps/search/Museu%20Municipal%20de%20%C3%89vora%20Monte%20Castelo%20de%20Evoramonte%2C%20Portugal/@38.8442,-7.5881,17z","🏛 Museu Municipal de Évora Mo…")</f>
        <v>🏛 Museu Municipal de Évora Mo…</v>
      </c>
      <c r="K279" s="305" t="s">
        <v>5137</v>
      </c>
    </row>
    <row r="280" spans="1:11" ht="110" customHeight="1" x14ac:dyDescent="0.35">
      <c r="A280" s="362">
        <v>20</v>
      </c>
      <c r="B280" s="270" t="s">
        <v>5138</v>
      </c>
      <c r="C280" s="271" t="s">
        <v>853</v>
      </c>
      <c r="D280" s="270" t="s">
        <v>5139</v>
      </c>
      <c r="E280" s="270"/>
      <c r="F280" s="270"/>
      <c r="G280" s="270" t="s">
        <v>4374</v>
      </c>
      <c r="H280" s="270" t="s">
        <v>4375</v>
      </c>
      <c r="I280" s="270" t="s">
        <v>4376</v>
      </c>
      <c r="J280" s="289" t="str">
        <f>HYPERLINK("https://www.google.com/maps/search/Museu%20Municipal%20de%20Beja%20Alentejo%20Portugal/@38.0164,-7.8647,17z","🏛 Museu Municipal de Beja")</f>
        <v>🏛 Museu Municipal de Beja</v>
      </c>
      <c r="K280" s="304" t="s">
        <v>5140</v>
      </c>
    </row>
    <row r="281" spans="1:11" ht="110" customHeight="1" x14ac:dyDescent="0.35">
      <c r="A281" s="346">
        <v>21</v>
      </c>
      <c r="B281" s="267" t="s">
        <v>5141</v>
      </c>
      <c r="C281" s="268" t="s">
        <v>853</v>
      </c>
      <c r="D281" s="267" t="s">
        <v>5142</v>
      </c>
      <c r="E281" s="267"/>
      <c r="F281" s="267"/>
      <c r="G281" s="267" t="s">
        <v>4374</v>
      </c>
      <c r="H281" s="267" t="s">
        <v>4375</v>
      </c>
      <c r="I281" s="267" t="s">
        <v>4376</v>
      </c>
      <c r="J281" s="288" t="str">
        <f>HYPERLINK("https://www.google.com/maps/search/Museu%20Regional%20de%20Beja%20Convento%20da%20Concei%C3%A7%C3%A3o%2C%20Portugal/@38.0164,-7.8647,17z","🏛 Museu Regional de Beja")</f>
        <v>🏛 Museu Regional de Beja</v>
      </c>
      <c r="K281" s="305" t="s">
        <v>5143</v>
      </c>
    </row>
    <row r="282" spans="1:11" ht="110" customHeight="1" x14ac:dyDescent="0.35">
      <c r="A282" s="362">
        <v>22</v>
      </c>
      <c r="B282" s="270" t="s">
        <v>5144</v>
      </c>
      <c r="C282" s="271" t="s">
        <v>853</v>
      </c>
      <c r="D282" s="270" t="s">
        <v>5145</v>
      </c>
      <c r="E282" s="270"/>
      <c r="F282" s="270"/>
      <c r="G282" s="270" t="s">
        <v>4374</v>
      </c>
      <c r="H282" s="270" t="s">
        <v>4375</v>
      </c>
      <c r="I282" s="270" t="s">
        <v>4376</v>
      </c>
      <c r="J282" s="289" t="str">
        <f>HYPERLINK("https://www.google.com/maps/search/Museu%20Bot%C3%A2nico%20de%20Beja%20Alentejo%20Portugal/@38.0164,-7.8647,17z","🏛 Museu Botânico de Beja")</f>
        <v>🏛 Museu Botânico de Beja</v>
      </c>
      <c r="K282" s="304" t="s">
        <v>5146</v>
      </c>
    </row>
    <row r="283" spans="1:11" ht="110" customHeight="1" x14ac:dyDescent="0.35">
      <c r="A283" s="346">
        <v>23</v>
      </c>
      <c r="B283" s="267" t="s">
        <v>5147</v>
      </c>
      <c r="C283" s="268" t="s">
        <v>853</v>
      </c>
      <c r="D283" s="267" t="s">
        <v>5148</v>
      </c>
      <c r="E283" s="267"/>
      <c r="F283" s="267"/>
      <c r="G283" s="267" t="s">
        <v>4374</v>
      </c>
      <c r="H283" s="267" t="s">
        <v>4375</v>
      </c>
      <c r="I283" s="267" t="s">
        <v>4376</v>
      </c>
      <c r="J283" s="288" t="str">
        <f>HYPERLINK("https://www.google.com/maps/search/Museu%20Municipal%20de%20Serpa%20Alentejo%20Portugal/@37.9456,-7.5994,17z","🏛 Museu Municipal de Serpa")</f>
        <v>🏛 Museu Municipal de Serpa</v>
      </c>
      <c r="K283" s="305" t="s">
        <v>5149</v>
      </c>
    </row>
    <row r="284" spans="1:11" ht="110" customHeight="1" x14ac:dyDescent="0.35">
      <c r="A284" s="362">
        <v>24</v>
      </c>
      <c r="B284" s="270" t="s">
        <v>5092</v>
      </c>
      <c r="C284" s="271" t="s">
        <v>853</v>
      </c>
      <c r="D284" s="270" t="s">
        <v>5150</v>
      </c>
      <c r="E284" s="270"/>
      <c r="F284" s="270"/>
      <c r="G284" s="270" t="s">
        <v>4374</v>
      </c>
      <c r="H284" s="270" t="s">
        <v>4375</v>
      </c>
      <c r="I284" s="270" t="s">
        <v>4376</v>
      </c>
      <c r="J284" s="289" t="str">
        <f>HYPERLINK("https://www.google.com/maps/search/Museu%20do%20Cante%20Alentejo%20Portugal/@37.9456,-7.5994,17z","🏛 Museu do Cante")</f>
        <v>🏛 Museu do Cante</v>
      </c>
      <c r="K284" s="304" t="s">
        <v>5094</v>
      </c>
    </row>
    <row r="285" spans="1:11" ht="110" customHeight="1" x14ac:dyDescent="0.35">
      <c r="A285" s="346">
        <v>25</v>
      </c>
      <c r="B285" s="267" t="s">
        <v>5151</v>
      </c>
      <c r="C285" s="268" t="s">
        <v>853</v>
      </c>
      <c r="D285" s="267" t="s">
        <v>5152</v>
      </c>
      <c r="E285" s="267"/>
      <c r="F285" s="267"/>
      <c r="G285" s="267" t="s">
        <v>4374</v>
      </c>
      <c r="H285" s="267" t="s">
        <v>4375</v>
      </c>
      <c r="I285" s="267" t="s">
        <v>4376</v>
      </c>
      <c r="J285" s="288" t="str">
        <f>HYPERLINK("https://www.google.com/maps/search/Museu%20Municipal%20de%20Moura%20Alentejo%20Portugal/@38.1386,-7.4519,17z","🏛 Museu Municipal de Moura")</f>
        <v>🏛 Museu Municipal de Moura</v>
      </c>
      <c r="K285" s="305" t="s">
        <v>5153</v>
      </c>
    </row>
    <row r="286" spans="1:11" ht="110" customHeight="1" x14ac:dyDescent="0.35">
      <c r="A286" s="362">
        <v>26</v>
      </c>
      <c r="B286" s="270" t="s">
        <v>5154</v>
      </c>
      <c r="C286" s="271" t="s">
        <v>853</v>
      </c>
      <c r="D286" s="270" t="s">
        <v>5155</v>
      </c>
      <c r="E286" s="270"/>
      <c r="F286" s="270"/>
      <c r="G286" s="270" t="s">
        <v>4531</v>
      </c>
      <c r="H286" s="270" t="s">
        <v>4532</v>
      </c>
      <c r="I286" s="270" t="s">
        <v>4533</v>
      </c>
      <c r="J286" s="289" t="str">
        <f>HYPERLINK("https://www.google.com/maps/search/Museu%20do%20Azeite%20de%20Moura%20Alentejo%20Portugal/@38.1386,-7.4519,17z","🏛 Museu do Azeite de Moura")</f>
        <v>🏛 Museu do Azeite de Moura</v>
      </c>
      <c r="K286" s="304" t="s">
        <v>5156</v>
      </c>
    </row>
    <row r="287" spans="1:11" ht="110" customHeight="1" x14ac:dyDescent="0.35">
      <c r="A287" s="346">
        <v>27</v>
      </c>
      <c r="B287" s="267" t="s">
        <v>5157</v>
      </c>
      <c r="C287" s="268" t="s">
        <v>853</v>
      </c>
      <c r="D287" s="267" t="s">
        <v>5158</v>
      </c>
      <c r="E287" s="267"/>
      <c r="F287" s="267"/>
      <c r="G287" s="267" t="s">
        <v>4374</v>
      </c>
      <c r="H287" s="267" t="s">
        <v>4375</v>
      </c>
      <c r="I287" s="267" t="s">
        <v>4376</v>
      </c>
      <c r="J287" s="288" t="str">
        <f>HYPERLINK("https://www.google.com/maps/search/Museu%20Municipal%20de%20Barrancos%20Alentejo%20Portugal/@38.1411,-6.9803,17z","🏛 Museu Municipal de Barrancos")</f>
        <v>🏛 Museu Municipal de Barrancos</v>
      </c>
      <c r="K287" s="305" t="s">
        <v>4471</v>
      </c>
    </row>
    <row r="288" spans="1:11" ht="110" customHeight="1" x14ac:dyDescent="0.35">
      <c r="A288" s="362">
        <v>28</v>
      </c>
      <c r="B288" s="270" t="s">
        <v>5159</v>
      </c>
      <c r="C288" s="271" t="s">
        <v>853</v>
      </c>
      <c r="D288" s="270" t="s">
        <v>5160</v>
      </c>
      <c r="E288" s="270"/>
      <c r="F288" s="270"/>
      <c r="G288" s="270" t="s">
        <v>4374</v>
      </c>
      <c r="H288" s="270" t="s">
        <v>4375</v>
      </c>
      <c r="I288" s="270" t="s">
        <v>4376</v>
      </c>
      <c r="J288" s="289" t="str">
        <f>HYPERLINK("https://www.google.com/maps/search/Museu%20Municipal%20de%20Almod%C3%B4var%20Alentejo%20Portugal/@37.5125,-8.0578,17z","🏛 Museu Municipal de Almodôvar")</f>
        <v>🏛 Museu Municipal de Almodôvar</v>
      </c>
      <c r="K288" s="304" t="s">
        <v>4466</v>
      </c>
    </row>
    <row r="289" spans="1:11" ht="110" customHeight="1" x14ac:dyDescent="0.35">
      <c r="A289" s="346">
        <v>29</v>
      </c>
      <c r="B289" s="267" t="s">
        <v>5161</v>
      </c>
      <c r="C289" s="268" t="s">
        <v>853</v>
      </c>
      <c r="D289" s="267" t="s">
        <v>5162</v>
      </c>
      <c r="E289" s="267"/>
      <c r="F289" s="267"/>
      <c r="G289" s="267" t="s">
        <v>4374</v>
      </c>
      <c r="H289" s="267" t="s">
        <v>4375</v>
      </c>
      <c r="I289" s="267" t="s">
        <v>4376</v>
      </c>
      <c r="J289" s="288" t="str">
        <f>HYPERLINK("https://www.google.com/maps/search/Museu%20Municipal%20de%20Castro%20Verde%20Alentejo%20Portugal/@37.7008,-8.0819,17z","🏛 Museu Municipal de Castro V…")</f>
        <v>🏛 Museu Municipal de Castro V…</v>
      </c>
      <c r="K289" s="305" t="s">
        <v>5163</v>
      </c>
    </row>
    <row r="290" spans="1:11" ht="110" customHeight="1" x14ac:dyDescent="0.35">
      <c r="A290" s="362">
        <v>30</v>
      </c>
      <c r="B290" s="270" t="s">
        <v>5164</v>
      </c>
      <c r="C290" s="271" t="s">
        <v>853</v>
      </c>
      <c r="D290" s="270" t="s">
        <v>5165</v>
      </c>
      <c r="E290" s="270"/>
      <c r="F290" s="270"/>
      <c r="G290" s="270" t="s">
        <v>4374</v>
      </c>
      <c r="H290" s="270" t="s">
        <v>4375</v>
      </c>
      <c r="I290" s="270" t="s">
        <v>4376</v>
      </c>
      <c r="J290" s="289" t="str">
        <f>HYPERLINK("https://www.google.com/maps/search/Museu%20da%20Ruralidade%20Entradas%2C%20Portugal/@37.7008,-8.0819,17z","🏛 Museu da Ruralidade")</f>
        <v>🏛 Museu da Ruralidade</v>
      </c>
      <c r="K290" s="304" t="s">
        <v>5166</v>
      </c>
    </row>
    <row r="291" spans="1:11" ht="110" customHeight="1" x14ac:dyDescent="0.35">
      <c r="A291" s="346">
        <v>31</v>
      </c>
      <c r="B291" s="267" t="s">
        <v>5167</v>
      </c>
      <c r="C291" s="268" t="s">
        <v>853</v>
      </c>
      <c r="D291" s="267" t="s">
        <v>5168</v>
      </c>
      <c r="E291" s="267"/>
      <c r="F291" s="267"/>
      <c r="G291" s="267" t="s">
        <v>4374</v>
      </c>
      <c r="H291" s="267" t="s">
        <v>4375</v>
      </c>
      <c r="I291" s="267" t="s">
        <v>4376</v>
      </c>
      <c r="J291" s="288" t="str">
        <f>HYPERLINK("https://www.google.com/maps/search/Museu%20Municipal%20de%20Ourique%20Alentejo%20Portugal/@37.6514,-8.2278,17z","🏛 Museu Municipal de Ourique")</f>
        <v>🏛 Museu Municipal de Ourique</v>
      </c>
      <c r="K291" s="305" t="s">
        <v>4886</v>
      </c>
    </row>
    <row r="292" spans="1:11" ht="110" customHeight="1" x14ac:dyDescent="0.35">
      <c r="A292" s="362">
        <v>32</v>
      </c>
      <c r="B292" s="270" t="s">
        <v>5169</v>
      </c>
      <c r="C292" s="271" t="s">
        <v>853</v>
      </c>
      <c r="D292" s="270" t="s">
        <v>5170</v>
      </c>
      <c r="E292" s="270"/>
      <c r="F292" s="270"/>
      <c r="G292" s="270" t="s">
        <v>4374</v>
      </c>
      <c r="H292" s="270" t="s">
        <v>4375</v>
      </c>
      <c r="I292" s="270" t="s">
        <v>4376</v>
      </c>
      <c r="J292" s="289" t="str">
        <f>HYPERLINK("https://www.google.com/maps/search/Museu%20Municipal%20de%20Odemira%20Alentejo%20Portugal/@37.5981,-8.6461,17z","🏛 Museu Municipal de Odemira")</f>
        <v>🏛 Museu Municipal de Odemira</v>
      </c>
      <c r="K292" s="304" t="s">
        <v>4886</v>
      </c>
    </row>
    <row r="293" spans="1:11" ht="110" customHeight="1" x14ac:dyDescent="0.35">
      <c r="A293" s="346">
        <v>33</v>
      </c>
      <c r="B293" s="267" t="s">
        <v>5171</v>
      </c>
      <c r="C293" s="268" t="s">
        <v>853</v>
      </c>
      <c r="D293" s="267" t="s">
        <v>5172</v>
      </c>
      <c r="E293" s="267"/>
      <c r="F293" s="267"/>
      <c r="G293" s="267" t="s">
        <v>4374</v>
      </c>
      <c r="H293" s="267" t="s">
        <v>4375</v>
      </c>
      <c r="I293" s="267" t="s">
        <v>4376</v>
      </c>
      <c r="J293" s="288" t="str">
        <f>HYPERLINK("https://www.google.com/maps/search/Ecomuseu%20do%20Sudoeste%20Alentejano%20S%C3%A3o%20Teot%C3%B3nio%2C%20Portugal/@37.5981,-8.6461,17z","🏛 Ecomuseu do Sudoeste Alente…")</f>
        <v>🏛 Ecomuseu do Sudoeste Alente…</v>
      </c>
      <c r="K293" s="305" t="s">
        <v>5173</v>
      </c>
    </row>
    <row r="294" spans="1:11" ht="110" customHeight="1" x14ac:dyDescent="0.35">
      <c r="A294" s="362">
        <v>34</v>
      </c>
      <c r="B294" s="270" t="s">
        <v>5085</v>
      </c>
      <c r="C294" s="271" t="s">
        <v>853</v>
      </c>
      <c r="D294" s="270" t="s">
        <v>5174</v>
      </c>
      <c r="E294" s="270"/>
      <c r="F294" s="270"/>
      <c r="G294" s="270" t="s">
        <v>4437</v>
      </c>
      <c r="H294" s="270" t="s">
        <v>4438</v>
      </c>
      <c r="I294" s="270" t="s">
        <v>4439</v>
      </c>
      <c r="J294" s="289" t="str">
        <f>HYPERLINK("https://www.google.com/maps/search/Museu%20Nacional%20Frei%20Manuel%20do%20Cen%C3%A1culo%20Alentejo%20Portugal/@38.5714,-7.9086,17z","🏛 Museu Nacional Frei Manuel …")</f>
        <v>🏛 Museu Nacional Frei Manuel …</v>
      </c>
      <c r="K294" s="304" t="s">
        <v>5175</v>
      </c>
    </row>
    <row r="295" spans="1:11" ht="110" customHeight="1" x14ac:dyDescent="0.35">
      <c r="A295" s="346">
        <v>35</v>
      </c>
      <c r="B295" s="267" t="s">
        <v>5176</v>
      </c>
      <c r="C295" s="268" t="s">
        <v>853</v>
      </c>
      <c r="D295" s="267" t="s">
        <v>5177</v>
      </c>
      <c r="E295" s="267"/>
      <c r="F295" s="267"/>
      <c r="G295" s="267" t="s">
        <v>4374</v>
      </c>
      <c r="H295" s="267" t="s">
        <v>4375</v>
      </c>
      <c r="I295" s="267" t="s">
        <v>4376</v>
      </c>
      <c r="J295" s="288" t="str">
        <f>HYPERLINK("https://www.google.com/maps/search/Museu%20do%20Artesanato%20e%20do%20Design%20%E2%80%94%20MADE%20Alentejo%20Portugal/@38.5714,-7.9086,17z","🏛 Museu do Artesanato e do De…")</f>
        <v>🏛 Museu do Artesanato e do De…</v>
      </c>
      <c r="K295" s="305" t="s">
        <v>5146</v>
      </c>
    </row>
    <row r="296" spans="1:11" ht="110" customHeight="1" x14ac:dyDescent="0.35">
      <c r="A296" s="362">
        <v>36</v>
      </c>
      <c r="B296" s="270" t="s">
        <v>5178</v>
      </c>
      <c r="C296" s="271" t="s">
        <v>853</v>
      </c>
      <c r="D296" s="270" t="s">
        <v>5179</v>
      </c>
      <c r="E296" s="270"/>
      <c r="F296" s="270"/>
      <c r="G296" s="270" t="s">
        <v>4531</v>
      </c>
      <c r="H296" s="270" t="s">
        <v>4532</v>
      </c>
      <c r="I296" s="270" t="s">
        <v>4533</v>
      </c>
      <c r="J296" s="289" t="str">
        <f>HYPERLINK("https://www.google.com/maps/search/Museu%20do%20Rel%C3%B3gio%20%E2%80%94%20P%C3%B3lo%20de%20%C3%89vora%20Alentejo%20Portugal/@38.5714,-7.9086,17z","🏛 Museu do Relógio — Pólo de …")</f>
        <v>🏛 Museu do Relógio — Pólo de …</v>
      </c>
      <c r="K296" s="304" t="s">
        <v>5180</v>
      </c>
    </row>
    <row r="297" spans="1:11" ht="110" customHeight="1" x14ac:dyDescent="0.35">
      <c r="A297" s="346">
        <v>37</v>
      </c>
      <c r="B297" s="267" t="s">
        <v>5181</v>
      </c>
      <c r="C297" s="268" t="s">
        <v>853</v>
      </c>
      <c r="D297" s="267" t="s">
        <v>5182</v>
      </c>
      <c r="E297" s="267"/>
      <c r="F297" s="267"/>
      <c r="G297" s="267" t="s">
        <v>4374</v>
      </c>
      <c r="H297" s="267" t="s">
        <v>4375</v>
      </c>
      <c r="I297" s="267" t="s">
        <v>4376</v>
      </c>
      <c r="J297" s="288" t="str">
        <f>HYPERLINK("https://www.google.com/maps/search/Museu%20Municipal%20de%20Arraiolos%20Alentejo%20Portugal/@38.7247,-7.9861,17z","🏛 Museu Municipal de Arraiolos")</f>
        <v>🏛 Museu Municipal de Arraiolos</v>
      </c>
      <c r="K297" s="305" t="s">
        <v>4930</v>
      </c>
    </row>
    <row r="298" spans="1:11" ht="110" customHeight="1" x14ac:dyDescent="0.35">
      <c r="A298" s="362">
        <v>38</v>
      </c>
      <c r="B298" s="270" t="s">
        <v>5183</v>
      </c>
      <c r="C298" s="271" t="s">
        <v>853</v>
      </c>
      <c r="D298" s="270" t="s">
        <v>5184</v>
      </c>
      <c r="E298" s="270"/>
      <c r="F298" s="270"/>
      <c r="G298" s="270" t="s">
        <v>4374</v>
      </c>
      <c r="H298" s="270" t="s">
        <v>4375</v>
      </c>
      <c r="I298" s="270" t="s">
        <v>4376</v>
      </c>
      <c r="J298" s="289" t="str">
        <f>HYPERLINK("https://www.google.com/maps/search/Museu%20do%20Tapete%20de%20Arraiolos%20Alentejo%20Portugal/@38.7247,-7.9861,17z","🏛 Museu do Tapete de Arraiolos")</f>
        <v>🏛 Museu do Tapete de Arraiolos</v>
      </c>
      <c r="K298" s="304" t="s">
        <v>5185</v>
      </c>
    </row>
    <row r="299" spans="1:11" ht="110" customHeight="1" x14ac:dyDescent="0.35">
      <c r="A299" s="346">
        <v>39</v>
      </c>
      <c r="B299" s="267" t="s">
        <v>5186</v>
      </c>
      <c r="C299" s="268" t="s">
        <v>853</v>
      </c>
      <c r="D299" s="267" t="s">
        <v>5187</v>
      </c>
      <c r="E299" s="267"/>
      <c r="F299" s="267"/>
      <c r="G299" s="267" t="s">
        <v>4374</v>
      </c>
      <c r="H299" s="267" t="s">
        <v>4375</v>
      </c>
      <c r="I299" s="267" t="s">
        <v>4376</v>
      </c>
      <c r="J299" s="288" t="str">
        <f>HYPERLINK("https://www.google.com/maps/search/Museu%20Municipal%20de%20Estremoz%20Convento%20dos%20Congregados%2C%20Portugal/@38.8442,-7.5881,17z","🏛 Museu Municipal de Estremoz")</f>
        <v>🏛 Museu Municipal de Estremoz</v>
      </c>
      <c r="K299" s="305" t="s">
        <v>5188</v>
      </c>
    </row>
    <row r="300" spans="1:11" ht="110" customHeight="1" x14ac:dyDescent="0.35">
      <c r="A300" s="362">
        <v>40</v>
      </c>
      <c r="B300" s="270" t="s">
        <v>5189</v>
      </c>
      <c r="C300" s="271" t="s">
        <v>853</v>
      </c>
      <c r="D300" s="270" t="s">
        <v>5187</v>
      </c>
      <c r="E300" s="270"/>
      <c r="F300" s="270"/>
      <c r="G300" s="270" t="s">
        <v>3697</v>
      </c>
      <c r="H300" s="270" t="s">
        <v>2944</v>
      </c>
      <c r="I300" s="270" t="s">
        <v>4384</v>
      </c>
      <c r="J300" s="289" t="str">
        <f>HYPERLINK("https://www.google.com/maps/search/Museu%20Berardo%20Estremoz%20Convento%20dos%20Congregados%2C%20Portugal/@38.8442,-7.5881,17z","🏛 Museu Berardo Estremoz")</f>
        <v>🏛 Museu Berardo Estremoz</v>
      </c>
      <c r="K300" s="304" t="s">
        <v>5190</v>
      </c>
    </row>
    <row r="301" spans="1:11" ht="110" customHeight="1" x14ac:dyDescent="0.35">
      <c r="A301" s="346">
        <v>41</v>
      </c>
      <c r="B301" s="267" t="s">
        <v>5191</v>
      </c>
      <c r="C301" s="268" t="s">
        <v>853</v>
      </c>
      <c r="D301" s="267" t="s">
        <v>5192</v>
      </c>
      <c r="E301" s="267"/>
      <c r="F301" s="267"/>
      <c r="G301" s="267" t="s">
        <v>4374</v>
      </c>
      <c r="H301" s="267" t="s">
        <v>4375</v>
      </c>
      <c r="I301" s="267" t="s">
        <v>4376</v>
      </c>
      <c r="J301" s="288" t="str">
        <f>HYPERLINK("https://www.google.com/maps/search/Museu%20Municipal%20de%20Borba%20Alentejo%20Portugal/@38.7972,-7.4561,17z","🏛 Museu Municipal de Borba")</f>
        <v>🏛 Museu Municipal de Borba</v>
      </c>
      <c r="K301" s="305" t="s">
        <v>4930</v>
      </c>
    </row>
    <row r="302" spans="1:11" ht="110" customHeight="1" x14ac:dyDescent="0.35">
      <c r="A302" s="362">
        <v>42</v>
      </c>
      <c r="B302" s="270" t="s">
        <v>5193</v>
      </c>
      <c r="C302" s="271" t="s">
        <v>853</v>
      </c>
      <c r="D302" s="270" t="s">
        <v>5194</v>
      </c>
      <c r="E302" s="270"/>
      <c r="F302" s="270"/>
      <c r="G302" s="270" t="s">
        <v>4374</v>
      </c>
      <c r="H302" s="270" t="s">
        <v>4375</v>
      </c>
      <c r="I302" s="270" t="s">
        <v>4376</v>
      </c>
      <c r="J302" s="289" t="str">
        <f>HYPERLINK("https://www.google.com/maps/search/Museu%20Municipal%20de%20Portalegre%20Alentejo%20Portugal/@39.2958,-7.4347,17z","🏛 Museu Municipal de Portalegre")</f>
        <v>🏛 Museu Municipal de Portalegre</v>
      </c>
      <c r="K302" s="304" t="s">
        <v>5195</v>
      </c>
    </row>
    <row r="303" spans="1:11" ht="110" customHeight="1" x14ac:dyDescent="0.35">
      <c r="A303" s="346">
        <v>43</v>
      </c>
      <c r="B303" s="267" t="s">
        <v>5089</v>
      </c>
      <c r="C303" s="268" t="s">
        <v>853</v>
      </c>
      <c r="D303" s="267" t="s">
        <v>5196</v>
      </c>
      <c r="E303" s="267"/>
      <c r="F303" s="267"/>
      <c r="G303" s="267" t="s">
        <v>4531</v>
      </c>
      <c r="H303" s="267" t="s">
        <v>4532</v>
      </c>
      <c r="I303" s="267" t="s">
        <v>4533</v>
      </c>
      <c r="J303" s="288" t="str">
        <f>HYPERLINK("https://www.google.com/maps/search/Museu%20das%20Tape%C3%A7arias%20de%20Portalegre%20Alentejo%20Portugal/@39.2958,-7.4347,17z","🏛 Museu das Tapeçarias de Por…")</f>
        <v>🏛 Museu das Tapeçarias de Por…</v>
      </c>
      <c r="K303" s="305" t="s">
        <v>5197</v>
      </c>
    </row>
    <row r="304" spans="1:11" ht="110" customHeight="1" x14ac:dyDescent="0.35">
      <c r="A304" s="362">
        <v>44</v>
      </c>
      <c r="B304" s="270" t="s">
        <v>5198</v>
      </c>
      <c r="C304" s="271" t="s">
        <v>853</v>
      </c>
      <c r="D304" s="270" t="s">
        <v>5199</v>
      </c>
      <c r="E304" s="270"/>
      <c r="F304" s="270"/>
      <c r="G304" s="270" t="s">
        <v>4374</v>
      </c>
      <c r="H304" s="270" t="s">
        <v>4375</v>
      </c>
      <c r="I304" s="270" t="s">
        <v>4376</v>
      </c>
      <c r="J304" s="289" t="str">
        <f>HYPERLINK("https://www.google.com/maps/search/Museu%20Jos%C3%A9%20R%C3%A9gio%20%E2%80%94%20Casa-Museu%20Alentejo%20Portugal/@39.2958,-7.4347,17z","🏛 Museu José Régio — Casa-Museu")</f>
        <v>🏛 Museu José Régio — Casa-Museu</v>
      </c>
      <c r="K304" s="304" t="s">
        <v>5200</v>
      </c>
    </row>
    <row r="305" spans="1:11" ht="110" customHeight="1" x14ac:dyDescent="0.35">
      <c r="A305" s="346">
        <v>45</v>
      </c>
      <c r="B305" s="267" t="s">
        <v>5201</v>
      </c>
      <c r="C305" s="268" t="s">
        <v>853</v>
      </c>
      <c r="D305" s="267" t="s">
        <v>5202</v>
      </c>
      <c r="E305" s="267"/>
      <c r="F305" s="267"/>
      <c r="G305" s="267" t="s">
        <v>4374</v>
      </c>
      <c r="H305" s="267" t="s">
        <v>4375</v>
      </c>
      <c r="I305" s="267" t="s">
        <v>4376</v>
      </c>
      <c r="J305" s="288" t="str">
        <f>HYPERLINK("https://www.google.com/maps/search/Museu%20Municipal%20de%20Elvas%20Alentejo%20Portugal/@38.8833,-7.1642,17z","🏛 Museu Municipal de Elvas")</f>
        <v>🏛 Museu Municipal de Elvas</v>
      </c>
      <c r="K305" s="305" t="s">
        <v>5203</v>
      </c>
    </row>
    <row r="306" spans="1:11" ht="110" customHeight="1" x14ac:dyDescent="0.35">
      <c r="A306" s="362">
        <v>46</v>
      </c>
      <c r="B306" s="270" t="s">
        <v>5204</v>
      </c>
      <c r="C306" s="271" t="s">
        <v>853</v>
      </c>
      <c r="D306" s="270" t="s">
        <v>5205</v>
      </c>
      <c r="E306" s="270"/>
      <c r="F306" s="270"/>
      <c r="G306" s="270" t="s">
        <v>5049</v>
      </c>
      <c r="H306" s="270" t="s">
        <v>4438</v>
      </c>
      <c r="I306" s="270" t="s">
        <v>4384</v>
      </c>
      <c r="J306" s="289" t="str">
        <f>HYPERLINK("https://www.google.com/maps/search/Museu%20Militar%20de%20Elvas%20Forte%20de%20Santa%20Luzia%2C%20Portugal/@38.8833,-7.1642,17z","🏛 Museu Militar de Elvas")</f>
        <v>🏛 Museu Militar de Elvas</v>
      </c>
      <c r="K306" s="304" t="s">
        <v>5206</v>
      </c>
    </row>
    <row r="307" spans="1:11" ht="110" customHeight="1" x14ac:dyDescent="0.35">
      <c r="A307" s="346">
        <v>47</v>
      </c>
      <c r="B307" s="267" t="s">
        <v>5095</v>
      </c>
      <c r="C307" s="268" t="s">
        <v>853</v>
      </c>
      <c r="D307" s="267" t="s">
        <v>5207</v>
      </c>
      <c r="E307" s="267"/>
      <c r="F307" s="267"/>
      <c r="G307" s="267" t="s">
        <v>4374</v>
      </c>
      <c r="H307" s="267" t="s">
        <v>4375</v>
      </c>
      <c r="I307" s="267" t="s">
        <v>4376</v>
      </c>
      <c r="J307" s="288" t="str">
        <f>HYPERLINK("https://www.google.com/maps/search/Museu%20de%20Arte%20Contempor%C3%A2nea%20de%20Elvas%20%E2%80%94%20MACE%20Alentejo%20Portugal/@38.8833,-7.1642,17z","🏛 Museu de Arte Contemporânea…")</f>
        <v>🏛 Museu de Arte Contemporânea…</v>
      </c>
      <c r="K307" s="305" t="s">
        <v>5208</v>
      </c>
    </row>
    <row r="308" spans="1:11" ht="110" customHeight="1" x14ac:dyDescent="0.35">
      <c r="A308" s="362">
        <v>48</v>
      </c>
      <c r="B308" s="270" t="s">
        <v>5209</v>
      </c>
      <c r="C308" s="271" t="s">
        <v>853</v>
      </c>
      <c r="D308" s="270" t="s">
        <v>5210</v>
      </c>
      <c r="E308" s="270"/>
      <c r="F308" s="270"/>
      <c r="G308" s="270" t="s">
        <v>4374</v>
      </c>
      <c r="H308" s="270" t="s">
        <v>4375</v>
      </c>
      <c r="I308" s="270" t="s">
        <v>4376</v>
      </c>
      <c r="J308" s="289" t="str">
        <f>HYPERLINK("https://www.google.com/maps/search/Museu%20Municipal%20de%20Campo%20Maior%20Alentejo%20Portugal/@39.0111,-7.0711,17z","🏛 Museu Municipal de Campo Ma…")</f>
        <v>🏛 Museu Municipal de Campo Ma…</v>
      </c>
      <c r="K308" s="304" t="s">
        <v>4397</v>
      </c>
    </row>
    <row r="309" spans="1:11" ht="110" customHeight="1" x14ac:dyDescent="0.35">
      <c r="A309" s="346">
        <v>49</v>
      </c>
      <c r="B309" s="267" t="s">
        <v>5211</v>
      </c>
      <c r="C309" s="268" t="s">
        <v>853</v>
      </c>
      <c r="D309" s="267" t="s">
        <v>5212</v>
      </c>
      <c r="E309" s="267"/>
      <c r="F309" s="267"/>
      <c r="G309" s="267" t="s">
        <v>4531</v>
      </c>
      <c r="H309" s="267" t="s">
        <v>4532</v>
      </c>
      <c r="I309" s="267" t="s">
        <v>4533</v>
      </c>
      <c r="J309" s="288" t="str">
        <f>HYPERLINK("https://www.google.com/maps/search/Centro%20de%20Ci%C3%AAncia%20do%20Caf%C3%A9%20Herdade%20das%20Argamassas%2C%20Portugal/@39.0111,-7.0711,17z","🏛 Centro de Ciência do Café")</f>
        <v>🏛 Centro de Ciência do Café</v>
      </c>
      <c r="K309" s="305" t="s">
        <v>5213</v>
      </c>
    </row>
    <row r="310" spans="1:11" ht="110" customHeight="1" x14ac:dyDescent="0.35">
      <c r="A310" s="362">
        <v>50</v>
      </c>
      <c r="B310" s="270" t="s">
        <v>5214</v>
      </c>
      <c r="C310" s="271" t="s">
        <v>853</v>
      </c>
      <c r="D310" s="270" t="s">
        <v>5215</v>
      </c>
      <c r="E310" s="270"/>
      <c r="F310" s="270"/>
      <c r="G310" s="270" t="s">
        <v>4374</v>
      </c>
      <c r="H310" s="270" t="s">
        <v>4375</v>
      </c>
      <c r="I310" s="270" t="s">
        <v>4376</v>
      </c>
      <c r="J310" s="289" t="str">
        <f>HYPERLINK("https://www.google.com/maps/search/Museu%20Municipal%20de%20Arronches%20Alentejo%20Portugal/@39.1272,-7.2672,17z","🏛 Museu Municipal de Arronches")</f>
        <v>🏛 Museu Municipal de Arronches</v>
      </c>
      <c r="K310" s="304" t="s">
        <v>5216</v>
      </c>
    </row>
    <row r="311" spans="1:11" ht="110" customHeight="1" x14ac:dyDescent="0.35">
      <c r="A311" s="346">
        <v>51</v>
      </c>
      <c r="B311" s="267" t="s">
        <v>5217</v>
      </c>
      <c r="C311" s="268" t="s">
        <v>853</v>
      </c>
      <c r="D311" s="267" t="s">
        <v>5218</v>
      </c>
      <c r="E311" s="267"/>
      <c r="F311" s="267"/>
      <c r="G311" s="267" t="s">
        <v>4374</v>
      </c>
      <c r="H311" s="267" t="s">
        <v>4375</v>
      </c>
      <c r="I311" s="267" t="s">
        <v>4376</v>
      </c>
      <c r="J311" s="288" t="str">
        <f>HYPERLINK("https://www.google.com/maps/search/Museu%20Municipal%20de%20Castelo%20de%20Vide%20Alentejo%20Portugal/@39.4147,-7.4564,17z","🏛 Museu Municipal de Castelo …")</f>
        <v>🏛 Museu Municipal de Castelo …</v>
      </c>
      <c r="K311" s="305" t="s">
        <v>5219</v>
      </c>
    </row>
    <row r="312" spans="1:11" ht="110" customHeight="1" x14ac:dyDescent="0.35">
      <c r="A312" s="362">
        <v>52</v>
      </c>
      <c r="B312" s="270" t="s">
        <v>5098</v>
      </c>
      <c r="C312" s="271" t="s">
        <v>853</v>
      </c>
      <c r="D312" s="270" t="s">
        <v>5220</v>
      </c>
      <c r="E312" s="270"/>
      <c r="F312" s="270"/>
      <c r="G312" s="270" t="s">
        <v>4374</v>
      </c>
      <c r="H312" s="270" t="s">
        <v>4375</v>
      </c>
      <c r="I312" s="270" t="s">
        <v>4376</v>
      </c>
      <c r="J312" s="289" t="str">
        <f>HYPERLINK("https://www.google.com/maps/search/Museu%20da%20Sinagoga%20de%20Castelo%20de%20Vide%20Alentejo%20Portugal/@39.4147,-7.4564,17z","🏛 Museu da Sinagoga de Castel…")</f>
        <v>🏛 Museu da Sinagoga de Castel…</v>
      </c>
      <c r="K312" s="304" t="s">
        <v>5101</v>
      </c>
    </row>
    <row r="313" spans="1:11" ht="110" customHeight="1" x14ac:dyDescent="0.35">
      <c r="A313" s="346">
        <v>53</v>
      </c>
      <c r="B313" s="267" t="s">
        <v>5221</v>
      </c>
      <c r="C313" s="268" t="s">
        <v>853</v>
      </c>
      <c r="D313" s="267" t="s">
        <v>5222</v>
      </c>
      <c r="E313" s="267"/>
      <c r="F313" s="267"/>
      <c r="G313" s="267" t="s">
        <v>4374</v>
      </c>
      <c r="H313" s="267" t="s">
        <v>4375</v>
      </c>
      <c r="I313" s="267" t="s">
        <v>4376</v>
      </c>
      <c r="J313" s="288" t="str">
        <f>HYPERLINK("https://www.google.com/maps/search/Museu%20Municipal%20de%20Marv%C3%A3o%20Alentejo%20Portugal/@39.3949,-7.3768,17z","🏛 Museu Municipal de Marvão")</f>
        <v>🏛 Museu Municipal de Marvão</v>
      </c>
      <c r="K313" s="305" t="s">
        <v>5223</v>
      </c>
    </row>
    <row r="314" spans="1:11" ht="110" customHeight="1" x14ac:dyDescent="0.35">
      <c r="A314" s="362">
        <v>54</v>
      </c>
      <c r="B314" s="270" t="s">
        <v>5224</v>
      </c>
      <c r="C314" s="271" t="s">
        <v>853</v>
      </c>
      <c r="D314" s="270" t="s">
        <v>5225</v>
      </c>
      <c r="E314" s="270"/>
      <c r="F314" s="270"/>
      <c r="G314" s="270" t="s">
        <v>3697</v>
      </c>
      <c r="H314" s="270" t="s">
        <v>2944</v>
      </c>
      <c r="I314" s="270" t="s">
        <v>4384</v>
      </c>
      <c r="J314" s="289" t="str">
        <f>HYPERLINK("https://www.google.com/maps/search/Museu%20Municipal%20Ammaia%20S.%20Salvador%20da%20Aramenha%2C%20Portugal/@39.3949,-7.3768,17z","🏛 Museu Municipal Ammaia")</f>
        <v>🏛 Museu Municipal Ammaia</v>
      </c>
      <c r="K314" s="304" t="s">
        <v>5226</v>
      </c>
    </row>
    <row r="315" spans="1:11" ht="110" customHeight="1" x14ac:dyDescent="0.35">
      <c r="A315" s="346">
        <v>55</v>
      </c>
      <c r="B315" s="267" t="s">
        <v>5227</v>
      </c>
      <c r="C315" s="268" t="s">
        <v>853</v>
      </c>
      <c r="D315" s="267" t="s">
        <v>5228</v>
      </c>
      <c r="E315" s="267"/>
      <c r="F315" s="267"/>
      <c r="G315" s="267" t="s">
        <v>4374</v>
      </c>
      <c r="H315" s="267" t="s">
        <v>4375</v>
      </c>
      <c r="I315" s="267" t="s">
        <v>4376</v>
      </c>
      <c r="J315" s="288" t="str">
        <f>HYPERLINK("https://www.google.com/maps/search/Museu%20Municipal%20de%20Nisa%20Alentejo%20Portugal/@39.5139,-7.6522,17z","🏛 Museu Municipal de Nisa")</f>
        <v>🏛 Museu Municipal de Nisa</v>
      </c>
      <c r="K315" s="305" t="s">
        <v>5229</v>
      </c>
    </row>
    <row r="316" spans="1:11" ht="110" customHeight="1" x14ac:dyDescent="0.35">
      <c r="A316" s="362">
        <v>56</v>
      </c>
      <c r="B316" s="270" t="s">
        <v>5230</v>
      </c>
      <c r="C316" s="271" t="s">
        <v>853</v>
      </c>
      <c r="D316" s="270" t="s">
        <v>5231</v>
      </c>
      <c r="E316" s="270"/>
      <c r="F316" s="270"/>
      <c r="G316" s="270" t="s">
        <v>4374</v>
      </c>
      <c r="H316" s="270" t="s">
        <v>4375</v>
      </c>
      <c r="I316" s="270" t="s">
        <v>4376</v>
      </c>
      <c r="J316" s="289" t="str">
        <f>HYPERLINK("https://www.google.com/maps/search/Museu%20do%20Barro%20de%20Nisa%20Alentejo%20Portugal/@39.5139,-7.6522,17z","🏛 Museu do Barro de Nisa")</f>
        <v>🏛 Museu do Barro de Nisa</v>
      </c>
      <c r="K316" s="304" t="s">
        <v>4397</v>
      </c>
    </row>
    <row r="317" spans="1:11" ht="110" customHeight="1" x14ac:dyDescent="0.35">
      <c r="A317" s="346">
        <v>57</v>
      </c>
      <c r="B317" s="267" t="s">
        <v>5232</v>
      </c>
      <c r="C317" s="268" t="s">
        <v>853</v>
      </c>
      <c r="D317" s="267" t="s">
        <v>5233</v>
      </c>
      <c r="E317" s="267"/>
      <c r="F317" s="267"/>
      <c r="G317" s="267" t="s">
        <v>4374</v>
      </c>
      <c r="H317" s="267" t="s">
        <v>4375</v>
      </c>
      <c r="I317" s="267" t="s">
        <v>4376</v>
      </c>
      <c r="J317" s="288" t="str">
        <f>HYPERLINK("https://www.google.com/maps/search/Museu%20Municipal%20de%20Ponte%20de%20Sor%20Alentejo%20Portugal/@39.2481,-8.0117,17z","🏛 Museu Municipal de Ponte de…")</f>
        <v>🏛 Museu Municipal de Ponte de…</v>
      </c>
      <c r="K317" s="305" t="s">
        <v>4471</v>
      </c>
    </row>
    <row r="318" spans="1:11" ht="110" customHeight="1" x14ac:dyDescent="0.35">
      <c r="A318" s="362">
        <v>58</v>
      </c>
      <c r="B318" s="270" t="s">
        <v>5234</v>
      </c>
      <c r="C318" s="271" t="s">
        <v>853</v>
      </c>
      <c r="D318" s="270" t="s">
        <v>5235</v>
      </c>
      <c r="E318" s="270"/>
      <c r="F318" s="270"/>
      <c r="G318" s="270" t="s">
        <v>4531</v>
      </c>
      <c r="H318" s="270" t="s">
        <v>4532</v>
      </c>
      <c r="I318" s="270" t="s">
        <v>4533</v>
      </c>
      <c r="J318" s="289" t="str">
        <f>HYPERLINK("https://www.google.com/maps/search/Museu%20das%20Avia%C3%A7%C3%B5es%20Zona%20Aeron%C3%A1utica%2C%20Portugal/@39.2481,-8.0117,17z","🏛 Museu das Aviações")</f>
        <v>🏛 Museu das Aviações</v>
      </c>
      <c r="K318" s="304" t="s">
        <v>5236</v>
      </c>
    </row>
    <row r="319" spans="1:11" ht="110" customHeight="1" x14ac:dyDescent="0.35">
      <c r="A319" s="346">
        <v>59</v>
      </c>
      <c r="B319" s="267" t="s">
        <v>5237</v>
      </c>
      <c r="C319" s="268" t="s">
        <v>853</v>
      </c>
      <c r="D319" s="267" t="s">
        <v>5238</v>
      </c>
      <c r="E319" s="267"/>
      <c r="F319" s="267"/>
      <c r="G319" s="267" t="s">
        <v>4374</v>
      </c>
      <c r="H319" s="267" t="s">
        <v>4375</v>
      </c>
      <c r="I319" s="267" t="s">
        <v>4376</v>
      </c>
      <c r="J319" s="288" t="str">
        <f>HYPERLINK("https://www.google.com/maps/search/Museu%20Municipal%20de%20Sousel%20Alentejo%20Portugal/@38.9519,-7.6706,17z","🏛 Museu Municipal de Sousel")</f>
        <v>🏛 Museu Municipal de Sousel</v>
      </c>
      <c r="K319" s="305" t="s">
        <v>4886</v>
      </c>
    </row>
    <row r="320" spans="1:11" ht="22" customHeight="1" x14ac:dyDescent="0.35">
      <c r="A320" s="1477" t="s">
        <v>5239</v>
      </c>
      <c r="B320" s="1313"/>
      <c r="C320" s="1313"/>
      <c r="D320" s="1313"/>
      <c r="E320" s="1313"/>
      <c r="F320" s="1313"/>
      <c r="G320" s="1313"/>
      <c r="H320" s="1313"/>
      <c r="I320" s="1313"/>
      <c r="J320" s="1313"/>
      <c r="K320" s="1313"/>
    </row>
    <row r="321" spans="1:11" ht="110" customHeight="1" x14ac:dyDescent="0.35">
      <c r="A321" s="348">
        <v>1</v>
      </c>
      <c r="B321" s="273" t="s">
        <v>5240</v>
      </c>
      <c r="C321" s="274" t="s">
        <v>767</v>
      </c>
      <c r="D321" s="273" t="s">
        <v>5241</v>
      </c>
      <c r="E321" s="273"/>
      <c r="F321" s="273" t="s">
        <v>4570</v>
      </c>
      <c r="G321" s="273" t="s">
        <v>4374</v>
      </c>
      <c r="H321" s="273" t="s">
        <v>4375</v>
      </c>
      <c r="I321" s="273" t="s">
        <v>4376</v>
      </c>
      <c r="J321" s="275" t="str">
        <f>HYPERLINK("https://www.google.com/maps/search/Museu%20de%20Portim%C3%A3o%20Algarve%20Portugal/@37.1372,-8.538,17z","🏛 Museu de Portimão")</f>
        <v>🏛 Museu de Portimão</v>
      </c>
      <c r="K321" s="304" t="s">
        <v>5242</v>
      </c>
    </row>
    <row r="322" spans="1:11" ht="110" customHeight="1" x14ac:dyDescent="0.35">
      <c r="A322" s="354">
        <v>2</v>
      </c>
      <c r="B322" s="277" t="s">
        <v>5243</v>
      </c>
      <c r="C322" s="278" t="s">
        <v>767</v>
      </c>
      <c r="D322" s="277" t="s">
        <v>5244</v>
      </c>
      <c r="E322" s="277"/>
      <c r="F322" s="277" t="s">
        <v>4485</v>
      </c>
      <c r="G322" s="277" t="s">
        <v>4374</v>
      </c>
      <c r="H322" s="277" t="s">
        <v>4375</v>
      </c>
      <c r="I322" s="277" t="s">
        <v>4376</v>
      </c>
      <c r="J322" s="280" t="str">
        <f>HYPERLINK("https://www.google.com/maps/search/Museu%20Municipal%20de%20Lagos%20Algarve%20Portugal/@37.1018,-8.674,17z","🏛 Museu Municipal de Lagos")</f>
        <v>🏛 Museu Municipal de Lagos</v>
      </c>
      <c r="K322" s="305" t="s">
        <v>5245</v>
      </c>
    </row>
    <row r="323" spans="1:11" ht="110" customHeight="1" x14ac:dyDescent="0.35">
      <c r="A323" s="348">
        <v>3</v>
      </c>
      <c r="B323" s="273" t="s">
        <v>5246</v>
      </c>
      <c r="C323" s="274" t="s">
        <v>767</v>
      </c>
      <c r="D323" s="273" t="s">
        <v>5247</v>
      </c>
      <c r="E323" s="273"/>
      <c r="F323" s="273" t="s">
        <v>4485</v>
      </c>
      <c r="G323" s="273" t="s">
        <v>4374</v>
      </c>
      <c r="H323" s="273" t="s">
        <v>4375</v>
      </c>
      <c r="I323" s="273" t="s">
        <v>4376</v>
      </c>
      <c r="J323" s="275" t="str">
        <f>HYPERLINK("https://www.google.com/maps/search/Museu%20Municipal%20de%20Tavira%20Cal%C3%A7ada%20da%20Galeria%2C%20Tavira%20Portugal/@37.1255,-7.6503,17z","🏛 Museu Municipal de Tavira")</f>
        <v>🏛 Museu Municipal de Tavira</v>
      </c>
      <c r="K323" s="304" t="s">
        <v>5248</v>
      </c>
    </row>
    <row r="324" spans="1:11" ht="110" customHeight="1" x14ac:dyDescent="0.35">
      <c r="A324" s="354">
        <v>4</v>
      </c>
      <c r="B324" s="277" t="s">
        <v>5249</v>
      </c>
      <c r="C324" s="278" t="s">
        <v>767</v>
      </c>
      <c r="D324" s="277" t="s">
        <v>5250</v>
      </c>
      <c r="E324" s="277"/>
      <c r="F324" s="277" t="s">
        <v>4485</v>
      </c>
      <c r="G324" s="277" t="s">
        <v>4374</v>
      </c>
      <c r="H324" s="277" t="s">
        <v>4375</v>
      </c>
      <c r="I324" s="277" t="s">
        <v>4376</v>
      </c>
      <c r="J324" s="280" t="str">
        <f>HYPERLINK("https://www.google.com/maps/search/Museu%20Municipal%20de%20Silves%20Algarve%20Portugal/@37.1895,-8.4388,17z","🏛 Museu Municipal de Silves")</f>
        <v>🏛 Museu Municipal de Silves</v>
      </c>
      <c r="K324" s="305" t="s">
        <v>5251</v>
      </c>
    </row>
    <row r="325" spans="1:11" ht="110" customHeight="1" x14ac:dyDescent="0.35">
      <c r="A325" s="348">
        <v>5</v>
      </c>
      <c r="B325" s="273" t="s">
        <v>5252</v>
      </c>
      <c r="C325" s="274" t="s">
        <v>767</v>
      </c>
      <c r="D325" s="273" t="s">
        <v>5253</v>
      </c>
      <c r="E325" s="273"/>
      <c r="F325" s="273" t="s">
        <v>1495</v>
      </c>
      <c r="G325" s="273" t="s">
        <v>5049</v>
      </c>
      <c r="H325" s="273" t="s">
        <v>4438</v>
      </c>
      <c r="I325" s="273" t="s">
        <v>4384</v>
      </c>
      <c r="J325" s="275" t="str">
        <f>HYPERLINK("https://www.google.com/maps/search/Centro%20de%20Interpreta%C3%A7%C3%A3o%20de%20Sagres%20Fortaleza%20de%20Sagres%2C%20Vila%20do%20Bispo%20Portugal/@36.999,-8.944,17z","🏛 Centro de Interpretação de …")</f>
        <v>🏛 Centro de Interpretação de …</v>
      </c>
      <c r="K325" s="304" t="s">
        <v>5254</v>
      </c>
    </row>
    <row r="326" spans="1:11" ht="110" customHeight="1" x14ac:dyDescent="0.35">
      <c r="A326" s="354">
        <v>6</v>
      </c>
      <c r="B326" s="277" t="s">
        <v>5255</v>
      </c>
      <c r="C326" s="278" t="s">
        <v>767</v>
      </c>
      <c r="D326" s="277" t="s">
        <v>5256</v>
      </c>
      <c r="E326" s="277"/>
      <c r="F326" s="277"/>
      <c r="G326" s="277" t="s">
        <v>4374</v>
      </c>
      <c r="H326" s="277" t="s">
        <v>4375</v>
      </c>
      <c r="I326" s="277" t="s">
        <v>4376</v>
      </c>
      <c r="J326" s="280" t="str">
        <f>HYPERLINK("https://www.google.com/maps/search/Museu%20Municipal%20de%20Faro%20Algarve%20Portugal/@37.0194,-7.9308,17z","🏛 Museu Municipal de Faro")</f>
        <v>🏛 Museu Municipal de Faro</v>
      </c>
      <c r="K326" s="305" t="s">
        <v>5257</v>
      </c>
    </row>
    <row r="327" spans="1:11" ht="110" customHeight="1" x14ac:dyDescent="0.35">
      <c r="A327" s="348">
        <v>7</v>
      </c>
      <c r="B327" s="273" t="s">
        <v>5258</v>
      </c>
      <c r="C327" s="274" t="s">
        <v>767</v>
      </c>
      <c r="D327" s="273" t="s">
        <v>5259</v>
      </c>
      <c r="E327" s="273"/>
      <c r="F327" s="273"/>
      <c r="G327" s="273" t="s">
        <v>5049</v>
      </c>
      <c r="H327" s="273" t="s">
        <v>4438</v>
      </c>
      <c r="I327" s="273" t="s">
        <v>4384</v>
      </c>
      <c r="J327" s="275" t="str">
        <f>HYPERLINK("https://www.google.com/maps/search/Museu%20Mar%C3%ADtimo%20Almirante%20Ramalho%20Ortig%C3%A3o%20Doca%20de%20Faro%2C%20Portugal/@37.0194,-7.9308,17z","🏛 Museu Marítimo Almirante Ra…")</f>
        <v>🏛 Museu Marítimo Almirante Ra…</v>
      </c>
      <c r="K327" s="304" t="s">
        <v>5260</v>
      </c>
    </row>
    <row r="328" spans="1:11" ht="110" customHeight="1" x14ac:dyDescent="0.35">
      <c r="A328" s="354">
        <v>8</v>
      </c>
      <c r="B328" s="277" t="s">
        <v>5261</v>
      </c>
      <c r="C328" s="278" t="s">
        <v>767</v>
      </c>
      <c r="D328" s="277" t="s">
        <v>5262</v>
      </c>
      <c r="E328" s="277"/>
      <c r="F328" s="277"/>
      <c r="G328" s="277" t="s">
        <v>3156</v>
      </c>
      <c r="H328" s="277" t="s">
        <v>5263</v>
      </c>
      <c r="I328" s="277" t="s">
        <v>4384</v>
      </c>
      <c r="J328" s="280" t="str">
        <f>HYPERLINK("https://www.google.com/maps/search/Museu%20Regional%20do%20Algarve%20Portugal/@37.0194,-7.9308,17z","🏛 Museu Regional do Algarve")</f>
        <v>🏛 Museu Regional do Algarve</v>
      </c>
      <c r="K328" s="305" t="s">
        <v>5264</v>
      </c>
    </row>
    <row r="329" spans="1:11" ht="110" customHeight="1" x14ac:dyDescent="0.35">
      <c r="A329" s="348">
        <v>9</v>
      </c>
      <c r="B329" s="273" t="s">
        <v>5265</v>
      </c>
      <c r="C329" s="274" t="s">
        <v>767</v>
      </c>
      <c r="D329" s="273" t="s">
        <v>5266</v>
      </c>
      <c r="E329" s="273"/>
      <c r="F329" s="273"/>
      <c r="G329" s="273" t="s">
        <v>4374</v>
      </c>
      <c r="H329" s="273" t="s">
        <v>4375</v>
      </c>
      <c r="I329" s="273" t="s">
        <v>4376</v>
      </c>
      <c r="J329" s="275" t="str">
        <f>HYPERLINK("https://www.google.com/maps/search/Museu%20Municipal%20de%20Loul%C3%A9%20Algarve%20Portugal/@37.1394,-8.0225,17z","🏛 Museu Municipal de Loulé")</f>
        <v>🏛 Museu Municipal de Loulé</v>
      </c>
      <c r="K329" s="304" t="s">
        <v>5267</v>
      </c>
    </row>
    <row r="330" spans="1:11" ht="110" customHeight="1" x14ac:dyDescent="0.35">
      <c r="A330" s="354">
        <v>10</v>
      </c>
      <c r="B330" s="277" t="s">
        <v>5268</v>
      </c>
      <c r="C330" s="278" t="s">
        <v>767</v>
      </c>
      <c r="D330" s="277" t="s">
        <v>5269</v>
      </c>
      <c r="E330" s="277"/>
      <c r="F330" s="277"/>
      <c r="G330" s="277" t="s">
        <v>4374</v>
      </c>
      <c r="H330" s="277" t="s">
        <v>4375</v>
      </c>
      <c r="I330" s="277" t="s">
        <v>4376</v>
      </c>
      <c r="J330" s="280" t="str">
        <f>HYPERLINK("https://www.google.com/maps/search/Centro%20de%20Interpreta%C3%A7%C3%A3o%20da%20Casa%20da%20Empreita%20Algarve%20Portugal/@37.1394,-8.0225,17z","🏛 Centro de Interpretação da …")</f>
        <v>🏛 Centro de Interpretação da …</v>
      </c>
      <c r="K330" s="305" t="s">
        <v>5270</v>
      </c>
    </row>
    <row r="331" spans="1:11" ht="110" customHeight="1" x14ac:dyDescent="0.35">
      <c r="A331" s="348">
        <v>11</v>
      </c>
      <c r="B331" s="273" t="s">
        <v>5271</v>
      </c>
      <c r="C331" s="274" t="s">
        <v>767</v>
      </c>
      <c r="D331" s="273" t="s">
        <v>5272</v>
      </c>
      <c r="E331" s="273"/>
      <c r="F331" s="273"/>
      <c r="G331" s="273" t="s">
        <v>4374</v>
      </c>
      <c r="H331" s="273" t="s">
        <v>4375</v>
      </c>
      <c r="I331" s="273" t="s">
        <v>4376</v>
      </c>
      <c r="J331" s="275" t="str">
        <f>HYPERLINK("https://www.google.com/maps/search/Museu%20Municipal%20de%20Albufeira%20Algarve%20Portugal/@37.0892,-8.2506,17z","🏛 Museu Municipal de Albufeira")</f>
        <v>🏛 Museu Municipal de Albufeira</v>
      </c>
      <c r="K331" s="304" t="s">
        <v>5273</v>
      </c>
    </row>
    <row r="332" spans="1:11" ht="110" customHeight="1" x14ac:dyDescent="0.35">
      <c r="A332" s="354">
        <v>12</v>
      </c>
      <c r="B332" s="277" t="s">
        <v>5240</v>
      </c>
      <c r="C332" s="278" t="s">
        <v>767</v>
      </c>
      <c r="D332" s="277" t="s">
        <v>5274</v>
      </c>
      <c r="E332" s="277"/>
      <c r="F332" s="277"/>
      <c r="G332" s="277" t="s">
        <v>4374</v>
      </c>
      <c r="H332" s="277" t="s">
        <v>4375</v>
      </c>
      <c r="I332" s="277" t="s">
        <v>4376</v>
      </c>
      <c r="J332" s="280" t="str">
        <f>HYPERLINK("https://www.google.com/maps/search/Museu%20de%20Portim%C3%A3o%20Algarve%20Portugal/@37.1386,-8.5372,17z","🏛 Museu de Portimão")</f>
        <v>🏛 Museu de Portimão</v>
      </c>
      <c r="K332" s="305" t="s">
        <v>5242</v>
      </c>
    </row>
    <row r="333" spans="1:11" ht="110" customHeight="1" x14ac:dyDescent="0.35">
      <c r="A333" s="348">
        <v>13</v>
      </c>
      <c r="B333" s="273" t="s">
        <v>5275</v>
      </c>
      <c r="C333" s="274" t="s">
        <v>767</v>
      </c>
      <c r="D333" s="273" t="s">
        <v>5276</v>
      </c>
      <c r="E333" s="273"/>
      <c r="F333" s="273"/>
      <c r="G333" s="273" t="s">
        <v>4374</v>
      </c>
      <c r="H333" s="273" t="s">
        <v>4375</v>
      </c>
      <c r="I333" s="273" t="s">
        <v>4376</v>
      </c>
      <c r="J333" s="275" t="str">
        <f>HYPERLINK("https://www.google.com/maps/search/N%C3%BAcleo%20Museol%C3%B3gico%20da%20Esta%C3%A7%C3%A3o%20Arqueol%C3%B3gica%20da%20Alcalar%20Alcalar%2C%20Portugal/@37.1386,-8.5372,17z","🏛 Núcleo Museológico da Estaç…")</f>
        <v>🏛 Núcleo Museológico da Estaç…</v>
      </c>
      <c r="K333" s="304" t="s">
        <v>5277</v>
      </c>
    </row>
    <row r="334" spans="1:11" ht="110" customHeight="1" x14ac:dyDescent="0.35">
      <c r="A334" s="354">
        <v>14</v>
      </c>
      <c r="B334" s="277" t="s">
        <v>5278</v>
      </c>
      <c r="C334" s="278" t="s">
        <v>767</v>
      </c>
      <c r="D334" s="277" t="s">
        <v>5279</v>
      </c>
      <c r="E334" s="277"/>
      <c r="F334" s="277"/>
      <c r="G334" s="277" t="s">
        <v>4374</v>
      </c>
      <c r="H334" s="277" t="s">
        <v>4375</v>
      </c>
      <c r="I334" s="277" t="s">
        <v>4376</v>
      </c>
      <c r="J334" s="280" t="str">
        <f>HYPERLINK("https://www.google.com/maps/search/Museu%20Municipal%20de%20Lagos%20%E2%80%94%20Dr.%20Jos%C3%A9%20Formosinho%20Algarve%20Portugal/@37.1021,-8.6726,17z","🏛 Museu Municipal de Lagos — …")</f>
        <v>🏛 Museu Municipal de Lagos — …</v>
      </c>
      <c r="K334" s="305" t="s">
        <v>5245</v>
      </c>
    </row>
    <row r="335" spans="1:11" ht="110" customHeight="1" x14ac:dyDescent="0.35">
      <c r="A335" s="348">
        <v>15</v>
      </c>
      <c r="B335" s="273" t="s">
        <v>5280</v>
      </c>
      <c r="C335" s="274" t="s">
        <v>767</v>
      </c>
      <c r="D335" s="273" t="s">
        <v>5281</v>
      </c>
      <c r="E335" s="273"/>
      <c r="F335" s="273"/>
      <c r="G335" s="273" t="s">
        <v>3697</v>
      </c>
      <c r="H335" s="273" t="s">
        <v>2944</v>
      </c>
      <c r="I335" s="273" t="s">
        <v>4384</v>
      </c>
      <c r="J335" s="275" t="str">
        <f>HYPERLINK("https://www.google.com/maps/search/Centro%20Ci%C3%AAncia%20Viva%20de%20Lagos%20Algarve%20Portugal/@37.1021,-8.6726,17z","🏛 Centro Ciência Viva de Lagos")</f>
        <v>🏛 Centro Ciência Viva de Lagos</v>
      </c>
      <c r="K335" s="304" t="s">
        <v>5282</v>
      </c>
    </row>
    <row r="336" spans="1:11" ht="110" customHeight="1" x14ac:dyDescent="0.35">
      <c r="A336" s="354">
        <v>16</v>
      </c>
      <c r="B336" s="277" t="s">
        <v>5249</v>
      </c>
      <c r="C336" s="278" t="s">
        <v>767</v>
      </c>
      <c r="D336" s="277" t="s">
        <v>5283</v>
      </c>
      <c r="E336" s="277"/>
      <c r="F336" s="277"/>
      <c r="G336" s="277" t="s">
        <v>4374</v>
      </c>
      <c r="H336" s="277" t="s">
        <v>4375</v>
      </c>
      <c r="I336" s="277" t="s">
        <v>4376</v>
      </c>
      <c r="J336" s="280" t="str">
        <f>HYPERLINK("https://www.google.com/maps/search/Museu%20Municipal%20de%20Silves%20Algarve%20Portugal/@37.1894,-8.4387,17z","🏛 Museu Municipal de Silves")</f>
        <v>🏛 Museu Municipal de Silves</v>
      </c>
      <c r="K336" s="305" t="s">
        <v>5251</v>
      </c>
    </row>
    <row r="337" spans="1:11" ht="110" customHeight="1" x14ac:dyDescent="0.35">
      <c r="A337" s="348">
        <v>17</v>
      </c>
      <c r="B337" s="273" t="s">
        <v>5284</v>
      </c>
      <c r="C337" s="274" t="s">
        <v>767</v>
      </c>
      <c r="D337" s="273" t="s">
        <v>5285</v>
      </c>
      <c r="E337" s="273"/>
      <c r="F337" s="273"/>
      <c r="G337" s="273" t="s">
        <v>4374</v>
      </c>
      <c r="H337" s="273" t="s">
        <v>4375</v>
      </c>
      <c r="I337" s="273" t="s">
        <v>4376</v>
      </c>
      <c r="J337" s="275" t="str">
        <f>HYPERLINK("https://www.google.com/maps/search/Centro%20de%20Interpreta%C3%A7%C3%A3o%20do%20Castelo%20de%20Silves%20Castelo%20de%20Silves%2C%20Portugal/@37.1894,-8.4387,17z","🏛 Centro de Interpretação do …")</f>
        <v>🏛 Centro de Interpretação do …</v>
      </c>
      <c r="K337" s="304" t="s">
        <v>5286</v>
      </c>
    </row>
    <row r="338" spans="1:11" ht="110" customHeight="1" x14ac:dyDescent="0.35">
      <c r="A338" s="354">
        <v>18</v>
      </c>
      <c r="B338" s="277" t="s">
        <v>5246</v>
      </c>
      <c r="C338" s="278" t="s">
        <v>767</v>
      </c>
      <c r="D338" s="277" t="s">
        <v>5287</v>
      </c>
      <c r="E338" s="277"/>
      <c r="F338" s="277"/>
      <c r="G338" s="277" t="s">
        <v>4374</v>
      </c>
      <c r="H338" s="277" t="s">
        <v>4375</v>
      </c>
      <c r="I338" s="277" t="s">
        <v>4376</v>
      </c>
      <c r="J338" s="280" t="str">
        <f>HYPERLINK("https://www.google.com/maps/search/Museu%20Municipal%20de%20Tavira%20Cal%C3%A7ada%20da%20Galeria%2C%20Portugal/@37.1261,-7.6508,17z","🏛 Museu Municipal de Tavira")</f>
        <v>🏛 Museu Municipal de Tavira</v>
      </c>
      <c r="K338" s="305" t="s">
        <v>5248</v>
      </c>
    </row>
    <row r="339" spans="1:11" ht="110" customHeight="1" x14ac:dyDescent="0.35">
      <c r="A339" s="348">
        <v>19</v>
      </c>
      <c r="B339" s="273" t="s">
        <v>5288</v>
      </c>
      <c r="C339" s="274" t="s">
        <v>767</v>
      </c>
      <c r="D339" s="273" t="s">
        <v>5289</v>
      </c>
      <c r="E339" s="273"/>
      <c r="F339" s="273"/>
      <c r="G339" s="273" t="s">
        <v>4374</v>
      </c>
      <c r="H339" s="273" t="s">
        <v>4375</v>
      </c>
      <c r="I339" s="273" t="s">
        <v>4376</v>
      </c>
      <c r="J339" s="275" t="str">
        <f>HYPERLINK("https://www.google.com/maps/search/N%C3%BAcleo%20Museol%C3%B3gico%20Isl%C3%A2mico%20de%20Tavira%20Algarve%20Portugal/@37.1261,-7.6508,17z","🏛 Núcleo Museológico Islâmico…")</f>
        <v>🏛 Núcleo Museológico Islâmico…</v>
      </c>
      <c r="K339" s="304" t="s">
        <v>5290</v>
      </c>
    </row>
    <row r="340" spans="1:11" ht="110" customHeight="1" x14ac:dyDescent="0.35">
      <c r="A340" s="354">
        <v>20</v>
      </c>
      <c r="B340" s="277" t="s">
        <v>5291</v>
      </c>
      <c r="C340" s="278" t="s">
        <v>767</v>
      </c>
      <c r="D340" s="277" t="s">
        <v>5292</v>
      </c>
      <c r="E340" s="277"/>
      <c r="F340" s="277"/>
      <c r="G340" s="277" t="s">
        <v>4374</v>
      </c>
      <c r="H340" s="277" t="s">
        <v>4375</v>
      </c>
      <c r="I340" s="277" t="s">
        <v>4376</v>
      </c>
      <c r="J340" s="280" t="str">
        <f>HYPERLINK("https://www.google.com/maps/search/Museu%20do%20Atum%20%E2%80%94%20N%C3%BAcleo%20de%20Santa%20Luzia%20Algarve%20Portugal/@37.1261,-7.6508,17z","🏛 Museu do Atum — Núcleo de S…")</f>
        <v>🏛 Museu do Atum — Núcleo de S…</v>
      </c>
      <c r="K340" s="305" t="s">
        <v>5293</v>
      </c>
    </row>
    <row r="341" spans="1:11" ht="110" customHeight="1" x14ac:dyDescent="0.35">
      <c r="A341" s="348">
        <v>21</v>
      </c>
      <c r="B341" s="273" t="s">
        <v>5294</v>
      </c>
      <c r="C341" s="274" t="s">
        <v>767</v>
      </c>
      <c r="D341" s="273" t="s">
        <v>5295</v>
      </c>
      <c r="E341" s="273"/>
      <c r="F341" s="273"/>
      <c r="G341" s="273" t="s">
        <v>4374</v>
      </c>
      <c r="H341" s="273" t="s">
        <v>4375</v>
      </c>
      <c r="I341" s="273" t="s">
        <v>4376</v>
      </c>
      <c r="J341" s="275" t="str">
        <f>HYPERLINK("https://www.google.com/maps/search/Museu%20Municipal%20de%20Vila%20Real%20de%20Santo%20Ant%C3%B3nio%20Algarve%20Portugal/@37.1961,-7.4144,17z","🏛 Museu Municipal de Vila Rea…")</f>
        <v>🏛 Museu Municipal de Vila Rea…</v>
      </c>
      <c r="K341" s="304" t="s">
        <v>5296</v>
      </c>
    </row>
    <row r="342" spans="1:11" ht="110" customHeight="1" x14ac:dyDescent="0.35">
      <c r="A342" s="354">
        <v>22</v>
      </c>
      <c r="B342" s="277" t="s">
        <v>5297</v>
      </c>
      <c r="C342" s="278" t="s">
        <v>767</v>
      </c>
      <c r="D342" s="277" t="s">
        <v>5298</v>
      </c>
      <c r="E342" s="277"/>
      <c r="F342" s="277"/>
      <c r="G342" s="277" t="s">
        <v>4374</v>
      </c>
      <c r="H342" s="277" t="s">
        <v>4375</v>
      </c>
      <c r="I342" s="277" t="s">
        <v>4376</v>
      </c>
      <c r="J342" s="280" t="str">
        <f>HYPERLINK("https://www.google.com/maps/search/Museu%20Municipal%20de%20Castro%20Marim%20Algarve%20Portugal/@37.2175,-7.4431,17z","🏛 Museu Municipal de Castro M…")</f>
        <v>🏛 Museu Municipal de Castro M…</v>
      </c>
      <c r="K342" s="305" t="s">
        <v>5299</v>
      </c>
    </row>
    <row r="343" spans="1:11" ht="110" customHeight="1" x14ac:dyDescent="0.35">
      <c r="A343" s="348">
        <v>23</v>
      </c>
      <c r="B343" s="273" t="s">
        <v>5300</v>
      </c>
      <c r="C343" s="274" t="s">
        <v>767</v>
      </c>
      <c r="D343" s="273" t="s">
        <v>5301</v>
      </c>
      <c r="E343" s="273"/>
      <c r="F343" s="273"/>
      <c r="G343" s="273" t="s">
        <v>4374</v>
      </c>
      <c r="H343" s="273" t="s">
        <v>4375</v>
      </c>
      <c r="I343" s="273" t="s">
        <v>4376</v>
      </c>
      <c r="J343" s="275" t="str">
        <f>HYPERLINK("https://www.google.com/maps/search/Centro%20de%20Interpreta%C3%A7%C3%A3o%20do%20Castelo%20de%20Castro%20Marim%20Castelo%20de%20Castro%20Marim%2C%20Portugal/@37.2175,-7.4431,17z","🏛 Centro de Interpretação do …")</f>
        <v>🏛 Centro de Interpretação do …</v>
      </c>
      <c r="K343" s="304" t="s">
        <v>5302</v>
      </c>
    </row>
    <row r="344" spans="1:11" ht="110" customHeight="1" x14ac:dyDescent="0.35">
      <c r="A344" s="354">
        <v>24</v>
      </c>
      <c r="B344" s="277" t="s">
        <v>5303</v>
      </c>
      <c r="C344" s="278" t="s">
        <v>767</v>
      </c>
      <c r="D344" s="277" t="s">
        <v>5304</v>
      </c>
      <c r="E344" s="277"/>
      <c r="F344" s="277"/>
      <c r="G344" s="277" t="s">
        <v>4374</v>
      </c>
      <c r="H344" s="277" t="s">
        <v>4375</v>
      </c>
      <c r="I344" s="277" t="s">
        <v>4376</v>
      </c>
      <c r="J344" s="280" t="str">
        <f>HYPERLINK("https://www.google.com/maps/search/Museu%20Municipal%20de%20Alcoutim%20Algarve%20Portugal/@37.4711,-7.4714,17z","🏛 Museu Municipal de Alcoutim")</f>
        <v>🏛 Museu Municipal de Alcoutim</v>
      </c>
      <c r="K344" s="305" t="s">
        <v>4907</v>
      </c>
    </row>
    <row r="345" spans="1:11" ht="110" customHeight="1" x14ac:dyDescent="0.35">
      <c r="A345" s="348">
        <v>25</v>
      </c>
      <c r="B345" s="273" t="s">
        <v>5305</v>
      </c>
      <c r="C345" s="274" t="s">
        <v>767</v>
      </c>
      <c r="D345" s="273" t="s">
        <v>5306</v>
      </c>
      <c r="E345" s="273"/>
      <c r="F345" s="273"/>
      <c r="G345" s="273" t="s">
        <v>4374</v>
      </c>
      <c r="H345" s="273" t="s">
        <v>4375</v>
      </c>
      <c r="I345" s="273" t="s">
        <v>4376</v>
      </c>
      <c r="J345" s="275" t="str">
        <f>HYPERLINK("https://www.google.com/maps/search/Museu%20Municipal%20de%20Monchique%20Algarve%20Portugal/@37.3194,-8.5558,17z","🏛 Museu Municipal de Monchique")</f>
        <v>🏛 Museu Municipal de Monchique</v>
      </c>
      <c r="K345" s="304" t="s">
        <v>4413</v>
      </c>
    </row>
    <row r="346" spans="1:11" ht="110" customHeight="1" x14ac:dyDescent="0.35">
      <c r="A346" s="354">
        <v>26</v>
      </c>
      <c r="B346" s="277" t="s">
        <v>5307</v>
      </c>
      <c r="C346" s="278" t="s">
        <v>767</v>
      </c>
      <c r="D346" s="277" t="s">
        <v>5308</v>
      </c>
      <c r="E346" s="277"/>
      <c r="F346" s="277"/>
      <c r="G346" s="277" t="s">
        <v>4374</v>
      </c>
      <c r="H346" s="277" t="s">
        <v>4375</v>
      </c>
      <c r="I346" s="277" t="s">
        <v>4376</v>
      </c>
      <c r="J346" s="280" t="str">
        <f>HYPERLINK("https://www.google.com/maps/search/Centro%20de%20Interpreta%C3%A7%C3%A3o%20da%20F%C3%B3ia%20F%C3%B3ia%2C%20Portugal/@37.3194,-8.5558,17z","🏛 Centro de Interpretação da …")</f>
        <v>🏛 Centro de Interpretação da …</v>
      </c>
      <c r="K346" s="305" t="s">
        <v>5309</v>
      </c>
    </row>
    <row r="347" spans="1:11" ht="110" customHeight="1" x14ac:dyDescent="0.35">
      <c r="A347" s="348">
        <v>27</v>
      </c>
      <c r="B347" s="273" t="s">
        <v>5310</v>
      </c>
      <c r="C347" s="274" t="s">
        <v>767</v>
      </c>
      <c r="D347" s="273" t="s">
        <v>5311</v>
      </c>
      <c r="E347" s="273"/>
      <c r="F347" s="273"/>
      <c r="G347" s="273" t="s">
        <v>4374</v>
      </c>
      <c r="H347" s="273" t="s">
        <v>4375</v>
      </c>
      <c r="I347" s="273" t="s">
        <v>4376</v>
      </c>
      <c r="J347" s="275" t="str">
        <f>HYPERLINK("https://www.google.com/maps/search/Museu%20Municipal%20de%20Aljezur%20Algarve%20Portugal/@37.3192,-8.8019,17z","🏛 Museu Municipal de Aljezur")</f>
        <v>🏛 Museu Municipal de Aljezur</v>
      </c>
      <c r="K347" s="304" t="s">
        <v>4419</v>
      </c>
    </row>
    <row r="348" spans="1:11" ht="110" customHeight="1" x14ac:dyDescent="0.35">
      <c r="A348" s="354">
        <v>28</v>
      </c>
      <c r="B348" s="277" t="s">
        <v>5312</v>
      </c>
      <c r="C348" s="278" t="s">
        <v>767</v>
      </c>
      <c r="D348" s="277" t="s">
        <v>5313</v>
      </c>
      <c r="E348" s="277"/>
      <c r="F348" s="277"/>
      <c r="G348" s="277" t="s">
        <v>4374</v>
      </c>
      <c r="H348" s="277" t="s">
        <v>4375</v>
      </c>
      <c r="I348" s="277" t="s">
        <v>4376</v>
      </c>
      <c r="J348" s="280" t="str">
        <f>HYPERLINK("https://www.google.com/maps/search/N%C3%BAcleo%20Museol%C3%B3gico%20da%20Fortaleza%20da%20Arrifana%20Arrifana%2C%20Portugal/@37.3192,-8.8019,17z","🏛 Núcleo Museológico da Forta…")</f>
        <v>🏛 Núcleo Museológico da Forta…</v>
      </c>
      <c r="K348" s="305" t="s">
        <v>5314</v>
      </c>
    </row>
    <row r="349" spans="1:11" ht="110" customHeight="1" x14ac:dyDescent="0.35">
      <c r="A349" s="348">
        <v>29</v>
      </c>
      <c r="B349" s="273" t="s">
        <v>5315</v>
      </c>
      <c r="C349" s="274" t="s">
        <v>767</v>
      </c>
      <c r="D349" s="273" t="s">
        <v>5316</v>
      </c>
      <c r="E349" s="273"/>
      <c r="F349" s="273"/>
      <c r="G349" s="273" t="s">
        <v>4374</v>
      </c>
      <c r="H349" s="273" t="s">
        <v>4375</v>
      </c>
      <c r="I349" s="273" t="s">
        <v>4376</v>
      </c>
      <c r="J349" s="275" t="str">
        <f>HYPERLINK("https://www.google.com/maps/search/Museu%20Municipal%20de%20Vila%20do%20Bispo%20Algarve%20Portugal/@37.0808,-8.8997,17z","🏛 Museu Municipal de Vila do …")</f>
        <v>🏛 Museu Municipal de Vila do …</v>
      </c>
      <c r="K349" s="304" t="s">
        <v>4471</v>
      </c>
    </row>
    <row r="350" spans="1:11" ht="110" customHeight="1" x14ac:dyDescent="0.35">
      <c r="A350" s="354">
        <v>30</v>
      </c>
      <c r="B350" s="277" t="s">
        <v>5252</v>
      </c>
      <c r="C350" s="278" t="s">
        <v>767</v>
      </c>
      <c r="D350" s="277" t="s">
        <v>5317</v>
      </c>
      <c r="E350" s="277"/>
      <c r="F350" s="277"/>
      <c r="G350" s="277" t="s">
        <v>5049</v>
      </c>
      <c r="H350" s="277" t="s">
        <v>4438</v>
      </c>
      <c r="I350" s="277" t="s">
        <v>4384</v>
      </c>
      <c r="J350" s="280" t="str">
        <f>HYPERLINK("https://www.google.com/maps/search/Centro%20de%20Interpreta%C3%A7%C3%A3o%20de%20Sagres%20Fortaleza%20de%20Sagres%2C%20Portugal/@37.0808,-8.8997,17z","🏛 Centro de Interpretação de …")</f>
        <v>🏛 Centro de Interpretação de …</v>
      </c>
      <c r="K350" s="305" t="s">
        <v>5254</v>
      </c>
    </row>
    <row r="351" spans="1:11" ht="22" customHeight="1" x14ac:dyDescent="0.35">
      <c r="A351" s="1369" t="s">
        <v>5318</v>
      </c>
      <c r="B351" s="1313"/>
      <c r="C351" s="1313"/>
      <c r="D351" s="1313"/>
      <c r="E351" s="1313"/>
      <c r="F351" s="1313"/>
      <c r="G351" s="1313"/>
      <c r="H351" s="1313"/>
      <c r="I351" s="1313"/>
      <c r="J351" s="1313"/>
      <c r="K351" s="1313"/>
    </row>
    <row r="352" spans="1:11" ht="110" customHeight="1" x14ac:dyDescent="0.35">
      <c r="A352" s="344">
        <v>1</v>
      </c>
      <c r="B352" s="281" t="s">
        <v>5319</v>
      </c>
      <c r="C352" s="282" t="s">
        <v>522</v>
      </c>
      <c r="D352" s="281" t="s">
        <v>5320</v>
      </c>
      <c r="E352" s="281"/>
      <c r="F352" s="281" t="s">
        <v>4495</v>
      </c>
      <c r="G352" s="281" t="s">
        <v>3156</v>
      </c>
      <c r="H352" s="281" t="s">
        <v>5263</v>
      </c>
      <c r="I352" s="281" t="s">
        <v>4497</v>
      </c>
      <c r="J352" s="290" t="str">
        <f>HYPERLINK("https://www.google.com/maps/search/Museu%20Carlos%20Machado%20%E2%80%94%20N%C3%BAcleo%20de%20Arte%20Sacra%20A%C3%A7ores%20Portugal/@37.7394,-25.6659,17z","🏛 Museu Carlos Machado — Núcl…")</f>
        <v>🏛 Museu Carlos Machado — Núcl…</v>
      </c>
      <c r="K352" s="304" t="s">
        <v>5321</v>
      </c>
    </row>
    <row r="353" spans="1:11" ht="110" customHeight="1" x14ac:dyDescent="0.35">
      <c r="A353" s="342">
        <v>2</v>
      </c>
      <c r="B353" s="284" t="s">
        <v>5322</v>
      </c>
      <c r="C353" s="367" t="s">
        <v>522</v>
      </c>
      <c r="D353" s="284" t="s">
        <v>5323</v>
      </c>
      <c r="E353" s="284"/>
      <c r="F353" s="284" t="s">
        <v>1101</v>
      </c>
      <c r="G353" s="284" t="s">
        <v>3156</v>
      </c>
      <c r="H353" s="284" t="s">
        <v>5263</v>
      </c>
      <c r="I353" s="284" t="s">
        <v>4384</v>
      </c>
      <c r="J353" s="364" t="str">
        <f>HYPERLINK("https://www.google.com/maps/search/Centro%20de%20Interpreta%C3%A7%C3%A3o%20do%20Vulc%C3%A3o%20dos%20Capelinhos%20Capelo%2C%20Horta%20Portugal/@38.593,-28.828,17z","🏛 Centro de Interpretação do …")</f>
        <v>🏛 Centro de Interpretação do …</v>
      </c>
      <c r="K353" s="305" t="s">
        <v>5324</v>
      </c>
    </row>
    <row r="354" spans="1:11" ht="110" customHeight="1" x14ac:dyDescent="0.35">
      <c r="A354" s="344">
        <v>3</v>
      </c>
      <c r="B354" s="281" t="s">
        <v>5325</v>
      </c>
      <c r="C354" s="282" t="s">
        <v>522</v>
      </c>
      <c r="D354" s="281" t="s">
        <v>5326</v>
      </c>
      <c r="E354" s="281"/>
      <c r="F354" s="281" t="s">
        <v>4570</v>
      </c>
      <c r="G354" s="281" t="s">
        <v>3156</v>
      </c>
      <c r="H354" s="281" t="s">
        <v>5263</v>
      </c>
      <c r="I354" s="281" t="s">
        <v>4384</v>
      </c>
      <c r="J354" s="290" t="str">
        <f>HYPERLINK("https://www.google.com/maps/search/Museu%20do%20Pico%20%E2%80%94%20N%C3%BAcleo%20dos%20Baleeiros%20Lajes%20do%20Pico%20Portugal/@38.3908,-28.248,17z","🏛 Museu do Pico — Núcleo dos …")</f>
        <v>🏛 Museu do Pico — Núcleo dos …</v>
      </c>
      <c r="K354" s="304" t="s">
        <v>5327</v>
      </c>
    </row>
    <row r="355" spans="1:11" ht="110" customHeight="1" x14ac:dyDescent="0.35">
      <c r="A355" s="342">
        <v>4</v>
      </c>
      <c r="B355" s="284" t="s">
        <v>5328</v>
      </c>
      <c r="C355" s="367" t="s">
        <v>522</v>
      </c>
      <c r="D355" s="284" t="s">
        <v>5329</v>
      </c>
      <c r="E355" s="284"/>
      <c r="F355" s="284" t="s">
        <v>4485</v>
      </c>
      <c r="G355" s="284" t="s">
        <v>3156</v>
      </c>
      <c r="H355" s="284" t="s">
        <v>5263</v>
      </c>
      <c r="I355" s="284" t="s">
        <v>4384</v>
      </c>
      <c r="J355" s="364" t="str">
        <f>HYPERLINK("https://www.google.com/maps/search/Museu%20da%20Horta%20A%C3%A7ores%20Portugal/@38.5342,-28.6248,17z","🏛 Museu da Horta")</f>
        <v>🏛 Museu da Horta</v>
      </c>
      <c r="K355" s="305" t="s">
        <v>5330</v>
      </c>
    </row>
    <row r="356" spans="1:11" ht="110" customHeight="1" x14ac:dyDescent="0.35">
      <c r="A356" s="344">
        <v>5</v>
      </c>
      <c r="B356" s="281" t="s">
        <v>5331</v>
      </c>
      <c r="C356" s="282" t="s">
        <v>522</v>
      </c>
      <c r="D356" s="281" t="s">
        <v>5332</v>
      </c>
      <c r="E356" s="281"/>
      <c r="F356" s="281"/>
      <c r="G356" s="281" t="s">
        <v>3156</v>
      </c>
      <c r="H356" s="281" t="s">
        <v>5263</v>
      </c>
      <c r="I356" s="281" t="s">
        <v>4384</v>
      </c>
      <c r="J356" s="290" t="str">
        <f>HYPERLINK("https://www.google.com/maps/search/Museu%20Carlos%20Machado%20%E2%80%94%20Arte%20Sacra%20A%C3%A7ores%20Portugal/@37.7356,-25.6686,17z","🏛 Museu Carlos Machado — Arte…")</f>
        <v>🏛 Museu Carlos Machado — Arte…</v>
      </c>
      <c r="K356" s="304" t="s">
        <v>5333</v>
      </c>
    </row>
    <row r="357" spans="1:11" ht="110" customHeight="1" x14ac:dyDescent="0.35">
      <c r="A357" s="342">
        <v>6</v>
      </c>
      <c r="B357" s="284" t="s">
        <v>5334</v>
      </c>
      <c r="C357" s="367" t="s">
        <v>522</v>
      </c>
      <c r="D357" s="284" t="s">
        <v>5335</v>
      </c>
      <c r="E357" s="284"/>
      <c r="F357" s="284"/>
      <c r="G357" s="284" t="s">
        <v>3156</v>
      </c>
      <c r="H357" s="284" t="s">
        <v>5263</v>
      </c>
      <c r="I357" s="284" t="s">
        <v>4384</v>
      </c>
      <c r="J357" s="364" t="str">
        <f>HYPERLINK("https://www.google.com/maps/search/Museu%20Carlos%20Machado%20%E2%80%94%20Hist%C3%B3ria%20Natural%20A%C3%A7ores%20Portugal/@37.7356,-25.6686,17z","🏛 Museu Carlos Machado — Hist…")</f>
        <v>🏛 Museu Carlos Machado — Hist…</v>
      </c>
      <c r="K357" s="305" t="s">
        <v>5336</v>
      </c>
    </row>
    <row r="358" spans="1:11" ht="110" customHeight="1" x14ac:dyDescent="0.35">
      <c r="A358" s="344">
        <v>7</v>
      </c>
      <c r="B358" s="281" t="s">
        <v>5337</v>
      </c>
      <c r="C358" s="282" t="s">
        <v>522</v>
      </c>
      <c r="D358" s="281" t="s">
        <v>5338</v>
      </c>
      <c r="E358" s="281"/>
      <c r="F358" s="281"/>
      <c r="G358" s="281" t="s">
        <v>3156</v>
      </c>
      <c r="H358" s="281" t="s">
        <v>5263</v>
      </c>
      <c r="I358" s="281" t="s">
        <v>4384</v>
      </c>
      <c r="J358" s="290" t="str">
        <f>HYPERLINK("https://www.google.com/maps/search/Museu%20Carlos%20Machado%20%E2%80%94%20Santo%20Andr%C3%A9%20A%C3%A7ores%20Portugal/@37.7356,-25.6686,17z","🏛 Museu Carlos Machado — Sant…")</f>
        <v>🏛 Museu Carlos Machado — Sant…</v>
      </c>
      <c r="K358" s="304" t="s">
        <v>5339</v>
      </c>
    </row>
    <row r="359" spans="1:11" ht="110" customHeight="1" x14ac:dyDescent="0.35">
      <c r="A359" s="342">
        <v>8</v>
      </c>
      <c r="B359" s="284" t="s">
        <v>5340</v>
      </c>
      <c r="C359" s="367" t="s">
        <v>522</v>
      </c>
      <c r="D359" s="284" t="s">
        <v>5341</v>
      </c>
      <c r="E359" s="284"/>
      <c r="F359" s="284"/>
      <c r="G359" s="284" t="s">
        <v>4374</v>
      </c>
      <c r="H359" s="284" t="s">
        <v>4375</v>
      </c>
      <c r="I359" s="284" t="s">
        <v>4376</v>
      </c>
      <c r="J359" s="364" t="str">
        <f>HYPERLINK("https://www.google.com/maps/search/Centro%20de%20Interpreta%C3%A7%C3%A3o%20das%20Sete%20Cidades%20Sete%20Cidades%2C%20Portugal/@37.7356,-25.6686,17z","🏛 Centro de Interpretação das…")</f>
        <v>🏛 Centro de Interpretação das…</v>
      </c>
      <c r="K359" s="305" t="s">
        <v>5342</v>
      </c>
    </row>
    <row r="360" spans="1:11" ht="110" customHeight="1" x14ac:dyDescent="0.35">
      <c r="A360" s="344">
        <v>9</v>
      </c>
      <c r="B360" s="281" t="s">
        <v>5343</v>
      </c>
      <c r="C360" s="282" t="s">
        <v>522</v>
      </c>
      <c r="D360" s="281" t="s">
        <v>5344</v>
      </c>
      <c r="E360" s="281"/>
      <c r="F360" s="281"/>
      <c r="G360" s="281" t="s">
        <v>4374</v>
      </c>
      <c r="H360" s="281" t="s">
        <v>4375</v>
      </c>
      <c r="I360" s="281" t="s">
        <v>4376</v>
      </c>
      <c r="J360" s="290" t="str">
        <f>HYPERLINK("https://www.google.com/maps/search/Museu%20Municipal%20da%20Ribeira%20Grande%20A%C3%A7ores%20Portugal/@37.8286,-25.5153,17z","🏛 Museu Municipal da Ribeira …")</f>
        <v>🏛 Museu Municipal da Ribeira …</v>
      </c>
      <c r="K360" s="304" t="s">
        <v>5345</v>
      </c>
    </row>
    <row r="361" spans="1:11" ht="110" customHeight="1" x14ac:dyDescent="0.35">
      <c r="A361" s="342">
        <v>10</v>
      </c>
      <c r="B361" s="284" t="s">
        <v>5346</v>
      </c>
      <c r="C361" s="367" t="s">
        <v>522</v>
      </c>
      <c r="D361" s="284" t="s">
        <v>5347</v>
      </c>
      <c r="E361" s="284"/>
      <c r="F361" s="284"/>
      <c r="G361" s="284" t="s">
        <v>4374</v>
      </c>
      <c r="H361" s="284" t="s">
        <v>4375</v>
      </c>
      <c r="I361" s="284" t="s">
        <v>4376</v>
      </c>
      <c r="J361" s="364" t="str">
        <f>HYPERLINK("https://www.google.com/maps/search/Museu%20Municipal%20da%20Lagoa%20%28A%C3%A7ores%29%20Portugal/@37.7494,-25.5622,17z","🏛 Museu Municipal da Lagoa (A…")</f>
        <v>🏛 Museu Municipal da Lagoa (A…</v>
      </c>
      <c r="K361" s="305" t="s">
        <v>5348</v>
      </c>
    </row>
    <row r="362" spans="1:11" ht="110" customHeight="1" x14ac:dyDescent="0.35">
      <c r="A362" s="344">
        <v>11</v>
      </c>
      <c r="B362" s="281" t="s">
        <v>5349</v>
      </c>
      <c r="C362" s="282" t="s">
        <v>522</v>
      </c>
      <c r="D362" s="281" t="s">
        <v>5350</v>
      </c>
      <c r="E362" s="281"/>
      <c r="F362" s="281"/>
      <c r="G362" s="281" t="s">
        <v>4374</v>
      </c>
      <c r="H362" s="281" t="s">
        <v>4375</v>
      </c>
      <c r="I362" s="281" t="s">
        <v>4376</v>
      </c>
      <c r="J362" s="290" t="str">
        <f>HYPERLINK("https://www.google.com/maps/search/Oficina%20Museu%20da%20Cer%C3%A2mica%20A%C3%A7ores%20Portugal/@37.7494,-25.5622,17z","🏛 Oficina Museu da Cerâmica")</f>
        <v>🏛 Oficina Museu da Cerâmica</v>
      </c>
      <c r="K362" s="304" t="s">
        <v>5351</v>
      </c>
    </row>
    <row r="363" spans="1:11" ht="110" customHeight="1" x14ac:dyDescent="0.35">
      <c r="A363" s="342">
        <v>12</v>
      </c>
      <c r="B363" s="284" t="s">
        <v>5352</v>
      </c>
      <c r="C363" s="367" t="s">
        <v>522</v>
      </c>
      <c r="D363" s="284" t="s">
        <v>5353</v>
      </c>
      <c r="E363" s="284"/>
      <c r="F363" s="284"/>
      <c r="G363" s="284" t="s">
        <v>4374</v>
      </c>
      <c r="H363" s="284" t="s">
        <v>4375</v>
      </c>
      <c r="I363" s="284" t="s">
        <v>4376</v>
      </c>
      <c r="J363" s="364" t="str">
        <f>HYPERLINK("https://www.google.com/maps/search/Museu%20Municipal%20de%20Vila%20Franca%20do%20Campo%20A%C3%A7ores%20Portugal/@37.715,-25.4328,17z","🏛 Museu Municipal de Vila Fra…")</f>
        <v>🏛 Museu Municipal de Vila Fra…</v>
      </c>
      <c r="K363" s="305" t="s">
        <v>5354</v>
      </c>
    </row>
    <row r="364" spans="1:11" ht="110" customHeight="1" x14ac:dyDescent="0.35">
      <c r="A364" s="344">
        <v>13</v>
      </c>
      <c r="B364" s="281" t="s">
        <v>5355</v>
      </c>
      <c r="C364" s="282" t="s">
        <v>522</v>
      </c>
      <c r="D364" s="281" t="s">
        <v>5356</v>
      </c>
      <c r="E364" s="281"/>
      <c r="F364" s="281"/>
      <c r="G364" s="281" t="s">
        <v>4374</v>
      </c>
      <c r="H364" s="281" t="s">
        <v>4375</v>
      </c>
      <c r="I364" s="281" t="s">
        <v>4376</v>
      </c>
      <c r="J364" s="290" t="str">
        <f>HYPERLINK("https://www.google.com/maps/search/Museu%20Municipal%20da%20Povoa%C3%A7%C3%A3o%20A%C3%A7ores%20Portugal/@37.7481,-25.3508,17z","🏛 Museu Municipal da Povoação")</f>
        <v>🏛 Museu Municipal da Povoação</v>
      </c>
      <c r="K364" s="304" t="s">
        <v>4886</v>
      </c>
    </row>
    <row r="365" spans="1:11" ht="110" customHeight="1" x14ac:dyDescent="0.35">
      <c r="A365" s="342">
        <v>14</v>
      </c>
      <c r="B365" s="284" t="s">
        <v>5357</v>
      </c>
      <c r="C365" s="367" t="s">
        <v>522</v>
      </c>
      <c r="D365" s="284" t="s">
        <v>5358</v>
      </c>
      <c r="E365" s="284"/>
      <c r="F365" s="284"/>
      <c r="G365" s="284" t="s">
        <v>4374</v>
      </c>
      <c r="H365" s="284" t="s">
        <v>4375</v>
      </c>
      <c r="I365" s="284" t="s">
        <v>4376</v>
      </c>
      <c r="J365" s="364" t="str">
        <f>HYPERLINK("https://www.google.com/maps/search/Museu%20Municipal%20do%20Nordeste%20A%C3%A7ores%20Portugal/@37.7831,-25.1464,17z","🏛 Museu Municipal do Nordeste")</f>
        <v>🏛 Museu Municipal do Nordeste</v>
      </c>
      <c r="K365" s="305" t="s">
        <v>5359</v>
      </c>
    </row>
    <row r="366" spans="1:11" ht="110" customHeight="1" x14ac:dyDescent="0.35">
      <c r="A366" s="344">
        <v>15</v>
      </c>
      <c r="B366" s="281" t="s">
        <v>5360</v>
      </c>
      <c r="C366" s="282" t="s">
        <v>522</v>
      </c>
      <c r="D366" s="281" t="s">
        <v>5361</v>
      </c>
      <c r="E366" s="281"/>
      <c r="F366" s="281"/>
      <c r="G366" s="281" t="s">
        <v>3156</v>
      </c>
      <c r="H366" s="281" t="s">
        <v>5263</v>
      </c>
      <c r="I366" s="281" t="s">
        <v>4384</v>
      </c>
      <c r="J366" s="290" t="str">
        <f>HYPERLINK("https://www.google.com/maps/search/Museu%20Municipal%20de%20Angra%20do%20Hero%C3%ADsmo%20Pal%C3%A1cio%20Bettencourt%2C%20Portugal/@38.6553,-27.22,17z","🏛 Museu Municipal de Angra do…")</f>
        <v>🏛 Museu Municipal de Angra do…</v>
      </c>
      <c r="K366" s="304" t="s">
        <v>5362</v>
      </c>
    </row>
    <row r="367" spans="1:11" ht="110" customHeight="1" x14ac:dyDescent="0.35">
      <c r="A367" s="342">
        <v>16</v>
      </c>
      <c r="B367" s="284" t="s">
        <v>5363</v>
      </c>
      <c r="C367" s="367" t="s">
        <v>522</v>
      </c>
      <c r="D367" s="284" t="s">
        <v>5364</v>
      </c>
      <c r="E367" s="284"/>
      <c r="F367" s="284"/>
      <c r="G367" s="284" t="s">
        <v>3156</v>
      </c>
      <c r="H367" s="284" t="s">
        <v>5263</v>
      </c>
      <c r="I367" s="284" t="s">
        <v>4384</v>
      </c>
      <c r="J367" s="364" t="str">
        <f>HYPERLINK("https://www.google.com/maps/search/Museu%20de%20Angra%20%E2%80%94%20N%C3%BAcleo%20Militar%20A%C3%A7ores%20Portugal/@38.6553,-27.22,17z","🏛 Museu de Angra — Núcleo Mil…")</f>
        <v>🏛 Museu de Angra — Núcleo Mil…</v>
      </c>
      <c r="K367" s="305" t="s">
        <v>5365</v>
      </c>
    </row>
    <row r="368" spans="1:11" ht="110" customHeight="1" x14ac:dyDescent="0.35">
      <c r="A368" s="344">
        <v>17</v>
      </c>
      <c r="B368" s="281" t="s">
        <v>5366</v>
      </c>
      <c r="C368" s="282" t="s">
        <v>522</v>
      </c>
      <c r="D368" s="281" t="s">
        <v>5367</v>
      </c>
      <c r="E368" s="281"/>
      <c r="F368" s="281"/>
      <c r="G368" s="281" t="s">
        <v>3156</v>
      </c>
      <c r="H368" s="281" t="s">
        <v>5263</v>
      </c>
      <c r="I368" s="281" t="s">
        <v>4384</v>
      </c>
      <c r="J368" s="290" t="str">
        <f>HYPERLINK("https://www.google.com/maps/search/Museu%20de%20Angra%20%E2%80%94%20Hist%C3%B3ria%20Natural%20A%C3%A7ores%20Portugal/@38.6553,-27.22,17z","🏛 Museu de Angra — História N…")</f>
        <v>🏛 Museu de Angra — História N…</v>
      </c>
      <c r="K368" s="304" t="s">
        <v>5368</v>
      </c>
    </row>
    <row r="369" spans="1:11" ht="110" customHeight="1" x14ac:dyDescent="0.35">
      <c r="A369" s="342">
        <v>18</v>
      </c>
      <c r="B369" s="284" t="s">
        <v>5369</v>
      </c>
      <c r="C369" s="367" t="s">
        <v>522</v>
      </c>
      <c r="D369" s="284" t="s">
        <v>5370</v>
      </c>
      <c r="E369" s="284"/>
      <c r="F369" s="284"/>
      <c r="G369" s="284" t="s">
        <v>4374</v>
      </c>
      <c r="H369" s="284" t="s">
        <v>4375</v>
      </c>
      <c r="I369" s="284" t="s">
        <v>4376</v>
      </c>
      <c r="J369" s="364" t="str">
        <f>HYPERLINK("https://www.google.com/maps/search/Museu%20Municipal%20da%20Praia%20da%20Vit%C3%B3ria%20A%C3%A7ores%20Portugal/@38.7347,-27.0583,17z","🏛 Museu Municipal da Praia da…")</f>
        <v>🏛 Museu Municipal da Praia da…</v>
      </c>
      <c r="K369" s="305" t="s">
        <v>5371</v>
      </c>
    </row>
    <row r="370" spans="1:11" ht="110" customHeight="1" x14ac:dyDescent="0.35">
      <c r="A370" s="344">
        <v>19</v>
      </c>
      <c r="B370" s="281" t="s">
        <v>5328</v>
      </c>
      <c r="C370" s="282" t="s">
        <v>522</v>
      </c>
      <c r="D370" s="281" t="s">
        <v>5372</v>
      </c>
      <c r="E370" s="281"/>
      <c r="F370" s="281"/>
      <c r="G370" s="281" t="s">
        <v>3156</v>
      </c>
      <c r="H370" s="281" t="s">
        <v>5263</v>
      </c>
      <c r="I370" s="281" t="s">
        <v>4384</v>
      </c>
      <c r="J370" s="290" t="str">
        <f>HYPERLINK("https://www.google.com/maps/search/Museu%20da%20Horta%20A%C3%A7ores%20Portugal/@38.5322,-28.6281,17z","🏛 Museu da Horta")</f>
        <v>🏛 Museu da Horta</v>
      </c>
      <c r="K370" s="304" t="s">
        <v>5330</v>
      </c>
    </row>
    <row r="371" spans="1:11" ht="110" customHeight="1" x14ac:dyDescent="0.35">
      <c r="A371" s="342">
        <v>20</v>
      </c>
      <c r="B371" s="284" t="s">
        <v>5373</v>
      </c>
      <c r="C371" s="367" t="s">
        <v>522</v>
      </c>
      <c r="D371" s="284" t="s">
        <v>5374</v>
      </c>
      <c r="E371" s="284"/>
      <c r="F371" s="284"/>
      <c r="G371" s="284" t="s">
        <v>3156</v>
      </c>
      <c r="H371" s="284" t="s">
        <v>5263</v>
      </c>
      <c r="I371" s="284" t="s">
        <v>4384</v>
      </c>
      <c r="J371" s="364" t="str">
        <f>HYPERLINK("https://www.google.com/maps/search/Museu%20da%20Horta%20%E2%80%94%20F%C3%A1brica%20da%20Baleia%20Porto%20Pim%2C%20Portugal/@38.5322,-28.6281,17z","🏛 Museu da Horta — Fábrica da…")</f>
        <v>🏛 Museu da Horta — Fábrica da…</v>
      </c>
      <c r="K371" s="305" t="s">
        <v>5375</v>
      </c>
    </row>
    <row r="372" spans="1:11" ht="110" customHeight="1" x14ac:dyDescent="0.35">
      <c r="A372" s="344">
        <v>21</v>
      </c>
      <c r="B372" s="281" t="s">
        <v>5322</v>
      </c>
      <c r="C372" s="282" t="s">
        <v>522</v>
      </c>
      <c r="D372" s="281" t="s">
        <v>5376</v>
      </c>
      <c r="E372" s="281"/>
      <c r="F372" s="281"/>
      <c r="G372" s="281" t="s">
        <v>3156</v>
      </c>
      <c r="H372" s="281" t="s">
        <v>5263</v>
      </c>
      <c r="I372" s="281" t="s">
        <v>4384</v>
      </c>
      <c r="J372" s="290" t="str">
        <f>HYPERLINK("https://www.google.com/maps/search/Centro%20de%20Interpreta%C3%A7%C3%A3o%20do%20Vulc%C3%A3o%20dos%20Capelinhos%20Capelo%2C%20Portugal/@38.5322,-28.6281,17z","🏛 Centro de Interpretação do …")</f>
        <v>🏛 Centro de Interpretação do …</v>
      </c>
      <c r="K372" s="304" t="s">
        <v>5324</v>
      </c>
    </row>
    <row r="373" spans="1:11" ht="110" customHeight="1" x14ac:dyDescent="0.35">
      <c r="A373" s="342">
        <v>22</v>
      </c>
      <c r="B373" s="284" t="s">
        <v>5325</v>
      </c>
      <c r="C373" s="367" t="s">
        <v>522</v>
      </c>
      <c r="D373" s="284" t="s">
        <v>5377</v>
      </c>
      <c r="E373" s="284"/>
      <c r="F373" s="284"/>
      <c r="G373" s="284" t="s">
        <v>3156</v>
      </c>
      <c r="H373" s="284" t="s">
        <v>5263</v>
      </c>
      <c r="I373" s="284" t="s">
        <v>4384</v>
      </c>
      <c r="J373" s="364" t="str">
        <f>HYPERLINK("https://www.google.com/maps/search/Museu%20do%20Pico%20%E2%80%94%20N%C3%BAcleo%20dos%20Baleeiros%20Lajes%20do%20Pico%2C%20Portugal/@38.3964,-28.2503,17z","🏛 Museu do Pico — Núcleo dos …")</f>
        <v>🏛 Museu do Pico — Núcleo dos …</v>
      </c>
      <c r="K373" s="305" t="s">
        <v>5327</v>
      </c>
    </row>
    <row r="374" spans="1:11" ht="110" customHeight="1" x14ac:dyDescent="0.35">
      <c r="A374" s="344">
        <v>23</v>
      </c>
      <c r="B374" s="281" t="s">
        <v>5378</v>
      </c>
      <c r="C374" s="282" t="s">
        <v>522</v>
      </c>
      <c r="D374" s="281" t="s">
        <v>5379</v>
      </c>
      <c r="E374" s="281"/>
      <c r="F374" s="281"/>
      <c r="G374" s="281" t="s">
        <v>3156</v>
      </c>
      <c r="H374" s="281" t="s">
        <v>5263</v>
      </c>
      <c r="I374" s="281" t="s">
        <v>4384</v>
      </c>
      <c r="J374" s="290" t="str">
        <f>HYPERLINK("https://www.google.com/maps/search/Museu%20do%20Pico%20%E2%80%94%20N%C3%BAcleo%20da%20Vinha%20Madalena%2C%20Portugal/@38.5328,-28.5222,17z","🏛 Museu do Pico — Núcleo da V…")</f>
        <v>🏛 Museu do Pico — Núcleo da V…</v>
      </c>
      <c r="K374" s="304" t="s">
        <v>5380</v>
      </c>
    </row>
    <row r="375" spans="1:11" ht="110" customHeight="1" x14ac:dyDescent="0.35">
      <c r="A375" s="342">
        <v>24</v>
      </c>
      <c r="B375" s="284" t="s">
        <v>5381</v>
      </c>
      <c r="C375" s="367" t="s">
        <v>522</v>
      </c>
      <c r="D375" s="284" t="s">
        <v>5382</v>
      </c>
      <c r="E375" s="284"/>
      <c r="F375" s="284"/>
      <c r="G375" s="284" t="s">
        <v>4374</v>
      </c>
      <c r="H375" s="284" t="s">
        <v>4375</v>
      </c>
      <c r="I375" s="284" t="s">
        <v>4376</v>
      </c>
      <c r="J375" s="364" t="str">
        <f>HYPERLINK("https://www.google.com/maps/search/Museu%20Municipal%20de%20S%C3%A3o%20Jorge%20A%C3%A7ores%20Portugal/@38.5783,-28.0139,17z","🏛 Museu Municipal de São Jorge")</f>
        <v>🏛 Museu Municipal de São Jorge</v>
      </c>
      <c r="K375" s="305" t="s">
        <v>5383</v>
      </c>
    </row>
    <row r="376" spans="1:11" ht="110" customHeight="1" x14ac:dyDescent="0.35">
      <c r="A376" s="344">
        <v>25</v>
      </c>
      <c r="B376" s="281" t="s">
        <v>5384</v>
      </c>
      <c r="C376" s="282" t="s">
        <v>522</v>
      </c>
      <c r="D376" s="281" t="s">
        <v>5385</v>
      </c>
      <c r="E376" s="281"/>
      <c r="F376" s="281"/>
      <c r="G376" s="281" t="s">
        <v>4374</v>
      </c>
      <c r="H376" s="281" t="s">
        <v>4375</v>
      </c>
      <c r="I376" s="281" t="s">
        <v>4376</v>
      </c>
      <c r="J376" s="290" t="str">
        <f>HYPERLINK("https://www.google.com/maps/search/Museu%20Municipal%20da%20Graciosa%20A%C3%A7ores%20Portugal/@39.0533,-27.9639,17z","🏛 Museu Municipal da Graciosa")</f>
        <v>🏛 Museu Municipal da Graciosa</v>
      </c>
      <c r="K376" s="304" t="s">
        <v>5386</v>
      </c>
    </row>
    <row r="377" spans="1:11" ht="110" customHeight="1" x14ac:dyDescent="0.35">
      <c r="A377" s="342">
        <v>26</v>
      </c>
      <c r="B377" s="284" t="s">
        <v>5387</v>
      </c>
      <c r="C377" s="367" t="s">
        <v>522</v>
      </c>
      <c r="D377" s="284" t="s">
        <v>5388</v>
      </c>
      <c r="E377" s="284"/>
      <c r="F377" s="284"/>
      <c r="G377" s="284" t="s">
        <v>4374</v>
      </c>
      <c r="H377" s="284" t="s">
        <v>4375</v>
      </c>
      <c r="I377" s="284" t="s">
        <v>4376</v>
      </c>
      <c r="J377" s="364" t="str">
        <f>HYPERLINK("https://www.google.com/maps/search/Museu%20Municipal%20das%20Flores%20A%C3%A7ores%20Portugal/@39.4522,-31.1189,17z","🏛 Museu Municipal das Flores")</f>
        <v>🏛 Museu Municipal das Flores</v>
      </c>
      <c r="K377" s="305" t="s">
        <v>5389</v>
      </c>
    </row>
    <row r="378" spans="1:11" ht="110" customHeight="1" x14ac:dyDescent="0.35">
      <c r="A378" s="344">
        <v>27</v>
      </c>
      <c r="B378" s="281" t="s">
        <v>5390</v>
      </c>
      <c r="C378" s="282" t="s">
        <v>522</v>
      </c>
      <c r="D378" s="281" t="s">
        <v>5391</v>
      </c>
      <c r="E378" s="281"/>
      <c r="F378" s="281"/>
      <c r="G378" s="281" t="s">
        <v>4374</v>
      </c>
      <c r="H378" s="281" t="s">
        <v>4375</v>
      </c>
      <c r="I378" s="281" t="s">
        <v>4376</v>
      </c>
      <c r="J378" s="290" t="str">
        <f>HYPERLINK("https://www.google.com/maps/search/Museu%20Municipal%20de%20Vila%20do%20Porto%20A%C3%A7ores%20Portugal/@36.9439,-25.1469,17z","🏛 Museu Municipal de Vila do …")</f>
        <v>🏛 Museu Municipal de Vila do …</v>
      </c>
      <c r="K378" s="304" t="s">
        <v>5392</v>
      </c>
    </row>
    <row r="379" spans="1:11" ht="22" customHeight="1" x14ac:dyDescent="0.35">
      <c r="A379" s="1370" t="s">
        <v>5393</v>
      </c>
      <c r="B379" s="1313"/>
      <c r="C379" s="1313"/>
      <c r="D379" s="1313"/>
      <c r="E379" s="1313"/>
      <c r="F379" s="1313"/>
      <c r="G379" s="1313"/>
      <c r="H379" s="1313"/>
      <c r="I379" s="1313"/>
      <c r="J379" s="1313"/>
      <c r="K379" s="1313"/>
    </row>
    <row r="380" spans="1:11" ht="110" customHeight="1" x14ac:dyDescent="0.35">
      <c r="A380" s="350">
        <v>1</v>
      </c>
      <c r="B380" s="251" t="s">
        <v>5394</v>
      </c>
      <c r="C380" s="252" t="s">
        <v>524</v>
      </c>
      <c r="D380" s="251" t="s">
        <v>5395</v>
      </c>
      <c r="E380" s="251"/>
      <c r="F380" s="251" t="s">
        <v>4495</v>
      </c>
      <c r="G380" s="251" t="s">
        <v>3156</v>
      </c>
      <c r="H380" s="251" t="s">
        <v>5263</v>
      </c>
      <c r="I380" s="251" t="s">
        <v>4497</v>
      </c>
      <c r="J380" s="291" t="str">
        <f>HYPERLINK("https://www.google.com/maps/search/Museu%20de%20Arte%20Sacra%20do%20Funchal%20Madeira%20Portugal/@32.6492,-16.9096,17z","🏛 Museu de Arte Sacra do Func…")</f>
        <v>🏛 Museu de Arte Sacra do Func…</v>
      </c>
      <c r="K380" s="305" t="s">
        <v>5396</v>
      </c>
    </row>
    <row r="381" spans="1:11" ht="110" customHeight="1" x14ac:dyDescent="0.35">
      <c r="A381" s="356">
        <v>2</v>
      </c>
      <c r="B381" s="254" t="s">
        <v>5397</v>
      </c>
      <c r="C381" s="255" t="s">
        <v>524</v>
      </c>
      <c r="D381" s="254" t="s">
        <v>5398</v>
      </c>
      <c r="E381" s="254"/>
      <c r="F381" s="254" t="s">
        <v>5087</v>
      </c>
      <c r="G381" s="254" t="s">
        <v>3156</v>
      </c>
      <c r="H381" s="254" t="s">
        <v>5263</v>
      </c>
      <c r="I381" s="254" t="s">
        <v>4497</v>
      </c>
      <c r="J381" s="366" t="str">
        <f>HYPERLINK("https://www.google.com/maps/search/Museu%20Quinta%20das%20Cruzes%20Cal%C3%A7ada%20do%20Pico%20Portugal/@32.652,-16.9105,17z","🏛 Museu Quinta das Cruzes")</f>
        <v>🏛 Museu Quinta das Cruzes</v>
      </c>
      <c r="K381" s="304" t="s">
        <v>5399</v>
      </c>
    </row>
    <row r="382" spans="1:11" ht="110" customHeight="1" x14ac:dyDescent="0.35">
      <c r="A382" s="350">
        <v>3</v>
      </c>
      <c r="B382" s="251" t="s">
        <v>5400</v>
      </c>
      <c r="C382" s="252" t="s">
        <v>524</v>
      </c>
      <c r="D382" s="251" t="s">
        <v>5401</v>
      </c>
      <c r="E382" s="251"/>
      <c r="F382" s="251" t="s">
        <v>4559</v>
      </c>
      <c r="G382" s="251" t="s">
        <v>3156</v>
      </c>
      <c r="H382" s="251" t="s">
        <v>5263</v>
      </c>
      <c r="I382" s="251" t="s">
        <v>4497</v>
      </c>
      <c r="J382" s="291" t="str">
        <f>HYPERLINK("https://www.google.com/maps/search/MUDAS%20%E2%80%94%20Museu%20de%20Arte%20Contempor%C3%A2nea%20da%20Madeira%20Estrada%20Sim%C3%A3o%20Gon%C3%A7alves%20da%20C%C3%A2mara%2C%20Calheta%20Portugal/@32.728,-17.165,17z","🏛 MUDAS — Museu de Arte Conte…")</f>
        <v>🏛 MUDAS — Museu de Arte Conte…</v>
      </c>
      <c r="K382" s="305" t="s">
        <v>5402</v>
      </c>
    </row>
    <row r="383" spans="1:11" ht="110" customHeight="1" x14ac:dyDescent="0.35">
      <c r="A383" s="356">
        <v>4</v>
      </c>
      <c r="B383" s="254" t="s">
        <v>5403</v>
      </c>
      <c r="C383" s="255" t="s">
        <v>524</v>
      </c>
      <c r="D383" s="254" t="s">
        <v>5404</v>
      </c>
      <c r="E383" s="254"/>
      <c r="F383" s="254" t="s">
        <v>4508</v>
      </c>
      <c r="G383" s="254" t="s">
        <v>3156</v>
      </c>
      <c r="H383" s="254" t="s">
        <v>5263</v>
      </c>
      <c r="I383" s="254" t="s">
        <v>5405</v>
      </c>
      <c r="J383" s="366" t="str">
        <f>HYPERLINK("https://www.google.com/maps/search/Museu%20Etnogr%C3%A1fico%20da%20Madeira%20Portugal/@32.675,-17.0636,17z","🏛 Museu Etnográfico da Madeira")</f>
        <v>🏛 Museu Etnográfico da Madeira</v>
      </c>
      <c r="K383" s="304" t="s">
        <v>5406</v>
      </c>
    </row>
    <row r="384" spans="1:11" ht="110" customHeight="1" x14ac:dyDescent="0.35">
      <c r="A384" s="350">
        <v>5</v>
      </c>
      <c r="B384" s="251" t="s">
        <v>5407</v>
      </c>
      <c r="C384" s="252" t="s">
        <v>524</v>
      </c>
      <c r="D384" s="251" t="s">
        <v>5408</v>
      </c>
      <c r="E384" s="251"/>
      <c r="F384" s="251" t="s">
        <v>1101</v>
      </c>
      <c r="G384" s="251" t="s">
        <v>3156</v>
      </c>
      <c r="H384" s="251" t="s">
        <v>5263</v>
      </c>
      <c r="I384" s="251" t="s">
        <v>4384</v>
      </c>
      <c r="J384" s="291" t="str">
        <f>HYPERLINK("https://www.google.com/maps/search/Centro%20de%20Interpreta%C3%A7%C3%A3o%20da%20Gruta%20e%20Centro%20do%20Vulcanismo%20S%C3%ADtio%20do%20P%C3%A9%20do%20Passo%2C%20S%C3%A3o%20Vicente%20Portugal/@32.7952,-17.0345,17z","🏛 Centro de Interpretação da …")</f>
        <v>🏛 Centro de Interpretação da …</v>
      </c>
      <c r="K384" s="305" t="s">
        <v>5409</v>
      </c>
    </row>
    <row r="385" spans="1:11" ht="110" customHeight="1" x14ac:dyDescent="0.35">
      <c r="A385" s="356">
        <v>6</v>
      </c>
      <c r="B385" s="254" t="s">
        <v>5394</v>
      </c>
      <c r="C385" s="255" t="s">
        <v>524</v>
      </c>
      <c r="D385" s="254" t="s">
        <v>5410</v>
      </c>
      <c r="E385" s="254"/>
      <c r="F385" s="254"/>
      <c r="G385" s="254" t="s">
        <v>3156</v>
      </c>
      <c r="H385" s="254" t="s">
        <v>5263</v>
      </c>
      <c r="I385" s="254" t="s">
        <v>4384</v>
      </c>
      <c r="J385" s="366" t="str">
        <f>HYPERLINK("https://www.google.com/maps/search/Museu%20de%20Arte%20Sacra%20do%20Funchal%20Madeira%20Portugal/@32.6497,-16.9089,17z","🏛 Museu de Arte Sacra do Func…")</f>
        <v>🏛 Museu de Arte Sacra do Func…</v>
      </c>
      <c r="K385" s="304" t="s">
        <v>5411</v>
      </c>
    </row>
    <row r="386" spans="1:11" ht="110" customHeight="1" x14ac:dyDescent="0.35">
      <c r="A386" s="350">
        <v>7</v>
      </c>
      <c r="B386" s="251" t="s">
        <v>5397</v>
      </c>
      <c r="C386" s="252" t="s">
        <v>524</v>
      </c>
      <c r="D386" s="251" t="s">
        <v>5412</v>
      </c>
      <c r="E386" s="251"/>
      <c r="F386" s="251"/>
      <c r="G386" s="251" t="s">
        <v>3156</v>
      </c>
      <c r="H386" s="251" t="s">
        <v>5263</v>
      </c>
      <c r="I386" s="251" t="s">
        <v>4384</v>
      </c>
      <c r="J386" s="291" t="str">
        <f>HYPERLINK("https://www.google.com/maps/search/Museu%20Quinta%20das%20Cruzes%20Cal%C3%A7ada%20do%20Pico%20Portugal/@32.6497,-16.9089,17z","🏛 Museu Quinta das Cruzes")</f>
        <v>🏛 Museu Quinta das Cruzes</v>
      </c>
      <c r="K386" s="305" t="s">
        <v>5413</v>
      </c>
    </row>
    <row r="387" spans="1:11" ht="110" customHeight="1" x14ac:dyDescent="0.35">
      <c r="A387" s="356">
        <v>8</v>
      </c>
      <c r="B387" s="254" t="s">
        <v>5414</v>
      </c>
      <c r="C387" s="255" t="s">
        <v>524</v>
      </c>
      <c r="D387" s="254" t="s">
        <v>5415</v>
      </c>
      <c r="E387" s="254"/>
      <c r="F387" s="254"/>
      <c r="G387" s="254" t="s">
        <v>3156</v>
      </c>
      <c r="H387" s="254" t="s">
        <v>5263</v>
      </c>
      <c r="I387" s="254" t="s">
        <v>4384</v>
      </c>
      <c r="J387" s="366" t="str">
        <f>HYPERLINK("https://www.google.com/maps/search/Museu%20Henrique%20e%20Francisco%20Franco%20Madeira%20Portugal/@32.6497,-16.9089,17z","🏛 Museu Henrique e Francisco …")</f>
        <v>🏛 Museu Henrique e Francisco …</v>
      </c>
      <c r="K387" s="304" t="s">
        <v>5416</v>
      </c>
    </row>
    <row r="388" spans="1:11" ht="110" customHeight="1" x14ac:dyDescent="0.35">
      <c r="A388" s="350">
        <v>9</v>
      </c>
      <c r="B388" s="251" t="s">
        <v>5417</v>
      </c>
      <c r="C388" s="252" t="s">
        <v>524</v>
      </c>
      <c r="D388" s="251" t="s">
        <v>5418</v>
      </c>
      <c r="E388" s="251"/>
      <c r="F388" s="251"/>
      <c r="G388" s="251" t="s">
        <v>4531</v>
      </c>
      <c r="H388" s="251" t="s">
        <v>4532</v>
      </c>
      <c r="I388" s="251" t="s">
        <v>4533</v>
      </c>
      <c r="J388" s="291" t="str">
        <f>HYPERLINK("https://www.google.com/maps/search/Museu%20CR7%20Madeira%20Portugal/@32.6497,-16.9089,17z","🏛 Museu CR7")</f>
        <v>🏛 Museu CR7</v>
      </c>
      <c r="K388" s="305" t="s">
        <v>5419</v>
      </c>
    </row>
    <row r="389" spans="1:11" ht="110" customHeight="1" x14ac:dyDescent="0.35">
      <c r="A389" s="356">
        <v>10</v>
      </c>
      <c r="B389" s="254" t="s">
        <v>5403</v>
      </c>
      <c r="C389" s="255" t="s">
        <v>524</v>
      </c>
      <c r="D389" s="254" t="s">
        <v>5420</v>
      </c>
      <c r="E389" s="254"/>
      <c r="F389" s="254"/>
      <c r="G389" s="254" t="s">
        <v>3156</v>
      </c>
      <c r="H389" s="254" t="s">
        <v>5263</v>
      </c>
      <c r="I389" s="254" t="s">
        <v>4384</v>
      </c>
      <c r="J389" s="366" t="str">
        <f>HYPERLINK("https://www.google.com/maps/search/Museu%20Etnogr%C3%A1fico%20da%20Madeira%20Portugal/@32.6747,-17.0617,17z","🏛 Museu Etnográfico da Madeira")</f>
        <v>🏛 Museu Etnográfico da Madeira</v>
      </c>
      <c r="K389" s="304" t="s">
        <v>5421</v>
      </c>
    </row>
    <row r="390" spans="1:11" ht="110" customHeight="1" x14ac:dyDescent="0.35">
      <c r="A390" s="350">
        <v>11</v>
      </c>
      <c r="B390" s="251" t="s">
        <v>5422</v>
      </c>
      <c r="C390" s="252" t="s">
        <v>524</v>
      </c>
      <c r="D390" s="251" t="s">
        <v>5423</v>
      </c>
      <c r="E390" s="251"/>
      <c r="F390" s="251"/>
      <c r="G390" s="251" t="s">
        <v>4374</v>
      </c>
      <c r="H390" s="251" t="s">
        <v>4375</v>
      </c>
      <c r="I390" s="251" t="s">
        <v>4376</v>
      </c>
      <c r="J390" s="291" t="str">
        <f>HYPERLINK("https://www.google.com/maps/search/Museu%20Municipal%20de%20C%C3%A2mara%20de%20Lobos%20Madeira%20Portugal/@32.65,-16.9794,17z","🏛 Museu Municipal de Câmara d…")</f>
        <v>🏛 Museu Municipal de Câmara d…</v>
      </c>
      <c r="K390" s="305" t="s">
        <v>5424</v>
      </c>
    </row>
    <row r="391" spans="1:11" ht="110" customHeight="1" x14ac:dyDescent="0.35">
      <c r="A391" s="356">
        <v>12</v>
      </c>
      <c r="B391" s="254" t="s">
        <v>5425</v>
      </c>
      <c r="C391" s="255" t="s">
        <v>524</v>
      </c>
      <c r="D391" s="254" t="s">
        <v>5426</v>
      </c>
      <c r="E391" s="254"/>
      <c r="F391" s="254"/>
      <c r="G391" s="254" t="s">
        <v>4374</v>
      </c>
      <c r="H391" s="254" t="s">
        <v>4375</v>
      </c>
      <c r="I391" s="254" t="s">
        <v>4376</v>
      </c>
      <c r="J391" s="366" t="str">
        <f>HYPERLINK("https://www.google.com/maps/search/Museu%20Municipal%20da%20Ponta%20do%20Sol%20Madeira%20Portugal/@32.6786,-17.1019,17z","🏛 Museu Municipal da Ponta do…")</f>
        <v>🏛 Museu Municipal da Ponta do…</v>
      </c>
      <c r="K391" s="304" t="s">
        <v>5427</v>
      </c>
    </row>
    <row r="392" spans="1:11" ht="110" customHeight="1" x14ac:dyDescent="0.35">
      <c r="A392" s="350">
        <v>13</v>
      </c>
      <c r="B392" s="251" t="s">
        <v>5428</v>
      </c>
      <c r="C392" s="252" t="s">
        <v>524</v>
      </c>
      <c r="D392" s="251" t="s">
        <v>5429</v>
      </c>
      <c r="E392" s="251"/>
      <c r="F392" s="251"/>
      <c r="G392" s="251" t="s">
        <v>4374</v>
      </c>
      <c r="H392" s="251" t="s">
        <v>4375</v>
      </c>
      <c r="I392" s="251" t="s">
        <v>4376</v>
      </c>
      <c r="J392" s="291" t="str">
        <f>HYPERLINK("https://www.google.com/maps/search/Museu%20Municipal%20da%20Calheta%20Madeira%20Portugal/@32.7161,-17.1736,17z","🏛 Museu Municipal da Calheta")</f>
        <v>🏛 Museu Municipal da Calheta</v>
      </c>
      <c r="K392" s="305" t="s">
        <v>5383</v>
      </c>
    </row>
    <row r="393" spans="1:11" ht="110" customHeight="1" x14ac:dyDescent="0.35">
      <c r="A393" s="356">
        <v>14</v>
      </c>
      <c r="B393" s="254" t="s">
        <v>5400</v>
      </c>
      <c r="C393" s="255" t="s">
        <v>524</v>
      </c>
      <c r="D393" s="254" t="s">
        <v>5430</v>
      </c>
      <c r="E393" s="254"/>
      <c r="F393" s="254"/>
      <c r="G393" s="254" t="s">
        <v>3156</v>
      </c>
      <c r="H393" s="254" t="s">
        <v>5263</v>
      </c>
      <c r="I393" s="254" t="s">
        <v>4384</v>
      </c>
      <c r="J393" s="366" t="str">
        <f>HYPERLINK("https://www.google.com/maps/search/MUDAS%20%E2%80%94%20Museu%20de%20Arte%20Contempor%C3%A2nea%20da%20Madeira%20Estrada%20Sim%C3%A3o%20Gon%C3%A7alves%20da%20C%C3%A2mara%2C%20Portugal/@32.7161,-17.1736,17z","🏛 MUDAS — Museu de Arte Conte…")</f>
        <v>🏛 MUDAS — Museu de Arte Conte…</v>
      </c>
      <c r="K393" s="304" t="s">
        <v>5431</v>
      </c>
    </row>
    <row r="394" spans="1:11" ht="110" customHeight="1" x14ac:dyDescent="0.35">
      <c r="A394" s="350">
        <v>15</v>
      </c>
      <c r="B394" s="251" t="s">
        <v>5432</v>
      </c>
      <c r="C394" s="252" t="s">
        <v>524</v>
      </c>
      <c r="D394" s="251" t="s">
        <v>5433</v>
      </c>
      <c r="E394" s="251"/>
      <c r="F394" s="251"/>
      <c r="G394" s="251" t="s">
        <v>4374</v>
      </c>
      <c r="H394" s="251" t="s">
        <v>4375</v>
      </c>
      <c r="I394" s="251" t="s">
        <v>4376</v>
      </c>
      <c r="J394" s="291" t="str">
        <f>HYPERLINK("https://www.google.com/maps/search/Museu%20Municipal%20da%20Ribeira%20Brava%20Madeira%20Portugal/@32.6747,-17.0617,17z","🏛 Museu Municipal da Ribeira …")</f>
        <v>🏛 Museu Municipal da Ribeira …</v>
      </c>
      <c r="K394" s="305" t="s">
        <v>5434</v>
      </c>
    </row>
    <row r="395" spans="1:11" ht="110" customHeight="1" x14ac:dyDescent="0.35">
      <c r="A395" s="356">
        <v>16</v>
      </c>
      <c r="B395" s="254" t="s">
        <v>5435</v>
      </c>
      <c r="C395" s="255" t="s">
        <v>524</v>
      </c>
      <c r="D395" s="254" t="s">
        <v>5436</v>
      </c>
      <c r="E395" s="254"/>
      <c r="F395" s="254"/>
      <c r="G395" s="254" t="s">
        <v>4374</v>
      </c>
      <c r="H395" s="254" t="s">
        <v>4375</v>
      </c>
      <c r="I395" s="254" t="s">
        <v>4376</v>
      </c>
      <c r="J395" s="366" t="str">
        <f>HYPERLINK("https://www.google.com/maps/search/Museu%20Municipal%20de%20S%C3%A3o%20Vicente%20Madeira%20Portugal/@32.7978,-16.9917,17z","🏛 Museu Municipal de São Vice…")</f>
        <v>🏛 Museu Municipal de São Vice…</v>
      </c>
      <c r="K395" s="304" t="s">
        <v>4471</v>
      </c>
    </row>
    <row r="396" spans="1:11" ht="110" customHeight="1" x14ac:dyDescent="0.35">
      <c r="A396" s="350">
        <v>17</v>
      </c>
      <c r="B396" s="251" t="s">
        <v>5437</v>
      </c>
      <c r="C396" s="252" t="s">
        <v>524</v>
      </c>
      <c r="D396" s="251" t="s">
        <v>5438</v>
      </c>
      <c r="E396" s="251"/>
      <c r="F396" s="251"/>
      <c r="G396" s="251" t="s">
        <v>3156</v>
      </c>
      <c r="H396" s="251" t="s">
        <v>5263</v>
      </c>
      <c r="I396" s="251" t="s">
        <v>4384</v>
      </c>
      <c r="J396" s="291" t="str">
        <f>HYPERLINK("https://www.google.com/maps/search/Centro%20de%20Interpreta%C3%A7%C3%A3o%20do%20Vulcanismo%20%28S%C3%A3o%20Vicente%29%20S%C3%ADtio%20do%20P%C3%A9%20do%20Passo%2C%20Portugal/@32.7978,-16.9917,17z","🏛 Centro de Interpretação do …")</f>
        <v>🏛 Centro de Interpretação do …</v>
      </c>
      <c r="K396" s="305" t="s">
        <v>5409</v>
      </c>
    </row>
    <row r="397" spans="1:11" ht="110" customHeight="1" x14ac:dyDescent="0.35">
      <c r="A397" s="356">
        <v>18</v>
      </c>
      <c r="B397" s="254" t="s">
        <v>5439</v>
      </c>
      <c r="C397" s="255" t="s">
        <v>524</v>
      </c>
      <c r="D397" s="254" t="s">
        <v>5440</v>
      </c>
      <c r="E397" s="254"/>
      <c r="F397" s="254"/>
      <c r="G397" s="254" t="s">
        <v>4374</v>
      </c>
      <c r="H397" s="254" t="s">
        <v>4375</v>
      </c>
      <c r="I397" s="254" t="s">
        <v>4376</v>
      </c>
      <c r="J397" s="366" t="str">
        <f>HYPERLINK("https://www.google.com/maps/search/Museu%20Municipal%20do%20Porto%20Moniz%20Madeira%20Portugal/@32.8681,-17.1714,17z","🏛 Museu Municipal do Porto Mo…")</f>
        <v>🏛 Museu Municipal do Porto Mo…</v>
      </c>
      <c r="K397" s="304" t="s">
        <v>5441</v>
      </c>
    </row>
    <row r="398" spans="1:11" ht="110" customHeight="1" x14ac:dyDescent="0.35">
      <c r="A398" s="350">
        <v>19</v>
      </c>
      <c r="B398" s="251" t="s">
        <v>5442</v>
      </c>
      <c r="C398" s="252" t="s">
        <v>524</v>
      </c>
      <c r="D398" s="251" t="s">
        <v>5443</v>
      </c>
      <c r="E398" s="251"/>
      <c r="F398" s="251"/>
      <c r="G398" s="251" t="s">
        <v>4374</v>
      </c>
      <c r="H398" s="251" t="s">
        <v>4375</v>
      </c>
      <c r="I398" s="251" t="s">
        <v>4376</v>
      </c>
      <c r="J398" s="291" t="str">
        <f>HYPERLINK("https://www.google.com/maps/search/Museu%20Municipal%20de%20Santana%20Madeira%20Portugal/@32.7797,-16.8833,17z","🏛 Museu Municipal de Santana")</f>
        <v>🏛 Museu Municipal de Santana</v>
      </c>
      <c r="K398" s="305" t="s">
        <v>5354</v>
      </c>
    </row>
    <row r="399" spans="1:11" ht="110" customHeight="1" x14ac:dyDescent="0.35">
      <c r="A399" s="356">
        <v>20</v>
      </c>
      <c r="B399" s="254" t="s">
        <v>5444</v>
      </c>
      <c r="C399" s="255" t="s">
        <v>524</v>
      </c>
      <c r="D399" s="254" t="s">
        <v>5445</v>
      </c>
      <c r="E399" s="254"/>
      <c r="F399" s="254"/>
      <c r="G399" s="254" t="s">
        <v>4374</v>
      </c>
      <c r="H399" s="254" t="s">
        <v>4375</v>
      </c>
      <c r="I399" s="254" t="s">
        <v>4376</v>
      </c>
      <c r="J399" s="366" t="str">
        <f>HYPERLINK("https://www.google.com/maps/search/Museu%20Municipal%20de%20Machico%20Madeira%20Portugal/@32.7175,-16.7708,17z","🏛 Museu Municipal de Machico")</f>
        <v>🏛 Museu Municipal de Machico</v>
      </c>
      <c r="K399" s="304" t="s">
        <v>5446</v>
      </c>
    </row>
    <row r="400" spans="1:11" ht="110" customHeight="1" x14ac:dyDescent="0.35">
      <c r="A400" s="350">
        <v>21</v>
      </c>
      <c r="B400" s="251" t="s">
        <v>5447</v>
      </c>
      <c r="C400" s="252" t="s">
        <v>524</v>
      </c>
      <c r="D400" s="251" t="s">
        <v>5448</v>
      </c>
      <c r="E400" s="251"/>
      <c r="F400" s="251"/>
      <c r="G400" s="251" t="s">
        <v>4374</v>
      </c>
      <c r="H400" s="251" t="s">
        <v>4375</v>
      </c>
      <c r="I400" s="251" t="s">
        <v>4376</v>
      </c>
      <c r="J400" s="291" t="str">
        <f>HYPERLINK("https://www.google.com/maps/search/Museu%20Municipal%20de%20Santa%20Cruz%20%28Madeira%29%20Portugal/@32.6994,-16.7847,17z","🏛 Museu Municipal de Santa Cr…")</f>
        <v>🏛 Museu Municipal de Santa Cr…</v>
      </c>
      <c r="K400" s="305" t="s">
        <v>5449</v>
      </c>
    </row>
    <row r="402" spans="1:11" x14ac:dyDescent="0.35">
      <c r="A402" s="1353" t="s">
        <v>5450</v>
      </c>
      <c r="B402" s="1354"/>
      <c r="C402" s="1354"/>
      <c r="D402" s="1354"/>
      <c r="E402" s="1354"/>
      <c r="F402" s="1354"/>
      <c r="G402" s="1354"/>
      <c r="H402" s="1354"/>
      <c r="I402" s="1354"/>
      <c r="J402" s="1354"/>
      <c r="K402" s="1354"/>
    </row>
  </sheetData>
  <mergeCells count="10">
    <mergeCell ref="A402:K402"/>
    <mergeCell ref="A260:K260"/>
    <mergeCell ref="A379:K379"/>
    <mergeCell ref="A102:K102"/>
    <mergeCell ref="A1:K1"/>
    <mergeCell ref="A320:K320"/>
    <mergeCell ref="A351:K351"/>
    <mergeCell ref="A206:K206"/>
    <mergeCell ref="A4:K4"/>
    <mergeCell ref="A2:K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6"/>
  <sheetViews>
    <sheetView workbookViewId="0">
      <pane ySplit="3" topLeftCell="A4" activePane="bottomLeft" state="frozen"/>
      <selection pane="bottomLeft" activeCell="G8" sqref="G8"/>
    </sheetView>
  </sheetViews>
  <sheetFormatPr defaultRowHeight="14.5" x14ac:dyDescent="0.35"/>
  <cols>
    <col min="1" max="1" width="4" customWidth="1"/>
    <col min="2" max="2" width="32" customWidth="1"/>
    <col min="3" max="3" width="12" customWidth="1"/>
    <col min="4" max="4" width="22" customWidth="1"/>
    <col min="5" max="6" width="14" customWidth="1"/>
    <col min="7" max="7" width="28" customWidth="1"/>
    <col min="8" max="8" width="40" customWidth="1"/>
    <col min="9" max="9" width="21.81640625" customWidth="1"/>
  </cols>
  <sheetData>
    <row r="1" spans="1:9" ht="32" customHeight="1" x14ac:dyDescent="0.35">
      <c r="A1" s="1476" t="s">
        <v>5451</v>
      </c>
      <c r="B1" s="1313"/>
      <c r="C1" s="1313"/>
      <c r="D1" s="1313"/>
      <c r="E1" s="1313"/>
      <c r="F1" s="1313"/>
      <c r="G1" s="1313"/>
      <c r="H1" s="1313"/>
      <c r="I1" s="1313"/>
    </row>
    <row r="2" spans="1:9" ht="16" customHeight="1" x14ac:dyDescent="0.35">
      <c r="A2" s="1365" t="s">
        <v>5452</v>
      </c>
      <c r="B2" s="1313"/>
      <c r="C2" s="1313"/>
      <c r="D2" s="1313"/>
      <c r="E2" s="1313"/>
      <c r="F2" s="1313"/>
      <c r="G2" s="1313"/>
      <c r="H2" s="1313"/>
      <c r="I2" s="1313"/>
    </row>
    <row r="3" spans="1:9" ht="24" customHeight="1" x14ac:dyDescent="0.35">
      <c r="A3" s="238" t="s">
        <v>141</v>
      </c>
      <c r="B3" s="238" t="s">
        <v>5453</v>
      </c>
      <c r="C3" s="238" t="s">
        <v>16421</v>
      </c>
      <c r="D3" s="238" t="s">
        <v>619</v>
      </c>
      <c r="E3" s="238" t="s">
        <v>5454</v>
      </c>
      <c r="F3" s="238" t="s">
        <v>16422</v>
      </c>
      <c r="G3" s="591" t="s">
        <v>1327</v>
      </c>
      <c r="H3" s="591" t="s">
        <v>8</v>
      </c>
      <c r="I3" s="591" t="s">
        <v>789</v>
      </c>
    </row>
    <row r="4" spans="1:9" ht="22" customHeight="1" x14ac:dyDescent="0.35">
      <c r="A4" s="334" t="s">
        <v>5458</v>
      </c>
      <c r="B4" s="334"/>
      <c r="C4" s="334"/>
      <c r="D4" s="334"/>
      <c r="E4" s="334"/>
      <c r="F4" s="334"/>
      <c r="H4" s="334"/>
      <c r="I4" s="334"/>
    </row>
    <row r="5" spans="1:9" ht="110" customHeight="1" x14ac:dyDescent="0.35">
      <c r="A5" s="338">
        <v>1</v>
      </c>
      <c r="B5" s="239" t="s">
        <v>5459</v>
      </c>
      <c r="C5" s="240" t="s">
        <v>5460</v>
      </c>
      <c r="D5" s="239" t="s">
        <v>792</v>
      </c>
      <c r="E5" s="239" t="s">
        <v>5461</v>
      </c>
      <c r="F5" s="239" t="s">
        <v>5462</v>
      </c>
      <c r="G5" s="239" t="s">
        <v>1527</v>
      </c>
      <c r="H5" s="239" t="s">
        <v>5464</v>
      </c>
      <c r="I5" s="592" t="str">
        <f>HYPERLINK("https://maps.google.com/?q=Albergaria%20Salamandra-lusit%C3%A2nica%20Portugal","📍 Albergaria")</f>
        <v>📍 Albergaria</v>
      </c>
    </row>
    <row r="6" spans="1:9" ht="110" customHeight="1" x14ac:dyDescent="0.35">
      <c r="A6" s="336">
        <v>2</v>
      </c>
      <c r="B6" s="242" t="s">
        <v>5465</v>
      </c>
      <c r="C6" s="243" t="s">
        <v>5460</v>
      </c>
      <c r="D6" s="242" t="s">
        <v>792</v>
      </c>
      <c r="E6" s="242" t="s">
        <v>5466</v>
      </c>
      <c r="F6" s="242" t="s">
        <v>5467</v>
      </c>
      <c r="G6" s="242" t="s">
        <v>1336</v>
      </c>
      <c r="H6" s="242" t="s">
        <v>5468</v>
      </c>
      <c r="I6" s="593" t="str">
        <f>HYPERLINK("https://maps.google.com/?q=Rio%20Sabor%20Lagarto-de-%C3%A1gua%20Portugal","📍 Rio Sabor")</f>
        <v>📍 Rio Sabor</v>
      </c>
    </row>
    <row r="7" spans="1:9" ht="110" customHeight="1" x14ac:dyDescent="0.35">
      <c r="A7" s="338">
        <v>3</v>
      </c>
      <c r="B7" s="239" t="s">
        <v>5469</v>
      </c>
      <c r="C7" s="240" t="s">
        <v>5460</v>
      </c>
      <c r="D7" s="239" t="s">
        <v>792</v>
      </c>
      <c r="E7" s="239" t="s">
        <v>5461</v>
      </c>
      <c r="F7" s="239" t="s">
        <v>5470</v>
      </c>
      <c r="G7" s="239" t="s">
        <v>1527</v>
      </c>
      <c r="H7" s="239" t="s">
        <v>5471</v>
      </c>
      <c r="I7" s="592" t="str">
        <f>HYPERLINK("https://maps.google.com/?q=Serra%20do%20Ger%C3%AAs%20V%C3%ADbora-cornuda%20(Norte)%20Portugal","📍 Serra do Gerês")</f>
        <v>📍 Serra do Gerês</v>
      </c>
    </row>
    <row r="8" spans="1:9" ht="110" customHeight="1" x14ac:dyDescent="0.35">
      <c r="A8" s="336">
        <v>4</v>
      </c>
      <c r="B8" s="242" t="s">
        <v>5472</v>
      </c>
      <c r="C8" s="243" t="s">
        <v>5473</v>
      </c>
      <c r="D8" s="242" t="s">
        <v>792</v>
      </c>
      <c r="E8" s="242" t="s">
        <v>5474</v>
      </c>
      <c r="F8" s="242" t="s">
        <v>5475</v>
      </c>
      <c r="G8" s="242" t="s">
        <v>1527</v>
      </c>
      <c r="H8" s="242" t="s">
        <v>5476</v>
      </c>
      <c r="I8" s="593" t="str">
        <f>HYPERLINK("https://maps.google.com/?q=Odemira%20(Sede)%20Escalo-do-Mira%20Portugal","📍 Odemira (Sede)")</f>
        <v>📍 Odemira (Sede)</v>
      </c>
    </row>
    <row r="9" spans="1:9" ht="110" customHeight="1" x14ac:dyDescent="0.35">
      <c r="A9" s="338">
        <v>5</v>
      </c>
      <c r="B9" s="239" t="s">
        <v>5477</v>
      </c>
      <c r="C9" s="240" t="s">
        <v>5473</v>
      </c>
      <c r="D9" s="239" t="s">
        <v>792</v>
      </c>
      <c r="E9" s="239" t="s">
        <v>5478</v>
      </c>
      <c r="F9" s="239" t="s">
        <v>5479</v>
      </c>
      <c r="G9" s="239" t="s">
        <v>1336</v>
      </c>
      <c r="H9" s="239" t="s">
        <v>5480</v>
      </c>
      <c r="I9" s="592" t="str">
        <f>HYPERLINK("https://maps.google.com/?q=Mon%C3%A7%C3%A3o%20Sarda-comum%20Portugal","📍 Monção")</f>
        <v>📍 Monção</v>
      </c>
    </row>
    <row r="10" spans="1:9" ht="110" customHeight="1" x14ac:dyDescent="0.35">
      <c r="A10" s="336">
        <v>6</v>
      </c>
      <c r="B10" s="242" t="s">
        <v>5481</v>
      </c>
      <c r="C10" s="243" t="s">
        <v>5460</v>
      </c>
      <c r="D10" s="242" t="s">
        <v>836</v>
      </c>
      <c r="E10" s="242" t="s">
        <v>5482</v>
      </c>
      <c r="F10" s="242" t="s">
        <v>5483</v>
      </c>
      <c r="G10" s="242" t="s">
        <v>1336</v>
      </c>
      <c r="H10" s="242" t="s">
        <v>5485</v>
      </c>
      <c r="I10" s="593" t="str">
        <f>HYPERLINK("https://maps.google.com/?q=Alcanena%20Cobra-rateira%20Portugal","📍 Alcanena")</f>
        <v>📍 Alcanena</v>
      </c>
    </row>
    <row r="11" spans="1:9" ht="110" customHeight="1" x14ac:dyDescent="0.35">
      <c r="A11" s="338">
        <v>7</v>
      </c>
      <c r="B11" s="239" t="s">
        <v>5486</v>
      </c>
      <c r="C11" s="240" t="s">
        <v>5460</v>
      </c>
      <c r="D11" s="239" t="s">
        <v>836</v>
      </c>
      <c r="E11" s="239" t="s">
        <v>5487</v>
      </c>
      <c r="F11" s="239" t="s">
        <v>5488</v>
      </c>
      <c r="G11" s="239" t="s">
        <v>1336</v>
      </c>
      <c r="H11" s="239" t="s">
        <v>5489</v>
      </c>
      <c r="I11" s="592" t="str">
        <f>HYPERLINK("https://maps.google.com/?q=Lous%C3%A3%20Sapo-parteiro-ib%C3%A9rico%20Portugal","📍 Lousã")</f>
        <v>📍 Lousã</v>
      </c>
    </row>
    <row r="12" spans="1:9" ht="110" customHeight="1" x14ac:dyDescent="0.35">
      <c r="A12" s="336">
        <v>8</v>
      </c>
      <c r="B12" s="242" t="s">
        <v>5490</v>
      </c>
      <c r="C12" s="243" t="s">
        <v>5491</v>
      </c>
      <c r="D12" s="242" t="s">
        <v>836</v>
      </c>
      <c r="E12" s="242" t="s">
        <v>5492</v>
      </c>
      <c r="F12" s="242" t="s">
        <v>5483</v>
      </c>
      <c r="G12" s="242" t="s">
        <v>1527</v>
      </c>
      <c r="H12" s="242" t="s">
        <v>5493</v>
      </c>
      <c r="I12" s="593" t="str">
        <f>HYPERLINK("https://maps.google.com/?q=Alcanena%20Morcego-de-ferradura%20Portugal","📍 Alcanena")</f>
        <v>📍 Alcanena</v>
      </c>
    </row>
    <row r="13" spans="1:9" ht="110" customHeight="1" x14ac:dyDescent="0.35">
      <c r="A13" s="338">
        <v>9</v>
      </c>
      <c r="B13" s="239" t="s">
        <v>5494</v>
      </c>
      <c r="C13" s="240" t="s">
        <v>5495</v>
      </c>
      <c r="D13" s="239" t="s">
        <v>836</v>
      </c>
      <c r="E13" s="239" t="s">
        <v>5496</v>
      </c>
      <c r="F13" s="239" t="s">
        <v>5497</v>
      </c>
      <c r="G13" s="239" t="s">
        <v>1336</v>
      </c>
      <c r="H13" s="239" t="s">
        <v>5498</v>
      </c>
      <c r="I13" s="592" t="str">
        <f>HYPERLINK("https://maps.google.com/?q=Coimbra%20Gar%C3%A7a-vermelha%20Portugal","📍 Coimbra")</f>
        <v>📍 Coimbra</v>
      </c>
    </row>
    <row r="14" spans="1:9" ht="110" customHeight="1" x14ac:dyDescent="0.35">
      <c r="A14" s="336">
        <v>10</v>
      </c>
      <c r="B14" s="242" t="s">
        <v>5499</v>
      </c>
      <c r="C14" s="243" t="s">
        <v>5473</v>
      </c>
      <c r="D14" s="242" t="s">
        <v>836</v>
      </c>
      <c r="E14" s="242" t="s">
        <v>5500</v>
      </c>
      <c r="F14" s="242" t="s">
        <v>5501</v>
      </c>
      <c r="G14" s="242" t="s">
        <v>1527</v>
      </c>
      <c r="H14" s="242" t="s">
        <v>5502</v>
      </c>
      <c r="I14" s="593" t="str">
        <f>HYPERLINK("https://maps.google.com/?q=Santar%C3%A9m%20Ruivaco%20Portugal","📍 Santarém")</f>
        <v>📍 Santarém</v>
      </c>
    </row>
    <row r="15" spans="1:9" ht="110" customHeight="1" x14ac:dyDescent="0.35">
      <c r="A15" s="338">
        <v>11</v>
      </c>
      <c r="B15" s="239" t="s">
        <v>5503</v>
      </c>
      <c r="C15" s="240" t="s">
        <v>5495</v>
      </c>
      <c r="D15" s="239" t="s">
        <v>853</v>
      </c>
      <c r="E15" s="239" t="s">
        <v>5504</v>
      </c>
      <c r="F15" s="239" t="s">
        <v>1227</v>
      </c>
      <c r="G15" s="239" t="s">
        <v>1392</v>
      </c>
      <c r="H15" s="239" t="s">
        <v>5506</v>
      </c>
      <c r="I15" s="592" t="str">
        <f>HYPERLINK("https://maps.google.com/?q=Castro%20Verde%20Corticol-de-barriga-preta%20Portugal","📍 Castro Verde")</f>
        <v>📍 Castro Verde</v>
      </c>
    </row>
    <row r="16" spans="1:9" ht="110" customHeight="1" x14ac:dyDescent="0.35">
      <c r="A16" s="336">
        <v>12</v>
      </c>
      <c r="B16" s="242" t="s">
        <v>5507</v>
      </c>
      <c r="C16" s="243" t="s">
        <v>5495</v>
      </c>
      <c r="D16" s="242" t="s">
        <v>853</v>
      </c>
      <c r="E16" s="242" t="s">
        <v>5508</v>
      </c>
      <c r="F16" s="242" t="s">
        <v>933</v>
      </c>
      <c r="G16" s="242" t="s">
        <v>1392</v>
      </c>
      <c r="H16" s="242" t="s">
        <v>5510</v>
      </c>
      <c r="I16" s="593" t="str">
        <f>HYPERLINK("https://maps.google.com/?q=Idanha-a-Nova%20Abutre-do-egito%20Portugal","📍 Idanha-a-Nova")</f>
        <v>📍 Idanha-a-Nova</v>
      </c>
    </row>
    <row r="17" spans="1:9" ht="110" customHeight="1" x14ac:dyDescent="0.35">
      <c r="A17" s="338">
        <v>13</v>
      </c>
      <c r="B17" s="239" t="s">
        <v>5511</v>
      </c>
      <c r="C17" s="240" t="s">
        <v>5460</v>
      </c>
      <c r="D17" s="239" t="s">
        <v>853</v>
      </c>
      <c r="E17" s="239" t="s">
        <v>5512</v>
      </c>
      <c r="F17" s="239" t="s">
        <v>1412</v>
      </c>
      <c r="G17" s="239" t="s">
        <v>1336</v>
      </c>
      <c r="H17" s="239" t="s">
        <v>5513</v>
      </c>
      <c r="I17" s="592" t="str">
        <f>HYPERLINK("https://maps.google.com/?q=%C3%89vora%20Cobra-ferradura%20Portugal","📍 Évora")</f>
        <v>📍 Évora</v>
      </c>
    </row>
    <row r="18" spans="1:9" ht="110" customHeight="1" x14ac:dyDescent="0.35">
      <c r="A18" s="336">
        <v>14</v>
      </c>
      <c r="B18" s="242" t="s">
        <v>5514</v>
      </c>
      <c r="C18" s="243" t="s">
        <v>5491</v>
      </c>
      <c r="D18" s="242" t="s">
        <v>853</v>
      </c>
      <c r="E18" s="242" t="s">
        <v>5515</v>
      </c>
      <c r="F18" s="242" t="s">
        <v>5516</v>
      </c>
      <c r="G18" s="242" t="s">
        <v>1336</v>
      </c>
      <c r="H18" s="242" t="s">
        <v>5518</v>
      </c>
      <c r="I18" s="593" t="str">
        <f>HYPERLINK("https://maps.google.com/?q=Alc%C3%A1cer%20do%20Sal%20Geneta%20Portugal","📍 Alcácer do Sal")</f>
        <v>📍 Alcácer do Sal</v>
      </c>
    </row>
    <row r="19" spans="1:9" ht="110" customHeight="1" x14ac:dyDescent="0.35">
      <c r="A19" s="338">
        <v>15</v>
      </c>
      <c r="B19" s="239" t="s">
        <v>5519</v>
      </c>
      <c r="C19" s="240" t="s">
        <v>5473</v>
      </c>
      <c r="D19" s="239" t="s">
        <v>767</v>
      </c>
      <c r="E19" s="239" t="s">
        <v>5520</v>
      </c>
      <c r="F19" s="239" t="s">
        <v>2172</v>
      </c>
      <c r="G19" s="239" t="s">
        <v>1527</v>
      </c>
      <c r="H19" s="239" t="s">
        <v>5521</v>
      </c>
      <c r="I19" s="592" t="str">
        <f>HYPERLINK("https://maps.google.com/?q=Loul%C3%A9%20Caboz-de-%C3%A1gua-doce%20Portugal","📍 Loulé")</f>
        <v>📍 Loulé</v>
      </c>
    </row>
    <row r="20" spans="1:9" ht="110" customHeight="1" x14ac:dyDescent="0.35">
      <c r="A20" s="336">
        <v>16</v>
      </c>
      <c r="B20" s="242" t="s">
        <v>5522</v>
      </c>
      <c r="C20" s="243" t="s">
        <v>5495</v>
      </c>
      <c r="D20" s="242" t="s">
        <v>767</v>
      </c>
      <c r="E20" s="242" t="s">
        <v>5523</v>
      </c>
      <c r="F20" s="242" t="s">
        <v>5524</v>
      </c>
      <c r="G20" s="242" t="s">
        <v>1336</v>
      </c>
      <c r="H20" s="242" t="s">
        <v>5525</v>
      </c>
      <c r="I20" s="593" t="str">
        <f>HYPERLINK("https://maps.google.com/?q=Salir%20Melro-azul%20Portugal","📍 Salir")</f>
        <v>📍 Salir</v>
      </c>
    </row>
    <row r="21" spans="1:9" ht="110" customHeight="1" x14ac:dyDescent="0.35">
      <c r="A21" s="338">
        <v>17</v>
      </c>
      <c r="B21" s="239" t="s">
        <v>5526</v>
      </c>
      <c r="C21" s="240" t="s">
        <v>5495</v>
      </c>
      <c r="D21" s="239" t="s">
        <v>767</v>
      </c>
      <c r="E21" s="239" t="s">
        <v>2719</v>
      </c>
      <c r="F21" s="239" t="s">
        <v>5527</v>
      </c>
      <c r="G21" s="239" t="s">
        <v>1336</v>
      </c>
      <c r="H21" s="239" t="s">
        <v>5529</v>
      </c>
      <c r="I21" s="592" t="str">
        <f>HYPERLINK("https://maps.google.com/?q=Olh%C3%A3o%20Gar%C3%A7a-branca%20Portugal","📍 Olhão")</f>
        <v>📍 Olhão</v>
      </c>
    </row>
    <row r="22" spans="1:9" ht="110" customHeight="1" x14ac:dyDescent="0.35">
      <c r="A22" s="336">
        <v>18</v>
      </c>
      <c r="B22" s="242" t="s">
        <v>5530</v>
      </c>
      <c r="C22" s="243" t="s">
        <v>5495</v>
      </c>
      <c r="D22" s="242" t="s">
        <v>767</v>
      </c>
      <c r="E22" s="242" t="s">
        <v>5531</v>
      </c>
      <c r="F22" s="242" t="s">
        <v>5532</v>
      </c>
      <c r="G22" s="242" t="s">
        <v>1336</v>
      </c>
      <c r="H22" s="242" t="s">
        <v>5533</v>
      </c>
      <c r="I22" s="593" t="str">
        <f>HYPERLINK("https://maps.google.com/?q=Castro%20Marim%20Perna-longa%20Portugal","📍 Castro Marim")</f>
        <v>📍 Castro Marim</v>
      </c>
    </row>
    <row r="23" spans="1:9" ht="110" customHeight="1" x14ac:dyDescent="0.35">
      <c r="A23" s="338">
        <v>19</v>
      </c>
      <c r="B23" s="239" t="s">
        <v>5534</v>
      </c>
      <c r="C23" s="240" t="s">
        <v>5535</v>
      </c>
      <c r="D23" s="239" t="s">
        <v>522</v>
      </c>
      <c r="E23" s="239" t="s">
        <v>5536</v>
      </c>
      <c r="F23" s="239" t="s">
        <v>5537</v>
      </c>
      <c r="G23" s="239" t="s">
        <v>1527</v>
      </c>
      <c r="H23" s="239" t="s">
        <v>5538</v>
      </c>
      <c r="I23" s="592" t="str">
        <f>HYPERLINK("https://maps.google.com/?q=Ilha%20da%20Graciosa%20Painho-de-monteiro%20Portugal","📍 Ilha da Graciosa")</f>
        <v>📍 Ilha da Graciosa</v>
      </c>
    </row>
    <row r="24" spans="1:9" ht="110" customHeight="1" x14ac:dyDescent="0.35">
      <c r="A24" s="336">
        <v>20</v>
      </c>
      <c r="B24" s="242" t="s">
        <v>5539</v>
      </c>
      <c r="C24" s="243" t="s">
        <v>5495</v>
      </c>
      <c r="D24" s="242" t="s">
        <v>524</v>
      </c>
      <c r="E24" s="242" t="s">
        <v>5540</v>
      </c>
      <c r="F24" s="242" t="s">
        <v>5541</v>
      </c>
      <c r="G24" s="242" t="s">
        <v>1527</v>
      </c>
      <c r="H24" s="242" t="s">
        <v>5543</v>
      </c>
      <c r="I24" s="593" t="str">
        <f>HYPERLINK("https://maps.google.com/?q=Ribeiro%20Frio%20Bis-bis%20Portugal","📍 Ribeiro Frio")</f>
        <v>📍 Ribeiro Frio</v>
      </c>
    </row>
    <row r="25" spans="1:9" ht="110" customHeight="1" x14ac:dyDescent="0.35">
      <c r="A25" s="338">
        <v>21</v>
      </c>
      <c r="B25" s="239" t="s">
        <v>5544</v>
      </c>
      <c r="C25" s="240" t="s">
        <v>5545</v>
      </c>
      <c r="D25" s="239" t="s">
        <v>792</v>
      </c>
      <c r="E25" s="239" t="s">
        <v>5546</v>
      </c>
      <c r="F25" s="239" t="s">
        <v>5547</v>
      </c>
      <c r="G25" s="239" t="s">
        <v>1336</v>
      </c>
      <c r="H25" s="239" t="s">
        <v>5548</v>
      </c>
      <c r="I25" s="592" t="str">
        <f>HYPERLINK("https://maps.google.com/?q=Largo%20da%20Igreja%2C%20Atenor%20Burro%20de%20Miranda%20Portugal","📍 Largo da Igreja, Atenor")</f>
        <v>📍 Largo da Igreja, Atenor</v>
      </c>
    </row>
    <row r="26" spans="1:9" ht="110" customHeight="1" x14ac:dyDescent="0.35">
      <c r="A26" s="336">
        <v>22</v>
      </c>
      <c r="B26" s="242" t="s">
        <v>5549</v>
      </c>
      <c r="C26" s="243" t="s">
        <v>5545</v>
      </c>
      <c r="D26" s="242" t="s">
        <v>792</v>
      </c>
      <c r="E26" s="242" t="s">
        <v>5550</v>
      </c>
      <c r="F26" s="242" t="s">
        <v>5551</v>
      </c>
      <c r="G26" s="242" t="s">
        <v>1336</v>
      </c>
      <c r="H26" s="242" t="s">
        <v>5552</v>
      </c>
      <c r="I26" s="593" t="str">
        <f>HYPERLINK("https://maps.google.com/?q=Quinta%20da%20Lage%2C%20Vieira%20do%20Minho%20Bovino%20Barrosa%20Portugal","📍 Quinta da Lage, Vieira do Mi")</f>
        <v>📍 Quinta da Lage, Vieira do Mi</v>
      </c>
    </row>
    <row r="27" spans="1:9" ht="110" customHeight="1" x14ac:dyDescent="0.35">
      <c r="A27" s="338">
        <v>23</v>
      </c>
      <c r="B27" s="239" t="s">
        <v>5553</v>
      </c>
      <c r="C27" s="240" t="s">
        <v>5545</v>
      </c>
      <c r="D27" s="239" t="s">
        <v>792</v>
      </c>
      <c r="E27" s="239" t="s">
        <v>5554</v>
      </c>
      <c r="F27" s="239" t="s">
        <v>1935</v>
      </c>
      <c r="G27" s="239" t="s">
        <v>1336</v>
      </c>
      <c r="H27" s="239" t="s">
        <v>5555</v>
      </c>
      <c r="I27" s="592" t="str">
        <f>HYPERLINK("https://maps.google.com/?q=Miranda%20do%20Douro%20Bovino%20Mirandesa%20Portugal","📍 Miranda do Douro")</f>
        <v>📍 Miranda do Douro</v>
      </c>
    </row>
    <row r="28" spans="1:9" ht="110" customHeight="1" x14ac:dyDescent="0.35">
      <c r="A28" s="336">
        <v>24</v>
      </c>
      <c r="B28" s="242" t="s">
        <v>5556</v>
      </c>
      <c r="C28" s="243" t="s">
        <v>5491</v>
      </c>
      <c r="D28" s="242" t="s">
        <v>792</v>
      </c>
      <c r="E28" s="242" t="s">
        <v>5461</v>
      </c>
      <c r="F28" s="242" t="s">
        <v>5557</v>
      </c>
      <c r="G28" s="242" t="s">
        <v>1336</v>
      </c>
      <c r="H28" s="242" t="s">
        <v>5558</v>
      </c>
      <c r="I28" s="593" t="str">
        <f>HYPERLINK("https://maps.google.com/?q=Porta%20do%20Mezio%2C%20Arcos%20de%20Valdevez%20Lobo%20Ib%C3%A9rico%20Portugal","📍 Porta do Mezio, Arcos de Val")</f>
        <v>📍 Porta do Mezio, Arcos de Val</v>
      </c>
    </row>
    <row r="29" spans="1:9" ht="110" customHeight="1" x14ac:dyDescent="0.35">
      <c r="A29" s="338">
        <v>25</v>
      </c>
      <c r="B29" s="239" t="s">
        <v>5559</v>
      </c>
      <c r="C29" s="240" t="s">
        <v>5545</v>
      </c>
      <c r="D29" s="239" t="s">
        <v>792</v>
      </c>
      <c r="E29" s="239" t="s">
        <v>5560</v>
      </c>
      <c r="F29" s="239" t="s">
        <v>5561</v>
      </c>
      <c r="G29" s="239" t="s">
        <v>1336</v>
      </c>
      <c r="H29" s="239" t="s">
        <v>5562</v>
      </c>
      <c r="I29" s="592" t="str">
        <f>HYPERLINK("https://maps.google.com/?q=Arcos%2C%20Ponte%20de%20Lima%20Cavalo%20Garrano%20Portugal","📍 Arcos, Ponte de Lima")</f>
        <v>📍 Arcos, Ponte de Lima</v>
      </c>
    </row>
    <row r="30" spans="1:9" ht="110" customHeight="1" x14ac:dyDescent="0.35">
      <c r="A30" s="336">
        <v>26</v>
      </c>
      <c r="B30" s="242" t="s">
        <v>5563</v>
      </c>
      <c r="C30" s="243" t="s">
        <v>5545</v>
      </c>
      <c r="D30" s="242" t="s">
        <v>792</v>
      </c>
      <c r="E30" s="242" t="s">
        <v>5564</v>
      </c>
      <c r="F30" s="242" t="s">
        <v>5565</v>
      </c>
      <c r="G30" s="242" t="s">
        <v>1336</v>
      </c>
      <c r="H30" s="242" t="s">
        <v>5566</v>
      </c>
      <c r="I30" s="593" t="str">
        <f>HYPERLINK("https://maps.google.com/?q=Lindoso%2C%20Ponte%20da%20Barca%20Bovino%20Cachena%20Portugal","📍 Lindoso, Ponte da Barca")</f>
        <v>📍 Lindoso, Ponte da Barca</v>
      </c>
    </row>
    <row r="31" spans="1:9" ht="110" customHeight="1" x14ac:dyDescent="0.35">
      <c r="A31" s="338">
        <v>27</v>
      </c>
      <c r="B31" s="239" t="s">
        <v>5567</v>
      </c>
      <c r="C31" s="240" t="s">
        <v>5568</v>
      </c>
      <c r="D31" s="239" t="s">
        <v>792</v>
      </c>
      <c r="E31" s="239" t="s">
        <v>5569</v>
      </c>
      <c r="F31" s="239" t="s">
        <v>5570</v>
      </c>
      <c r="G31" s="239" t="s">
        <v>1336</v>
      </c>
      <c r="H31" s="239" t="s">
        <v>5571</v>
      </c>
      <c r="I31" s="592" t="str">
        <f>HYPERLINK("https://maps.google.com/?q=Castro%20Laboreiro%20C%C3%A3o%20Castro%20Laboreiro%20Portugal","📍 Castro Laboreiro")</f>
        <v>📍 Castro Laboreiro</v>
      </c>
    </row>
    <row r="32" spans="1:9" ht="110" customHeight="1" x14ac:dyDescent="0.35">
      <c r="A32" s="336">
        <v>28</v>
      </c>
      <c r="B32" s="242" t="s">
        <v>5572</v>
      </c>
      <c r="C32" s="243" t="s">
        <v>5545</v>
      </c>
      <c r="D32" s="242" t="s">
        <v>792</v>
      </c>
      <c r="E32" s="242" t="s">
        <v>5573</v>
      </c>
      <c r="F32" s="242" t="s">
        <v>5574</v>
      </c>
      <c r="G32" s="242" t="s">
        <v>1336</v>
      </c>
      <c r="H32" s="242" t="s">
        <v>5575</v>
      </c>
      <c r="I32" s="593" t="str">
        <f>HYPERLINK("https://maps.google.com/?q=Gimonde%2C%20Bragan%C3%A7a%20Porco%20B%C3%ADsaro%20Portugal","📍 Gimonde, Bragança")</f>
        <v>📍 Gimonde, Bragança</v>
      </c>
    </row>
    <row r="33" spans="1:9" ht="110" customHeight="1" x14ac:dyDescent="0.35">
      <c r="A33" s="338">
        <v>29</v>
      </c>
      <c r="B33" s="239" t="s">
        <v>5576</v>
      </c>
      <c r="C33" s="240" t="s">
        <v>5545</v>
      </c>
      <c r="D33" s="239" t="s">
        <v>792</v>
      </c>
      <c r="E33" s="239" t="s">
        <v>5577</v>
      </c>
      <c r="F33" s="239" t="s">
        <v>5578</v>
      </c>
      <c r="G33" s="239" t="s">
        <v>1336</v>
      </c>
      <c r="H33" s="239" t="s">
        <v>5579</v>
      </c>
      <c r="I33" s="592" t="str">
        <f>HYPERLINK("https://maps.google.com/?q=Vila%20Real%20Bovino%20Maronesa%20Portugal","📍 Vila Real")</f>
        <v>📍 Vila Real</v>
      </c>
    </row>
    <row r="34" spans="1:9" ht="110" customHeight="1" x14ac:dyDescent="0.35">
      <c r="A34" s="336">
        <v>30</v>
      </c>
      <c r="B34" s="242" t="s">
        <v>5580</v>
      </c>
      <c r="C34" s="243" t="s">
        <v>5545</v>
      </c>
      <c r="D34" s="242" t="s">
        <v>792</v>
      </c>
      <c r="E34" s="242" t="s">
        <v>5581</v>
      </c>
      <c r="F34" s="242" t="s">
        <v>5582</v>
      </c>
      <c r="G34" s="242" t="s">
        <v>1336</v>
      </c>
      <c r="H34" s="242" t="s">
        <v>5583</v>
      </c>
      <c r="I34" s="593" t="str">
        <f>HYPERLINK("https://maps.google.com/?q=Rossas%2C%20Arouca%20Bovino%20Arouquesa%20Portugal","📍 Rossas, Arouca")</f>
        <v>📍 Rossas, Arouca</v>
      </c>
    </row>
    <row r="35" spans="1:9" ht="110" customHeight="1" x14ac:dyDescent="0.35">
      <c r="A35" s="338">
        <v>31</v>
      </c>
      <c r="B35" s="239" t="s">
        <v>5584</v>
      </c>
      <c r="C35" s="240" t="s">
        <v>5568</v>
      </c>
      <c r="D35" s="239" t="s">
        <v>792</v>
      </c>
      <c r="E35" s="239" t="s">
        <v>5585</v>
      </c>
      <c r="F35" s="239" t="s">
        <v>2023</v>
      </c>
      <c r="G35" s="239" t="s">
        <v>1336</v>
      </c>
      <c r="H35" s="239" t="s">
        <v>5586</v>
      </c>
      <c r="I35" s="592" t="str">
        <f>HYPERLINK("https://maps.google.com/?q=Vinhais%20C%C3%A3o%20Gado%20Transmontano%20Portugal","📍 Vinhais")</f>
        <v>📍 Vinhais</v>
      </c>
    </row>
    <row r="36" spans="1:9" ht="110" customHeight="1" x14ac:dyDescent="0.35">
      <c r="A36" s="336">
        <v>32</v>
      </c>
      <c r="B36" s="242" t="s">
        <v>5587</v>
      </c>
      <c r="C36" s="243" t="s">
        <v>5545</v>
      </c>
      <c r="D36" s="242" t="s">
        <v>792</v>
      </c>
      <c r="E36" s="242" t="s">
        <v>5588</v>
      </c>
      <c r="F36" s="242" t="s">
        <v>2028</v>
      </c>
      <c r="G36" s="242" t="s">
        <v>1336</v>
      </c>
      <c r="H36" s="242" t="s">
        <v>5590</v>
      </c>
      <c r="I36" s="593" t="str">
        <f>HYPERLINK("https://maps.google.com/?q=Aveleda%2C%20Bragan%C3%A7a%20Ovelha%20Churra%20Bragan%C3%A7ana%20Portugal","📍 Aveleda, Bragança")</f>
        <v>📍 Aveleda, Bragança</v>
      </c>
    </row>
    <row r="37" spans="1:9" ht="110" customHeight="1" x14ac:dyDescent="0.35">
      <c r="A37" s="338">
        <v>33</v>
      </c>
      <c r="B37" s="239" t="s">
        <v>5591</v>
      </c>
      <c r="C37" s="240" t="s">
        <v>5545</v>
      </c>
      <c r="D37" s="239" t="s">
        <v>792</v>
      </c>
      <c r="E37" s="239" t="s">
        <v>5592</v>
      </c>
      <c r="F37" s="239" t="s">
        <v>1985</v>
      </c>
      <c r="G37" s="239" t="s">
        <v>1336</v>
      </c>
      <c r="H37" s="239" t="s">
        <v>5593</v>
      </c>
      <c r="I37" s="592" t="str">
        <f>HYPERLINK("https://maps.google.com/?q=Ponte%20de%20Lima%20Bovino%20Minhota%20Portugal","📍 Ponte de Lima")</f>
        <v>📍 Ponte de Lima</v>
      </c>
    </row>
    <row r="38" spans="1:9" ht="110" customHeight="1" x14ac:dyDescent="0.35">
      <c r="A38" s="336">
        <v>34</v>
      </c>
      <c r="B38" s="242" t="s">
        <v>5594</v>
      </c>
      <c r="C38" s="243" t="s">
        <v>5545</v>
      </c>
      <c r="D38" s="242" t="s">
        <v>792</v>
      </c>
      <c r="E38" s="242" t="s">
        <v>5595</v>
      </c>
      <c r="F38" s="242" t="s">
        <v>1552</v>
      </c>
      <c r="G38" s="242" t="s">
        <v>1336</v>
      </c>
      <c r="H38" s="242" t="s">
        <v>5596</v>
      </c>
      <c r="I38" s="593" t="str">
        <f>HYPERLINK("https://maps.google.com/?q=Braga%20Galinha%20P%C3%A9dres%20Portugal","📍 Braga")</f>
        <v>📍 Braga</v>
      </c>
    </row>
    <row r="39" spans="1:9" ht="110" customHeight="1" x14ac:dyDescent="0.35">
      <c r="A39" s="338">
        <v>35</v>
      </c>
      <c r="B39" s="239" t="s">
        <v>5597</v>
      </c>
      <c r="C39" s="240" t="s">
        <v>5495</v>
      </c>
      <c r="D39" s="239" t="s">
        <v>792</v>
      </c>
      <c r="E39" s="239" t="s">
        <v>5598</v>
      </c>
      <c r="F39" s="239" t="s">
        <v>5599</v>
      </c>
      <c r="G39" s="239" t="s">
        <v>1336</v>
      </c>
      <c r="H39" s="239" t="s">
        <v>5600</v>
      </c>
      <c r="I39" s="592" t="str">
        <f>HYPERLINK("https://maps.google.com/?q=Mogadouro%20%C3%81guia-real%20Portugal","📍 Mogadouro")</f>
        <v>📍 Mogadouro</v>
      </c>
    </row>
    <row r="40" spans="1:9" ht="110" customHeight="1" x14ac:dyDescent="0.35">
      <c r="A40" s="336">
        <v>36</v>
      </c>
      <c r="B40" s="242" t="s">
        <v>5601</v>
      </c>
      <c r="C40" s="243" t="s">
        <v>5473</v>
      </c>
      <c r="D40" s="242" t="s">
        <v>792</v>
      </c>
      <c r="E40" s="242" t="s">
        <v>5602</v>
      </c>
      <c r="F40" s="242" t="s">
        <v>5603</v>
      </c>
      <c r="G40" s="242" t="s">
        <v>1527</v>
      </c>
      <c r="H40" s="242" t="s">
        <v>5604</v>
      </c>
      <c r="I40" s="593" t="str">
        <f>HYPERLINK("https://maps.google.com/?q=Vila%20Nova%20de%20Cerveira%20Sarda-do-norte%20Portugal","📍 Vila Nova de Cerveira")</f>
        <v>📍 Vila Nova de Cerveira</v>
      </c>
    </row>
    <row r="41" spans="1:9" ht="110" customHeight="1" x14ac:dyDescent="0.35">
      <c r="A41" s="338">
        <v>37</v>
      </c>
      <c r="B41" s="239" t="s">
        <v>5605</v>
      </c>
      <c r="C41" s="240" t="s">
        <v>5606</v>
      </c>
      <c r="D41" s="239" t="s">
        <v>792</v>
      </c>
      <c r="E41" s="239" t="s">
        <v>5607</v>
      </c>
      <c r="F41" s="239" t="s">
        <v>1784</v>
      </c>
      <c r="G41" s="239" t="s">
        <v>1336</v>
      </c>
      <c r="H41" s="239" t="s">
        <v>5608</v>
      </c>
      <c r="I41" s="592" t="str">
        <f>HYPERLINK("https://maps.google.com/?q=Bragan%C3%A7a%20Abelha%20Preta%20Portugal","📍 Bragança")</f>
        <v>📍 Bragança</v>
      </c>
    </row>
    <row r="42" spans="1:9" ht="110" customHeight="1" x14ac:dyDescent="0.35">
      <c r="A42" s="336">
        <v>38</v>
      </c>
      <c r="B42" s="242" t="s">
        <v>5609</v>
      </c>
      <c r="C42" s="243" t="s">
        <v>5568</v>
      </c>
      <c r="D42" s="242" t="s">
        <v>792</v>
      </c>
      <c r="E42" s="242" t="s">
        <v>5610</v>
      </c>
      <c r="F42" s="242" t="s">
        <v>5611</v>
      </c>
      <c r="G42" s="242" t="s">
        <v>1336</v>
      </c>
      <c r="H42" s="242" t="s">
        <v>5612</v>
      </c>
      <c r="I42" s="593" t="str">
        <f>HYPERLINK("https://maps.google.com/?q=Caminha%20%2F%20Viana%20C%C3%A3o%20de%20%C3%81gua%20Portugu%C3%AAs%20Portugal","📍 Caminha / Viana")</f>
        <v>📍 Caminha / Viana</v>
      </c>
    </row>
    <row r="43" spans="1:9" ht="110" customHeight="1" x14ac:dyDescent="0.35">
      <c r="A43" s="338">
        <v>39</v>
      </c>
      <c r="B43" s="239" t="s">
        <v>5613</v>
      </c>
      <c r="C43" s="240" t="s">
        <v>5545</v>
      </c>
      <c r="D43" s="239" t="s">
        <v>792</v>
      </c>
      <c r="E43" s="239" t="s">
        <v>5550</v>
      </c>
      <c r="F43" s="239" t="s">
        <v>1985</v>
      </c>
      <c r="G43" s="239" t="s">
        <v>1336</v>
      </c>
      <c r="H43" s="239" t="s">
        <v>5614</v>
      </c>
      <c r="I43" s="592" t="str">
        <f>HYPERLINK("https://maps.google.com/?q=Ponte%20de%20Lima%20Galinha%20Preta%20Lusit%C3%A2nica%20Portugal","📍 Ponte de Lima")</f>
        <v>📍 Ponte de Lima</v>
      </c>
    </row>
    <row r="44" spans="1:9" ht="110" customHeight="1" x14ac:dyDescent="0.35">
      <c r="A44" s="336">
        <v>40</v>
      </c>
      <c r="B44" s="242" t="s">
        <v>5615</v>
      </c>
      <c r="C44" s="243" t="s">
        <v>5545</v>
      </c>
      <c r="D44" s="242" t="s">
        <v>792</v>
      </c>
      <c r="E44" s="242" t="s">
        <v>5616</v>
      </c>
      <c r="F44" s="242" t="s">
        <v>5617</v>
      </c>
      <c r="G44" s="242" t="s">
        <v>1336</v>
      </c>
      <c r="H44" s="242" t="s">
        <v>5618</v>
      </c>
      <c r="I44" s="593" t="str">
        <f>HYPERLINK("https://maps.google.com/?q=Vale%20do%20Mondego%20Ovelha%20Mondegueira%20Portugal","📍 Vale do Mondego")</f>
        <v>📍 Vale do Mondego</v>
      </c>
    </row>
    <row r="45" spans="1:9" ht="110" customHeight="1" x14ac:dyDescent="0.35">
      <c r="A45" s="338">
        <v>41</v>
      </c>
      <c r="B45" s="239" t="s">
        <v>5619</v>
      </c>
      <c r="C45" s="240" t="s">
        <v>5545</v>
      </c>
      <c r="D45" s="239" t="s">
        <v>836</v>
      </c>
      <c r="E45" s="239" t="s">
        <v>5620</v>
      </c>
      <c r="F45" s="239" t="s">
        <v>2054</v>
      </c>
      <c r="G45" s="239" t="s">
        <v>1336</v>
      </c>
      <c r="H45" s="239" t="s">
        <v>5621</v>
      </c>
      <c r="I45" s="592" t="str">
        <f>HYPERLINK("https://maps.google.com/?q=Oliveira%20do%20Hospital%20Ovelha%20Serra%20da%20Estrela%20Portugal","📍 Oliveira do Hospital")</f>
        <v>📍 Oliveira do Hospital</v>
      </c>
    </row>
    <row r="46" spans="1:9" ht="110" customHeight="1" x14ac:dyDescent="0.35">
      <c r="A46" s="336">
        <v>42</v>
      </c>
      <c r="B46" s="242" t="s">
        <v>5622</v>
      </c>
      <c r="C46" s="243" t="s">
        <v>5568</v>
      </c>
      <c r="D46" s="242" t="s">
        <v>836</v>
      </c>
      <c r="E46" s="242" t="s">
        <v>5623</v>
      </c>
      <c r="F46" s="242" t="s">
        <v>2096</v>
      </c>
      <c r="G46" s="242" t="s">
        <v>1336</v>
      </c>
      <c r="H46" s="242" t="s">
        <v>5624</v>
      </c>
      <c r="I46" s="593" t="str">
        <f>HYPERLINK("https://maps.google.com/?q=Gouveia%20C%C3%A3o%20Serra%20da%20Estrela%20Portugal","📍 Gouveia")</f>
        <v>📍 Gouveia</v>
      </c>
    </row>
    <row r="47" spans="1:9" ht="110" customHeight="1" x14ac:dyDescent="0.35">
      <c r="A47" s="338">
        <v>43</v>
      </c>
      <c r="B47" s="239" t="s">
        <v>5625</v>
      </c>
      <c r="C47" s="240" t="s">
        <v>5495</v>
      </c>
      <c r="D47" s="239" t="s">
        <v>836</v>
      </c>
      <c r="E47" s="239" t="s">
        <v>5626</v>
      </c>
      <c r="F47" s="239" t="s">
        <v>2096</v>
      </c>
      <c r="G47" s="239" t="s">
        <v>1336</v>
      </c>
      <c r="H47" s="239" t="s">
        <v>5627</v>
      </c>
      <c r="I47" s="592" t="str">
        <f>HYPERLINK("https://maps.google.com/?q=Gouveia%20Aves%20de%20Rapina%20Portugal","📍 Gouveia")</f>
        <v>📍 Gouveia</v>
      </c>
    </row>
    <row r="48" spans="1:9" ht="110" customHeight="1" x14ac:dyDescent="0.35">
      <c r="A48" s="336">
        <v>44</v>
      </c>
      <c r="B48" s="242" t="s">
        <v>5628</v>
      </c>
      <c r="C48" s="243" t="s">
        <v>5545</v>
      </c>
      <c r="D48" s="242" t="s">
        <v>836</v>
      </c>
      <c r="E48" s="242" t="s">
        <v>5629</v>
      </c>
      <c r="F48" s="242" t="s">
        <v>5630</v>
      </c>
      <c r="G48" s="242" t="s">
        <v>1336</v>
      </c>
      <c r="H48" s="242" t="s">
        <v>5631</v>
      </c>
      <c r="I48" s="593" t="str">
        <f>HYPERLINK("https://maps.google.com/?q=Estarreja%20Bovino%20Marinhoa%20Portugal","📍 Estarreja")</f>
        <v>📍 Estarreja</v>
      </c>
    </row>
    <row r="49" spans="1:9" ht="110" customHeight="1" x14ac:dyDescent="0.35">
      <c r="A49" s="338">
        <v>45</v>
      </c>
      <c r="B49" s="239" t="s">
        <v>5632</v>
      </c>
      <c r="C49" s="240" t="s">
        <v>5491</v>
      </c>
      <c r="D49" s="239" t="s">
        <v>836</v>
      </c>
      <c r="E49" s="239" t="s">
        <v>5633</v>
      </c>
      <c r="F49" s="239" t="s">
        <v>2059</v>
      </c>
      <c r="G49" s="239" t="s">
        <v>1336</v>
      </c>
      <c r="H49" s="239" t="s">
        <v>5634</v>
      </c>
      <c r="I49" s="592" t="str">
        <f>HYPERLINK("https://maps.google.com/?q=Penamacor%20Lince%20Ib%C3%A9rico%20Portugal","📍 Penamacor")</f>
        <v>📍 Penamacor</v>
      </c>
    </row>
    <row r="50" spans="1:9" ht="110" customHeight="1" x14ac:dyDescent="0.35">
      <c r="A50" s="336">
        <v>46</v>
      </c>
      <c r="B50" s="242" t="s">
        <v>5635</v>
      </c>
      <c r="C50" s="243" t="s">
        <v>5545</v>
      </c>
      <c r="D50" s="242" t="s">
        <v>836</v>
      </c>
      <c r="E50" s="242" t="s">
        <v>5636</v>
      </c>
      <c r="F50" s="242" t="s">
        <v>5637</v>
      </c>
      <c r="G50" s="242" t="s">
        <v>1336</v>
      </c>
      <c r="H50" s="242" t="s">
        <v>5638</v>
      </c>
      <c r="I50" s="593" t="str">
        <f>HYPERLINK("https://maps.google.com/?q=Mirandela%20%2F%20Viseu%20Cabra%20Serrana%20Portugal","📍 Mirandela / Viseu")</f>
        <v>📍 Mirandela / Viseu</v>
      </c>
    </row>
    <row r="51" spans="1:9" ht="110" customHeight="1" x14ac:dyDescent="0.35">
      <c r="A51" s="338">
        <v>47</v>
      </c>
      <c r="B51" s="239" t="s">
        <v>5639</v>
      </c>
      <c r="C51" s="240" t="s">
        <v>5535</v>
      </c>
      <c r="D51" s="239" t="s">
        <v>836</v>
      </c>
      <c r="E51" s="239" t="s">
        <v>5640</v>
      </c>
      <c r="F51" s="239" t="s">
        <v>5487</v>
      </c>
      <c r="G51" s="239" t="s">
        <v>1336</v>
      </c>
      <c r="H51" s="239" t="s">
        <v>5641</v>
      </c>
      <c r="I51" s="592" t="str">
        <f>HYPERLINK("https://maps.google.com/?q=Serra%20da%20Lous%C3%A3%20Veado%20(brama)%20Portugal","📍 Serra da Lousã")</f>
        <v>📍 Serra da Lousã</v>
      </c>
    </row>
    <row r="52" spans="1:9" ht="110" customHeight="1" x14ac:dyDescent="0.35">
      <c r="A52" s="336">
        <v>48</v>
      </c>
      <c r="B52" s="242" t="s">
        <v>5642</v>
      </c>
      <c r="C52" s="243" t="s">
        <v>5545</v>
      </c>
      <c r="D52" s="242" t="s">
        <v>836</v>
      </c>
      <c r="E52" s="242" t="s">
        <v>5643</v>
      </c>
      <c r="F52" s="242" t="s">
        <v>5644</v>
      </c>
      <c r="G52" s="242" t="s">
        <v>1336</v>
      </c>
      <c r="H52" s="242" t="s">
        <v>5645</v>
      </c>
      <c r="I52" s="593" t="str">
        <f>HYPERLINK("https://maps.google.com/?q=Alcoba%C3%A7a%20Porco%20Malhado%20de%20Alcoba%C3%A7a%20Portugal","📍 Alcobaça")</f>
        <v>📍 Alcobaça</v>
      </c>
    </row>
    <row r="53" spans="1:9" ht="110" customHeight="1" x14ac:dyDescent="0.35">
      <c r="A53" s="338">
        <v>49</v>
      </c>
      <c r="B53" s="239" t="s">
        <v>5646</v>
      </c>
      <c r="C53" s="240" t="s">
        <v>5495</v>
      </c>
      <c r="D53" s="239" t="s">
        <v>836</v>
      </c>
      <c r="E53" s="239" t="s">
        <v>5647</v>
      </c>
      <c r="F53" s="239" t="s">
        <v>5648</v>
      </c>
      <c r="G53" s="239" t="s">
        <v>1392</v>
      </c>
      <c r="H53" s="239" t="s">
        <v>5649</v>
      </c>
      <c r="I53" s="592" t="str">
        <f>HYPERLINK("https://maps.google.com/?q=Rosmaninhal%20Cegonha-preta%20Portugal","📍 Rosmaninhal")</f>
        <v>📍 Rosmaninhal</v>
      </c>
    </row>
    <row r="54" spans="1:9" ht="110" customHeight="1" x14ac:dyDescent="0.35">
      <c r="A54" s="336">
        <v>50</v>
      </c>
      <c r="B54" s="242" t="s">
        <v>5650</v>
      </c>
      <c r="C54" s="243" t="s">
        <v>5545</v>
      </c>
      <c r="D54" s="242" t="s">
        <v>836</v>
      </c>
      <c r="E54" s="242" t="s">
        <v>5651</v>
      </c>
      <c r="F54" s="242" t="s">
        <v>5652</v>
      </c>
      <c r="G54" s="242" t="s">
        <v>1392</v>
      </c>
      <c r="H54" s="242" t="s">
        <v>5653</v>
      </c>
      <c r="I54" s="593" t="str">
        <f>HYPERLINK("https://maps.google.com/?q=Jarmelo%2C%20Guarda%20Bovino%20Jarmelista%20Portugal","📍 Jarmelo, Guarda")</f>
        <v>📍 Jarmelo, Guarda</v>
      </c>
    </row>
    <row r="55" spans="1:9" ht="110" customHeight="1" x14ac:dyDescent="0.35">
      <c r="A55" s="338">
        <v>51</v>
      </c>
      <c r="B55" s="239" t="s">
        <v>5654</v>
      </c>
      <c r="C55" s="240" t="s">
        <v>5545</v>
      </c>
      <c r="D55" s="239" t="s">
        <v>853</v>
      </c>
      <c r="E55" s="239" t="s">
        <v>5655</v>
      </c>
      <c r="F55" s="239" t="s">
        <v>5656</v>
      </c>
      <c r="G55" s="239" t="s">
        <v>1336</v>
      </c>
      <c r="H55" s="239" t="s">
        <v>5657</v>
      </c>
      <c r="I55" s="592" t="str">
        <f>HYPERLINK("https://maps.google.com/?q=Rua%20Diana%20de%20Lys%2C%20%C3%89vora%20Bovino%20Mertolenga%20Portugal","📍 Rua Diana de Lys, Évora")</f>
        <v>📍 Rua Diana de Lys, Évora</v>
      </c>
    </row>
    <row r="56" spans="1:9" ht="110" customHeight="1" x14ac:dyDescent="0.35">
      <c r="A56" s="336">
        <v>52</v>
      </c>
      <c r="B56" s="242" t="s">
        <v>5658</v>
      </c>
      <c r="C56" s="243" t="s">
        <v>5545</v>
      </c>
      <c r="D56" s="242" t="s">
        <v>853</v>
      </c>
      <c r="E56" s="242" t="s">
        <v>5659</v>
      </c>
      <c r="F56" s="242" t="s">
        <v>5660</v>
      </c>
      <c r="G56" s="242" t="s">
        <v>1336</v>
      </c>
      <c r="H56" s="242" t="s">
        <v>5661</v>
      </c>
      <c r="I56" s="593" t="str">
        <f>HYPERLINK("https://maps.google.com/?q=Alter%20do%20Ch%C3%A3o%20Cavalo%20Lusitano%20Portugal","📍 Alter do Chão")</f>
        <v>📍 Alter do Chão</v>
      </c>
    </row>
    <row r="57" spans="1:9" ht="110" customHeight="1" x14ac:dyDescent="0.35">
      <c r="A57" s="338">
        <v>53</v>
      </c>
      <c r="B57" s="239" t="s">
        <v>5662</v>
      </c>
      <c r="C57" s="240" t="s">
        <v>5545</v>
      </c>
      <c r="D57" s="239" t="s">
        <v>853</v>
      </c>
      <c r="E57" s="239" t="s">
        <v>5663</v>
      </c>
      <c r="F57" s="239" t="s">
        <v>5664</v>
      </c>
      <c r="G57" s="239" t="s">
        <v>1336</v>
      </c>
      <c r="H57" s="239" t="s">
        <v>5665</v>
      </c>
      <c r="I57" s="592" t="str">
        <f>HYPERLINK("https://maps.google.com/?q=Ourique%20Porco%20Alentejano%20Portugal","📍 Ourique")</f>
        <v>📍 Ourique</v>
      </c>
    </row>
    <row r="58" spans="1:9" ht="110" customHeight="1" x14ac:dyDescent="0.35">
      <c r="A58" s="336">
        <v>54</v>
      </c>
      <c r="B58" s="242" t="s">
        <v>5666</v>
      </c>
      <c r="C58" s="243" t="s">
        <v>5535</v>
      </c>
      <c r="D58" s="242" t="s">
        <v>853</v>
      </c>
      <c r="E58" s="242" t="s">
        <v>5667</v>
      </c>
      <c r="F58" s="242" t="s">
        <v>5668</v>
      </c>
      <c r="G58" s="242" t="s">
        <v>1336</v>
      </c>
      <c r="H58" s="242" t="s">
        <v>5669</v>
      </c>
      <c r="I58" s="593" t="str">
        <f>HYPERLINK("https://maps.google.com/?q=Monforte%20Rafeiro%20Alentejano%20Portugal","📍 Monforte")</f>
        <v>📍 Monforte</v>
      </c>
    </row>
    <row r="59" spans="1:9" ht="110" customHeight="1" x14ac:dyDescent="0.35">
      <c r="A59" s="338">
        <v>55</v>
      </c>
      <c r="B59" s="239" t="s">
        <v>5670</v>
      </c>
      <c r="C59" s="240" t="s">
        <v>5495</v>
      </c>
      <c r="D59" s="239" t="s">
        <v>853</v>
      </c>
      <c r="E59" s="239" t="s">
        <v>5671</v>
      </c>
      <c r="F59" s="239" t="s">
        <v>5672</v>
      </c>
      <c r="G59" s="239" t="s">
        <v>1336</v>
      </c>
      <c r="H59" s="239" t="s">
        <v>5673</v>
      </c>
      <c r="I59" s="592" t="str">
        <f>HYPERLINK("https://maps.google.com/?q=Herdade%20Vale%20Gon%C3%A7alinho%20Abetarda%20Portugal","📍 Herdade Vale Gonçalinho")</f>
        <v>📍 Herdade Vale Gonçalinho</v>
      </c>
    </row>
    <row r="60" spans="1:9" ht="110" customHeight="1" x14ac:dyDescent="0.35">
      <c r="A60" s="336">
        <v>56</v>
      </c>
      <c r="B60" s="242" t="s">
        <v>5674</v>
      </c>
      <c r="C60" s="243" t="s">
        <v>5545</v>
      </c>
      <c r="D60" s="242" t="s">
        <v>853</v>
      </c>
      <c r="E60" s="242" t="s">
        <v>5675</v>
      </c>
      <c r="F60" s="242" t="s">
        <v>1233</v>
      </c>
      <c r="G60" s="242" t="s">
        <v>1336</v>
      </c>
      <c r="H60" s="242" t="s">
        <v>5676</v>
      </c>
      <c r="I60" s="593" t="str">
        <f>HYPERLINK("https://maps.google.com/?q=Beja%20Cabra%20Serpentina%20Portugal","📍 Beja")</f>
        <v>📍 Beja</v>
      </c>
    </row>
    <row r="61" spans="1:9" ht="110" customHeight="1" x14ac:dyDescent="0.35">
      <c r="A61" s="338">
        <v>57</v>
      </c>
      <c r="B61" s="239" t="s">
        <v>5677</v>
      </c>
      <c r="C61" s="240" t="s">
        <v>5545</v>
      </c>
      <c r="D61" s="239" t="s">
        <v>767</v>
      </c>
      <c r="E61" s="239" t="s">
        <v>5678</v>
      </c>
      <c r="F61" s="239" t="s">
        <v>2172</v>
      </c>
      <c r="G61" s="239" t="s">
        <v>1336</v>
      </c>
      <c r="H61" s="239" t="s">
        <v>5679</v>
      </c>
      <c r="I61" s="592" t="str">
        <f>HYPERLINK("https://maps.google.com/?q=Loul%C3%A9%20Cabra%20Algarvia%20Portugal","📍 Loulé")</f>
        <v>📍 Loulé</v>
      </c>
    </row>
    <row r="62" spans="1:9" ht="110" customHeight="1" x14ac:dyDescent="0.35">
      <c r="A62" s="336">
        <v>58</v>
      </c>
      <c r="B62" s="242" t="s">
        <v>5680</v>
      </c>
      <c r="C62" s="243" t="s">
        <v>5460</v>
      </c>
      <c r="D62" s="242" t="s">
        <v>767</v>
      </c>
      <c r="E62" s="242" t="s">
        <v>5681</v>
      </c>
      <c r="F62" s="242" t="s">
        <v>5527</v>
      </c>
      <c r="G62" s="242" t="s">
        <v>1336</v>
      </c>
      <c r="H62" s="242" t="s">
        <v>5682</v>
      </c>
      <c r="I62" s="593" t="str">
        <f>HYPERLINK("https://maps.google.com/?q=Olh%C3%A3o%20Camale%C3%A3o%20Portugal","📍 Olhão")</f>
        <v>📍 Olhão</v>
      </c>
    </row>
    <row r="63" spans="1:9" ht="110" customHeight="1" x14ac:dyDescent="0.35">
      <c r="A63" s="338">
        <v>59</v>
      </c>
      <c r="B63" s="239" t="s">
        <v>5683</v>
      </c>
      <c r="C63" s="240" t="s">
        <v>5545</v>
      </c>
      <c r="D63" s="239" t="s">
        <v>522</v>
      </c>
      <c r="E63" s="239" t="s">
        <v>5684</v>
      </c>
      <c r="F63" s="239" t="s">
        <v>1065</v>
      </c>
      <c r="G63" s="239" t="s">
        <v>1336</v>
      </c>
      <c r="H63" s="239" t="s">
        <v>5685</v>
      </c>
      <c r="I63" s="592" t="str">
        <f>HYPERLINK("https://maps.google.com/?q=Angra%20do%20Hero%C3%ADsmo%20Bovino%20Ramo%20Grande%20Portugal","📍 Angra do Heroísmo")</f>
        <v>📍 Angra do Heroísmo</v>
      </c>
    </row>
    <row r="64" spans="1:9" ht="110" customHeight="1" x14ac:dyDescent="0.35">
      <c r="A64" s="336">
        <v>60</v>
      </c>
      <c r="B64" s="242" t="s">
        <v>5686</v>
      </c>
      <c r="C64" s="243" t="s">
        <v>5495</v>
      </c>
      <c r="D64" s="242" t="s">
        <v>524</v>
      </c>
      <c r="E64" s="242" t="s">
        <v>5541</v>
      </c>
      <c r="F64" s="242" t="s">
        <v>5687</v>
      </c>
      <c r="G64" s="242" t="s">
        <v>1527</v>
      </c>
      <c r="H64" s="242" t="s">
        <v>5688</v>
      </c>
      <c r="I64" s="593" t="str">
        <f>HYPERLINK("https://maps.google.com/?q=Santana%2C%20Madeira%20Pombo%20Trocaz%20Portugal","📍 Santana, Madeira")</f>
        <v>📍 Santana, Madeira</v>
      </c>
    </row>
    <row r="65" spans="1:9" ht="110" customHeight="1" x14ac:dyDescent="0.35">
      <c r="A65" s="338">
        <v>61</v>
      </c>
      <c r="B65" s="239" t="s">
        <v>5689</v>
      </c>
      <c r="C65" s="240" t="s">
        <v>5545</v>
      </c>
      <c r="D65" s="239" t="s">
        <v>836</v>
      </c>
      <c r="E65" s="239" t="s">
        <v>5690</v>
      </c>
      <c r="F65" s="239" t="s">
        <v>5691</v>
      </c>
      <c r="G65" s="239" t="s">
        <v>1336</v>
      </c>
      <c r="H65" s="239" t="s">
        <v>5693</v>
      </c>
      <c r="I65" s="592" t="str">
        <f>HYPERLINK("https://maps.google.com/?q=Oeiras%20Ovelha%20Saloia%20Portugal","📍 Oeiras")</f>
        <v>📍 Oeiras</v>
      </c>
    </row>
    <row r="66" spans="1:9" ht="110" customHeight="1" x14ac:dyDescent="0.35">
      <c r="A66" s="336">
        <v>62</v>
      </c>
      <c r="B66" s="242" t="s">
        <v>5694</v>
      </c>
      <c r="C66" s="243" t="s">
        <v>5460</v>
      </c>
      <c r="D66" s="242" t="s">
        <v>836</v>
      </c>
      <c r="E66" s="242" t="s">
        <v>2452</v>
      </c>
      <c r="F66" s="242" t="s">
        <v>5695</v>
      </c>
      <c r="G66" s="242" t="s">
        <v>1527</v>
      </c>
      <c r="H66" s="242" t="s">
        <v>5696</v>
      </c>
      <c r="I66" s="593" t="str">
        <f>HYPERLINK("https://maps.google.com/?q=Lagoas%20de%20Altitude%20Salamandra%20Lusit%C3%A2nica%20Portugal","📍 Lagoas de Altitude")</f>
        <v>📍 Lagoas de Altitude</v>
      </c>
    </row>
    <row r="67" spans="1:9" ht="110" customHeight="1" x14ac:dyDescent="0.35">
      <c r="A67" s="338">
        <v>63</v>
      </c>
      <c r="B67" s="239" t="s">
        <v>5697</v>
      </c>
      <c r="C67" s="240" t="s">
        <v>5545</v>
      </c>
      <c r="D67" s="239" t="s">
        <v>836</v>
      </c>
      <c r="E67" s="239" t="s">
        <v>5698</v>
      </c>
      <c r="F67" s="239" t="s">
        <v>5699</v>
      </c>
      <c r="G67" s="239" t="s">
        <v>1336</v>
      </c>
      <c r="H67" s="239" t="s">
        <v>5700</v>
      </c>
      <c r="I67" s="592" t="str">
        <f>HYPERLINK("https://maps.google.com/?q=Vouzela%20%2F%20Tondela%20Bovino%20de%20Laf%C3%B5es%20Portugal","📍 Vouzela / Tondela")</f>
        <v>📍 Vouzela / Tondela</v>
      </c>
    </row>
    <row r="68" spans="1:9" ht="110" customHeight="1" x14ac:dyDescent="0.35">
      <c r="A68" s="336">
        <v>64</v>
      </c>
      <c r="B68" s="242" t="s">
        <v>5701</v>
      </c>
      <c r="C68" s="243" t="s">
        <v>5491</v>
      </c>
      <c r="D68" s="242" t="s">
        <v>836</v>
      </c>
      <c r="E68" s="242" t="s">
        <v>5702</v>
      </c>
      <c r="F68" s="242" t="s">
        <v>5497</v>
      </c>
      <c r="G68" s="242" t="s">
        <v>1527</v>
      </c>
      <c r="H68" s="242" t="s">
        <v>5703</v>
      </c>
      <c r="I68" s="593" t="str">
        <f>HYPERLINK("https://maps.google.com/?q=Coimbra%20Lontra%20Portugal","📍 Coimbra")</f>
        <v>📍 Coimbra</v>
      </c>
    </row>
    <row r="69" spans="1:9" ht="110" customHeight="1" x14ac:dyDescent="0.35">
      <c r="A69" s="338">
        <v>65</v>
      </c>
      <c r="B69" s="239" t="s">
        <v>5704</v>
      </c>
      <c r="C69" s="240" t="s">
        <v>5545</v>
      </c>
      <c r="D69" s="239" t="s">
        <v>836</v>
      </c>
      <c r="E69" s="239" t="s">
        <v>5705</v>
      </c>
      <c r="F69" s="239" t="s">
        <v>5706</v>
      </c>
      <c r="G69" s="239" t="s">
        <v>1336</v>
      </c>
      <c r="H69" s="239" t="s">
        <v>5707</v>
      </c>
      <c r="I69" s="592" t="str">
        <f>HYPERLINK("https://maps.google.com/?q=Sert%C3%A3%20Cabra%20Charnequeira%20Portugal","📍 Sertã")</f>
        <v>📍 Sertã</v>
      </c>
    </row>
    <row r="70" spans="1:9" ht="110" customHeight="1" x14ac:dyDescent="0.35">
      <c r="A70" s="336">
        <v>66</v>
      </c>
      <c r="B70" s="242" t="s">
        <v>5708</v>
      </c>
      <c r="C70" s="243" t="s">
        <v>5545</v>
      </c>
      <c r="D70" s="242" t="s">
        <v>836</v>
      </c>
      <c r="E70" s="242" t="s">
        <v>5709</v>
      </c>
      <c r="F70" s="242" t="s">
        <v>5501</v>
      </c>
      <c r="G70" s="242" t="s">
        <v>1336</v>
      </c>
      <c r="H70" s="242" t="s">
        <v>5710</v>
      </c>
      <c r="I70" s="593" t="str">
        <f>HYPERLINK("https://maps.google.com/?q=Santar%C3%A9m%20Galinha%20Amarela%20Portugal","📍 Santarém")</f>
        <v>📍 Santarém</v>
      </c>
    </row>
    <row r="71" spans="1:9" ht="110" customHeight="1" x14ac:dyDescent="0.35">
      <c r="A71" s="338">
        <v>67</v>
      </c>
      <c r="B71" s="239" t="s">
        <v>5711</v>
      </c>
      <c r="C71" s="240" t="s">
        <v>5495</v>
      </c>
      <c r="D71" s="239" t="s">
        <v>836</v>
      </c>
      <c r="E71" s="239" t="s">
        <v>5712</v>
      </c>
      <c r="F71" s="239" t="s">
        <v>5713</v>
      </c>
      <c r="G71" s="239" t="s">
        <v>1336</v>
      </c>
      <c r="H71" s="239" t="s">
        <v>5714</v>
      </c>
      <c r="I71" s="592" t="str">
        <f>HYPERLINK("https://maps.google.com/?q=Vila%20Velha%20de%20R%C3%B3d%C3%A3o%20Grifo%20Portugal","📍 Vila Velha de Ródão")</f>
        <v>📍 Vila Velha de Ródão</v>
      </c>
    </row>
    <row r="72" spans="1:9" ht="110" customHeight="1" x14ac:dyDescent="0.35">
      <c r="A72" s="336">
        <v>68</v>
      </c>
      <c r="B72" s="242" t="s">
        <v>5715</v>
      </c>
      <c r="C72" s="243" t="s">
        <v>5545</v>
      </c>
      <c r="D72" s="242" t="s">
        <v>836</v>
      </c>
      <c r="E72" s="242" t="s">
        <v>5716</v>
      </c>
      <c r="F72" s="242" t="s">
        <v>950</v>
      </c>
      <c r="G72" s="242" t="s">
        <v>1336</v>
      </c>
      <c r="H72" s="242" t="s">
        <v>5717</v>
      </c>
      <c r="I72" s="593" t="str">
        <f>HYPERLINK("https://maps.google.com/?q=Viseu%20Ovelha%20Bordaleira%20Portugal","📍 Viseu")</f>
        <v>📍 Viseu</v>
      </c>
    </row>
    <row r="73" spans="1:9" ht="110" customHeight="1" x14ac:dyDescent="0.35">
      <c r="A73" s="338">
        <v>69</v>
      </c>
      <c r="B73" s="239" t="s">
        <v>5718</v>
      </c>
      <c r="C73" s="240" t="s">
        <v>5606</v>
      </c>
      <c r="D73" s="239" t="s">
        <v>836</v>
      </c>
      <c r="E73" s="239" t="s">
        <v>5719</v>
      </c>
      <c r="F73" s="239" t="s">
        <v>1713</v>
      </c>
      <c r="G73" s="239" t="s">
        <v>1336</v>
      </c>
      <c r="H73" s="239" t="s">
        <v>5720</v>
      </c>
      <c r="I73" s="592" t="str">
        <f>HYPERLINK("https://maps.google.com/?q=Castelo%20Branco%20Abelha%20da%20Beira%20Portugal","📍 Castelo Branco")</f>
        <v>📍 Castelo Branco</v>
      </c>
    </row>
    <row r="74" spans="1:9" ht="110" customHeight="1" x14ac:dyDescent="0.35">
      <c r="A74" s="336">
        <v>70</v>
      </c>
      <c r="B74" s="242" t="s">
        <v>5721</v>
      </c>
      <c r="C74" s="243" t="s">
        <v>5545</v>
      </c>
      <c r="D74" s="242" t="s">
        <v>853</v>
      </c>
      <c r="E74" s="242" t="s">
        <v>5722</v>
      </c>
      <c r="F74" s="242" t="s">
        <v>1412</v>
      </c>
      <c r="G74" s="242" t="s">
        <v>1336</v>
      </c>
      <c r="H74" s="242" t="s">
        <v>5723</v>
      </c>
      <c r="I74" s="593" t="str">
        <f>HYPERLINK("https://maps.google.com/?q=%C3%89vora%20Ovelha%20Merina%20Portugal","📍 Évora")</f>
        <v>📍 Évora</v>
      </c>
    </row>
    <row r="75" spans="1:9" ht="110" customHeight="1" x14ac:dyDescent="0.35">
      <c r="A75" s="338">
        <v>71</v>
      </c>
      <c r="B75" s="239" t="s">
        <v>5724</v>
      </c>
      <c r="C75" s="240" t="s">
        <v>5545</v>
      </c>
      <c r="D75" s="239" t="s">
        <v>853</v>
      </c>
      <c r="E75" s="239" t="s">
        <v>5725</v>
      </c>
      <c r="F75" s="239" t="s">
        <v>5726</v>
      </c>
      <c r="G75" s="239" t="s">
        <v>1336</v>
      </c>
      <c r="H75" s="239" t="s">
        <v>5727</v>
      </c>
      <c r="I75" s="592" t="str">
        <f>HYPERLINK("https://maps.google.com/?q=Coruche%20Cavalo%20Sorraia%20Portugal","📍 Coruche")</f>
        <v>📍 Coruche</v>
      </c>
    </row>
    <row r="76" spans="1:9" ht="110" customHeight="1" x14ac:dyDescent="0.35">
      <c r="A76" s="336">
        <v>72</v>
      </c>
      <c r="B76" s="242" t="s">
        <v>5728</v>
      </c>
      <c r="C76" s="243" t="s">
        <v>5545</v>
      </c>
      <c r="D76" s="242" t="s">
        <v>853</v>
      </c>
      <c r="E76" s="242" t="s">
        <v>5729</v>
      </c>
      <c r="F76" s="242" t="s">
        <v>5730</v>
      </c>
      <c r="G76" s="242" t="s">
        <v>1336</v>
      </c>
      <c r="H76" s="242" t="s">
        <v>5731</v>
      </c>
      <c r="I76" s="593" t="str">
        <f>HYPERLINK("https://maps.google.com/?q=Santar%C3%A9m%20%2F%20Coruche%20Bovino%20Preta%20Portugal","📍 Santarém / Coruche")</f>
        <v>📍 Santarém / Coruche</v>
      </c>
    </row>
    <row r="77" spans="1:9" ht="110" customHeight="1" x14ac:dyDescent="0.35">
      <c r="A77" s="338">
        <v>73</v>
      </c>
      <c r="B77" s="239" t="s">
        <v>5732</v>
      </c>
      <c r="C77" s="240" t="s">
        <v>5545</v>
      </c>
      <c r="D77" s="239" t="s">
        <v>853</v>
      </c>
      <c r="E77" s="239" t="s">
        <v>5663</v>
      </c>
      <c r="F77" s="239" t="s">
        <v>1227</v>
      </c>
      <c r="G77" s="239" t="s">
        <v>1336</v>
      </c>
      <c r="H77" s="239" t="s">
        <v>5733</v>
      </c>
      <c r="I77" s="592" t="str">
        <f>HYPERLINK("https://maps.google.com/?q=Castro%20Verde%20Ovelha%20Campan%C3%A3%20Portugal","📍 Castro Verde")</f>
        <v>📍 Castro Verde</v>
      </c>
    </row>
    <row r="78" spans="1:9" ht="110" customHeight="1" x14ac:dyDescent="0.35">
      <c r="A78" s="336">
        <v>74</v>
      </c>
      <c r="B78" s="242" t="s">
        <v>5734</v>
      </c>
      <c r="C78" s="243" t="s">
        <v>5568</v>
      </c>
      <c r="D78" s="242" t="s">
        <v>853</v>
      </c>
      <c r="E78" s="242" t="s">
        <v>5735</v>
      </c>
      <c r="F78" s="242" t="s">
        <v>5668</v>
      </c>
      <c r="G78" s="242" t="s">
        <v>1336</v>
      </c>
      <c r="H78" s="242" t="s">
        <v>5736</v>
      </c>
      <c r="I78" s="593" t="str">
        <f>HYPERLINK("https://maps.google.com/?q=Monforte%20C%C3%A3o%20Serra%20de%20Aires%20Portugal","📍 Monforte")</f>
        <v>📍 Monforte</v>
      </c>
    </row>
    <row r="79" spans="1:9" ht="110" customHeight="1" x14ac:dyDescent="0.35">
      <c r="A79" s="338">
        <v>75</v>
      </c>
      <c r="B79" s="239" t="s">
        <v>5737</v>
      </c>
      <c r="C79" s="240" t="s">
        <v>5495</v>
      </c>
      <c r="D79" s="239" t="s">
        <v>853</v>
      </c>
      <c r="E79" s="239" t="s">
        <v>5738</v>
      </c>
      <c r="F79" s="239" t="s">
        <v>2135</v>
      </c>
      <c r="G79" s="239" t="s">
        <v>1336</v>
      </c>
      <c r="H79" s="239" t="s">
        <v>5739</v>
      </c>
      <c r="I79" s="592" t="str">
        <f>HYPERLINK("https://maps.google.com/?q=Moura%20Abutre-preto%20Portugal","📍 Moura")</f>
        <v>📍 Moura</v>
      </c>
    </row>
    <row r="80" spans="1:9" ht="110" customHeight="1" x14ac:dyDescent="0.35">
      <c r="A80" s="336">
        <v>76</v>
      </c>
      <c r="B80" s="242" t="s">
        <v>5740</v>
      </c>
      <c r="C80" s="243" t="s">
        <v>5491</v>
      </c>
      <c r="D80" s="242" t="s">
        <v>853</v>
      </c>
      <c r="E80" s="242" t="s">
        <v>5741</v>
      </c>
      <c r="F80" s="242" t="s">
        <v>5742</v>
      </c>
      <c r="G80" s="242" t="s">
        <v>1336</v>
      </c>
      <c r="H80" s="242" t="s">
        <v>5743</v>
      </c>
      <c r="I80" s="593" t="str">
        <f>HYPERLINK("https://maps.google.com/?q=Alentejo%20Interior%20Javali%20Portugal","📍 Alentejo Interior")</f>
        <v>📍 Alentejo Interior</v>
      </c>
    </row>
    <row r="81" spans="1:9" ht="110" customHeight="1" x14ac:dyDescent="0.35">
      <c r="A81" s="338">
        <v>77</v>
      </c>
      <c r="B81" s="239" t="s">
        <v>5744</v>
      </c>
      <c r="C81" s="240" t="s">
        <v>5495</v>
      </c>
      <c r="D81" s="239" t="s">
        <v>853</v>
      </c>
      <c r="E81" s="239" t="s">
        <v>5504</v>
      </c>
      <c r="F81" s="239" t="s">
        <v>1227</v>
      </c>
      <c r="G81" s="239" t="s">
        <v>1336</v>
      </c>
      <c r="H81" s="239" t="s">
        <v>5745</v>
      </c>
      <c r="I81" s="592" t="str">
        <f>HYPERLINK("https://maps.google.com/?q=Castro%20Verde%20Sis%C3%A3o%20Portugal","📍 Castro Verde")</f>
        <v>📍 Castro Verde</v>
      </c>
    </row>
    <row r="82" spans="1:9" ht="110" customHeight="1" x14ac:dyDescent="0.35">
      <c r="A82" s="336">
        <v>78</v>
      </c>
      <c r="B82" s="242" t="s">
        <v>5746</v>
      </c>
      <c r="C82" s="243" t="s">
        <v>5568</v>
      </c>
      <c r="D82" s="242" t="s">
        <v>853</v>
      </c>
      <c r="E82" s="242" t="s">
        <v>5747</v>
      </c>
      <c r="F82" s="242" t="s">
        <v>2745</v>
      </c>
      <c r="G82" s="242" t="s">
        <v>1336</v>
      </c>
      <c r="H82" s="242" t="s">
        <v>5748</v>
      </c>
      <c r="I82" s="593" t="str">
        <f>HYPERLINK("https://maps.google.com/?q=Baixo%20Alentejo%20C%C3%A3o%20do%20Barrocal%20Algarvio%20Portugal","📍 Baixo Alentejo")</f>
        <v>📍 Baixo Alentejo</v>
      </c>
    </row>
    <row r="83" spans="1:9" ht="110" customHeight="1" x14ac:dyDescent="0.35">
      <c r="A83" s="338">
        <v>79</v>
      </c>
      <c r="B83" s="239" t="s">
        <v>5749</v>
      </c>
      <c r="C83" s="240" t="s">
        <v>5460</v>
      </c>
      <c r="D83" s="239" t="s">
        <v>853</v>
      </c>
      <c r="E83" s="239" t="s">
        <v>5750</v>
      </c>
      <c r="F83" s="239" t="s">
        <v>5751</v>
      </c>
      <c r="G83" s="239" t="s">
        <v>1336</v>
      </c>
      <c r="H83" s="239" t="s">
        <v>5752</v>
      </c>
      <c r="I83" s="592" t="str">
        <f>HYPERLINK("https://maps.google.com/?q=Sudoeste%20Alentejano%20Sapo-parteiro%20Portugal","📍 Sudoeste Alentejano")</f>
        <v>📍 Sudoeste Alentejano</v>
      </c>
    </row>
    <row r="84" spans="1:9" ht="110" customHeight="1" x14ac:dyDescent="0.35">
      <c r="A84" s="336">
        <v>80</v>
      </c>
      <c r="B84" s="242" t="s">
        <v>5753</v>
      </c>
      <c r="C84" s="243" t="s">
        <v>5491</v>
      </c>
      <c r="D84" s="242" t="s">
        <v>853</v>
      </c>
      <c r="E84" s="242" t="s">
        <v>5754</v>
      </c>
      <c r="F84" s="242" t="s">
        <v>5755</v>
      </c>
      <c r="G84" s="242" t="s">
        <v>1336</v>
      </c>
      <c r="H84" s="242" t="s">
        <v>5756</v>
      </c>
      <c r="I84" s="593" t="str">
        <f>HYPERLINK("https://maps.google.com/?q=%C3%89vora%20%2F%20Beja%20Raposa%20Portugal","📍 Évora / Beja")</f>
        <v>📍 Évora / Beja</v>
      </c>
    </row>
    <row r="85" spans="1:9" ht="110" customHeight="1" x14ac:dyDescent="0.35">
      <c r="A85" s="338">
        <v>81</v>
      </c>
      <c r="B85" s="239" t="s">
        <v>5757</v>
      </c>
      <c r="C85" s="240" t="s">
        <v>5545</v>
      </c>
      <c r="D85" s="239" t="s">
        <v>853</v>
      </c>
      <c r="E85" s="239" t="s">
        <v>5722</v>
      </c>
      <c r="F85" s="239" t="s">
        <v>5758</v>
      </c>
      <c r="G85" s="239" t="s">
        <v>1336</v>
      </c>
      <c r="H85" s="239" t="s">
        <v>5759</v>
      </c>
      <c r="I85" s="592" t="str">
        <f>HYPERLINK("https://maps.google.com/?q=Reguengos%20Ovelha%20Merina%20Preta%20Portugal","📍 Reguengos")</f>
        <v>📍 Reguengos</v>
      </c>
    </row>
    <row r="86" spans="1:9" ht="110" customHeight="1" x14ac:dyDescent="0.35">
      <c r="A86" s="336">
        <v>82</v>
      </c>
      <c r="B86" s="242" t="s">
        <v>5760</v>
      </c>
      <c r="C86" s="243" t="s">
        <v>5545</v>
      </c>
      <c r="D86" s="242" t="s">
        <v>767</v>
      </c>
      <c r="E86" s="242" t="s">
        <v>2719</v>
      </c>
      <c r="F86" s="242" t="s">
        <v>5761</v>
      </c>
      <c r="G86" s="242" t="s">
        <v>1527</v>
      </c>
      <c r="H86" s="242" t="s">
        <v>5762</v>
      </c>
      <c r="I86" s="593" t="str">
        <f>HYPERLINK("https://maps.google.com/?q=Faro%20Cavalos-marinhos%20Portugal","📍 Faro")</f>
        <v>📍 Faro</v>
      </c>
    </row>
    <row r="87" spans="1:9" ht="110" customHeight="1" x14ac:dyDescent="0.35">
      <c r="A87" s="338">
        <v>83</v>
      </c>
      <c r="B87" s="239" t="s">
        <v>5763</v>
      </c>
      <c r="C87" s="240" t="s">
        <v>5545</v>
      </c>
      <c r="D87" s="239" t="s">
        <v>767</v>
      </c>
      <c r="E87" s="239" t="s">
        <v>5678</v>
      </c>
      <c r="F87" s="239" t="s">
        <v>5764</v>
      </c>
      <c r="G87" s="239" t="s">
        <v>1336</v>
      </c>
      <c r="H87" s="239" t="s">
        <v>5765</v>
      </c>
      <c r="I87" s="592" t="str">
        <f>HYPERLINK("https://maps.google.com/?q=Tavira%20Ovelha%20Algarvia%20Portugal","📍 Tavira")</f>
        <v>📍 Tavira</v>
      </c>
    </row>
    <row r="88" spans="1:9" ht="110" customHeight="1" x14ac:dyDescent="0.35">
      <c r="A88" s="336">
        <v>84</v>
      </c>
      <c r="B88" s="242" t="s">
        <v>5766</v>
      </c>
      <c r="C88" s="243" t="s">
        <v>5568</v>
      </c>
      <c r="D88" s="242" t="s">
        <v>767</v>
      </c>
      <c r="E88" s="242" t="s">
        <v>5767</v>
      </c>
      <c r="F88" s="242" t="s">
        <v>5768</v>
      </c>
      <c r="G88" s="242" t="s">
        <v>1336</v>
      </c>
      <c r="H88" s="242" t="s">
        <v>5769</v>
      </c>
      <c r="I88" s="593" t="str">
        <f>HYPERLINK("https://maps.google.com/?q=Lagos%20%2F%20Faro%20C%C3%A3o%20de%20%C3%81gua%20(Algarve)%20Portugal","📍 Lagos / Faro")</f>
        <v>📍 Lagos / Faro</v>
      </c>
    </row>
    <row r="89" spans="1:9" ht="110" customHeight="1" x14ac:dyDescent="0.35">
      <c r="A89" s="338">
        <v>85</v>
      </c>
      <c r="B89" s="239" t="s">
        <v>5770</v>
      </c>
      <c r="C89" s="240" t="s">
        <v>5545</v>
      </c>
      <c r="D89" s="239" t="s">
        <v>767</v>
      </c>
      <c r="E89" s="239" t="s">
        <v>5771</v>
      </c>
      <c r="F89" s="239" t="s">
        <v>5772</v>
      </c>
      <c r="G89" s="239" t="s">
        <v>1392</v>
      </c>
      <c r="H89" s="239" t="s">
        <v>5773</v>
      </c>
      <c r="I89" s="592" t="str">
        <f>HYPERLINK("https://maps.google.com/?q=Ourique%20%2F%20Alentejo%20Bovino%20Garvonesa%20Portugal","📍 Ourique / Alentejo")</f>
        <v>📍 Ourique / Alentejo</v>
      </c>
    </row>
    <row r="90" spans="1:9" ht="110" customHeight="1" x14ac:dyDescent="0.35">
      <c r="A90" s="336">
        <v>86</v>
      </c>
      <c r="B90" s="242" t="s">
        <v>5774</v>
      </c>
      <c r="C90" s="243" t="s">
        <v>5460</v>
      </c>
      <c r="D90" s="242" t="s">
        <v>767</v>
      </c>
      <c r="E90" s="242" t="s">
        <v>2697</v>
      </c>
      <c r="F90" s="242" t="s">
        <v>5775</v>
      </c>
      <c r="G90" s="242" t="s">
        <v>1336</v>
      </c>
      <c r="H90" s="242" t="s">
        <v>5776</v>
      </c>
      <c r="I90" s="593" t="str">
        <f>HYPERLINK("https://maps.google.com/?q=F%C3%B3ia%20V%C3%ADbora-cornuda%20(Sul)%20Portugal","📍 Fóia")</f>
        <v>📍 Fóia</v>
      </c>
    </row>
    <row r="91" spans="1:9" ht="110" customHeight="1" x14ac:dyDescent="0.35">
      <c r="A91" s="338">
        <v>87</v>
      </c>
      <c r="B91" s="239" t="s">
        <v>5777</v>
      </c>
      <c r="C91" s="240" t="s">
        <v>5545</v>
      </c>
      <c r="D91" s="239" t="s">
        <v>767</v>
      </c>
      <c r="E91" s="239" t="s">
        <v>5747</v>
      </c>
      <c r="F91" s="239" t="s">
        <v>5778</v>
      </c>
      <c r="G91" s="239" t="s">
        <v>1336</v>
      </c>
      <c r="H91" s="239" t="s">
        <v>5779</v>
      </c>
      <c r="I91" s="592" t="str">
        <f>HYPERLINK("https://maps.google.com/?q=Silves%20%2F%20Loul%C3%A9%20Bovino%20Algarvia%20Portugal","📍 Silves / Loulé")</f>
        <v>📍 Silves / Loulé</v>
      </c>
    </row>
    <row r="92" spans="1:9" ht="110" customHeight="1" x14ac:dyDescent="0.35">
      <c r="A92" s="336">
        <v>88</v>
      </c>
      <c r="B92" s="242" t="s">
        <v>5780</v>
      </c>
      <c r="C92" s="243" t="s">
        <v>5491</v>
      </c>
      <c r="D92" s="242" t="s">
        <v>767</v>
      </c>
      <c r="E92" s="242" t="s">
        <v>5781</v>
      </c>
      <c r="F92" s="242" t="s">
        <v>5782</v>
      </c>
      <c r="G92" s="242" t="s">
        <v>1336</v>
      </c>
      <c r="H92" s="242" t="s">
        <v>5783</v>
      </c>
      <c r="I92" s="593" t="str">
        <f>HYPERLINK("https://maps.google.com/?q=S.%20Br%C3%A1s%20de%20Alportel%20Texugo%20Portugal","📍 S. Brás de Alportel")</f>
        <v>📍 S. Brás de Alportel</v>
      </c>
    </row>
    <row r="93" spans="1:9" ht="110" customHeight="1" x14ac:dyDescent="0.35">
      <c r="A93" s="338">
        <v>89</v>
      </c>
      <c r="B93" s="239" t="s">
        <v>5784</v>
      </c>
      <c r="C93" s="240" t="s">
        <v>5568</v>
      </c>
      <c r="D93" s="239" t="s">
        <v>522</v>
      </c>
      <c r="E93" s="239" t="s">
        <v>5785</v>
      </c>
      <c r="F93" s="239" t="s">
        <v>1086</v>
      </c>
      <c r="G93" s="239" t="s">
        <v>1336</v>
      </c>
      <c r="H93" s="239" t="s">
        <v>5786</v>
      </c>
      <c r="I93" s="592" t="str">
        <f>HYPERLINK("https://maps.google.com/?q=Ponta%20Delgada%20C%C3%A3o%20Fila%20de%20S.%20Miguel%20Portugal","📍 Ponta Delgada")</f>
        <v>📍 Ponta Delgada</v>
      </c>
    </row>
    <row r="94" spans="1:9" ht="110" customHeight="1" x14ac:dyDescent="0.35">
      <c r="A94" s="336">
        <v>90</v>
      </c>
      <c r="B94" s="242" t="s">
        <v>5787</v>
      </c>
      <c r="C94" s="243" t="s">
        <v>5495</v>
      </c>
      <c r="D94" s="242" t="s">
        <v>522</v>
      </c>
      <c r="E94" s="242" t="s">
        <v>5788</v>
      </c>
      <c r="F94" s="242" t="s">
        <v>5789</v>
      </c>
      <c r="G94" s="242" t="s">
        <v>1527</v>
      </c>
      <c r="H94" s="242" t="s">
        <v>5790</v>
      </c>
      <c r="I94" s="593" t="str">
        <f>HYPERLINK("https://maps.google.com/?q=Nordeste%2C%20S.%20Miguel%20Priolo%20Portugal","📍 Nordeste, S. Miguel")</f>
        <v>📍 Nordeste, S. Miguel</v>
      </c>
    </row>
    <row r="95" spans="1:9" ht="110" customHeight="1" x14ac:dyDescent="0.35">
      <c r="A95" s="338">
        <v>91</v>
      </c>
      <c r="B95" s="239" t="s">
        <v>5791</v>
      </c>
      <c r="C95" s="240" t="s">
        <v>5491</v>
      </c>
      <c r="D95" s="239" t="s">
        <v>522</v>
      </c>
      <c r="E95" s="239" t="s">
        <v>5792</v>
      </c>
      <c r="F95" s="239" t="s">
        <v>5793</v>
      </c>
      <c r="G95" s="239" t="s">
        <v>1527</v>
      </c>
      <c r="H95" s="239" t="s">
        <v>5794</v>
      </c>
      <c r="I95" s="592" t="str">
        <f>HYPERLINK("https://maps.google.com/?q=Ilha%20do%20Pico%20Morcego%20dos%20A%C3%A7ores%20Portugal","📍 Ilha do Pico")</f>
        <v>📍 Ilha do Pico</v>
      </c>
    </row>
    <row r="96" spans="1:9" ht="110" customHeight="1" x14ac:dyDescent="0.35">
      <c r="A96" s="336">
        <v>92</v>
      </c>
      <c r="B96" s="242" t="s">
        <v>5795</v>
      </c>
      <c r="C96" s="243" t="s">
        <v>5535</v>
      </c>
      <c r="D96" s="242" t="s">
        <v>522</v>
      </c>
      <c r="E96" s="242" t="s">
        <v>5767</v>
      </c>
      <c r="F96" s="242" t="s">
        <v>5796</v>
      </c>
      <c r="G96" s="242" t="s">
        <v>1336</v>
      </c>
      <c r="H96" s="242" t="s">
        <v>5797</v>
      </c>
      <c r="I96" s="593" t="str">
        <f>HYPERLINK("https://maps.google.com/?q=Ilha%20Terceira%20Barbado%20da%20Terceira%20Portugal","📍 Ilha Terceira")</f>
        <v>📍 Ilha Terceira</v>
      </c>
    </row>
    <row r="97" spans="1:9" ht="110" customHeight="1" x14ac:dyDescent="0.35">
      <c r="A97" s="338">
        <v>93</v>
      </c>
      <c r="B97" s="239" t="s">
        <v>5798</v>
      </c>
      <c r="C97" s="240" t="s">
        <v>5491</v>
      </c>
      <c r="D97" s="239" t="s">
        <v>524</v>
      </c>
      <c r="E97" s="239" t="s">
        <v>5799</v>
      </c>
      <c r="F97" s="239" t="s">
        <v>5800</v>
      </c>
      <c r="G97" s="239" t="s">
        <v>1527</v>
      </c>
      <c r="H97" s="239" t="s">
        <v>5801</v>
      </c>
      <c r="I97" s="592" t="str">
        <f>HYPERLINK("https://maps.google.com/?q=Funchal%20(Acesso%20Mar)%20Lobo-marinho%20Portugal","📍 Funchal (Acesso Mar)")</f>
        <v>📍 Funchal (Acesso Mar)</v>
      </c>
    </row>
    <row r="98" spans="1:9" ht="110" customHeight="1" x14ac:dyDescent="0.35">
      <c r="A98" s="336">
        <v>94</v>
      </c>
      <c r="B98" s="242" t="s">
        <v>5802</v>
      </c>
      <c r="C98" s="243" t="s">
        <v>5495</v>
      </c>
      <c r="D98" s="242" t="s">
        <v>524</v>
      </c>
      <c r="E98" s="242" t="s">
        <v>5803</v>
      </c>
      <c r="F98" s="242" t="s">
        <v>524</v>
      </c>
      <c r="G98" s="242" t="s">
        <v>1336</v>
      </c>
      <c r="H98" s="242" t="s">
        <v>5804</v>
      </c>
      <c r="I98" s="593" t="str">
        <f>HYPERLINK("https://maps.google.com/?q=Madeira%20Freira-da-Madeira%20Portugal","📍 Madeira")</f>
        <v>📍 Madeira</v>
      </c>
    </row>
    <row r="99" spans="1:9" ht="110" customHeight="1" x14ac:dyDescent="0.35">
      <c r="A99" s="338">
        <v>95</v>
      </c>
      <c r="B99" s="239" t="s">
        <v>5805</v>
      </c>
      <c r="C99" s="240" t="s">
        <v>5491</v>
      </c>
      <c r="D99" s="239" t="s">
        <v>524</v>
      </c>
      <c r="E99" s="239" t="s">
        <v>5806</v>
      </c>
      <c r="F99" s="239" t="s">
        <v>524</v>
      </c>
      <c r="G99" s="239" t="s">
        <v>1527</v>
      </c>
      <c r="H99" s="239" t="s">
        <v>5807</v>
      </c>
      <c r="I99" s="592" t="str">
        <f>HYPERLINK("https://maps.google.com/?q=Madeira%20Aranha-lobo%20Madeirense%20Portugal","📍 Madeira")</f>
        <v>📍 Madeira</v>
      </c>
    </row>
    <row r="100" spans="1:9" ht="110" customHeight="1" x14ac:dyDescent="0.35">
      <c r="A100" s="336">
        <v>96</v>
      </c>
      <c r="B100" s="242" t="s">
        <v>5808</v>
      </c>
      <c r="C100" s="243" t="s">
        <v>5491</v>
      </c>
      <c r="D100" s="242" t="s">
        <v>524</v>
      </c>
      <c r="E100" s="242" t="s">
        <v>2219</v>
      </c>
      <c r="F100" s="242" t="s">
        <v>5809</v>
      </c>
      <c r="G100" s="242" t="s">
        <v>1527</v>
      </c>
      <c r="H100" s="242" t="s">
        <v>5810</v>
      </c>
      <c r="I100" s="593" t="str">
        <f>HYPERLINK("https://maps.google.com/?q=Parques%20P%C3%BAblicos%20Morcego%20da%20Madeira%20Portugal","📍 Parques Públicos")</f>
        <v>📍 Parques Públicos</v>
      </c>
    </row>
    <row r="101" spans="1:9" ht="110" customHeight="1" x14ac:dyDescent="0.35">
      <c r="A101" s="338">
        <v>97</v>
      </c>
      <c r="B101" s="239" t="s">
        <v>5811</v>
      </c>
      <c r="C101" s="240" t="s">
        <v>5460</v>
      </c>
      <c r="D101" s="239" t="s">
        <v>524</v>
      </c>
      <c r="E101" s="239" t="s">
        <v>2234</v>
      </c>
      <c r="F101" s="239" t="s">
        <v>524</v>
      </c>
      <c r="G101" s="239" t="s">
        <v>1527</v>
      </c>
      <c r="H101" s="239" t="s">
        <v>5812</v>
      </c>
      <c r="I101" s="592" t="str">
        <f>HYPERLINK("https://maps.google.com/?q=Madeira%20Lagartixa-da-Madeira%20Portugal","📍 Madeira")</f>
        <v>📍 Madeira</v>
      </c>
    </row>
    <row r="102" spans="1:9" ht="110" customHeight="1" x14ac:dyDescent="0.35">
      <c r="A102" s="336">
        <v>98</v>
      </c>
      <c r="B102" s="242" t="s">
        <v>5813</v>
      </c>
      <c r="C102" s="243" t="s">
        <v>5460</v>
      </c>
      <c r="D102" s="242" t="s">
        <v>836</v>
      </c>
      <c r="E102" s="242" t="s">
        <v>5482</v>
      </c>
      <c r="F102" s="242" t="s">
        <v>5483</v>
      </c>
      <c r="G102" s="242" t="s">
        <v>1336</v>
      </c>
      <c r="H102" s="242" t="s">
        <v>5814</v>
      </c>
      <c r="I102" s="593" t="str">
        <f>HYPERLINK("https://maps.google.com/?q=Alcanena%20Cobra-de-Escada%20Portugal","📍 Alcanena")</f>
        <v>📍 Alcanena</v>
      </c>
    </row>
    <row r="103" spans="1:9" ht="110" customHeight="1" x14ac:dyDescent="0.35">
      <c r="A103" s="338">
        <v>99</v>
      </c>
      <c r="B103" s="239" t="s">
        <v>5815</v>
      </c>
      <c r="C103" s="240" t="s">
        <v>5473</v>
      </c>
      <c r="D103" s="239" t="s">
        <v>792</v>
      </c>
      <c r="E103" s="239" t="s">
        <v>5816</v>
      </c>
      <c r="F103" s="239" t="s">
        <v>1791</v>
      </c>
      <c r="G103" s="239" t="s">
        <v>1527</v>
      </c>
      <c r="H103" s="239" t="s">
        <v>5817</v>
      </c>
      <c r="I103" s="592" t="str">
        <f>HYPERLINK("https://maps.google.com/?q=Guimar%C3%A3es%20Boga-portuguesa%20Portugal","📍 Guimarães")</f>
        <v>📍 Guimarães</v>
      </c>
    </row>
    <row r="104" spans="1:9" ht="110" customHeight="1" x14ac:dyDescent="0.35">
      <c r="A104" s="336">
        <v>100</v>
      </c>
      <c r="B104" s="242" t="s">
        <v>5818</v>
      </c>
      <c r="C104" s="243" t="s">
        <v>5473</v>
      </c>
      <c r="D104" s="242" t="s">
        <v>792</v>
      </c>
      <c r="E104" s="242" t="s">
        <v>5819</v>
      </c>
      <c r="F104" s="242" t="s">
        <v>1996</v>
      </c>
      <c r="G104" s="242" t="s">
        <v>1336</v>
      </c>
      <c r="H104" s="242" t="s">
        <v>5820</v>
      </c>
      <c r="I104" s="593" t="str">
        <f>HYPERLINK("https://maps.google.com/?q=Barcelos%20Escalo-do-Norte%20Portugal","📍 Barcelos")</f>
        <v>📍 Barcelos</v>
      </c>
    </row>
    <row r="105" spans="1:9" x14ac:dyDescent="0.35">
      <c r="I105" s="594"/>
    </row>
    <row r="106" spans="1:9" x14ac:dyDescent="0.35">
      <c r="A106" s="1353" t="s">
        <v>5821</v>
      </c>
      <c r="B106" s="1354"/>
      <c r="C106" s="1354"/>
      <c r="D106" s="1354"/>
      <c r="E106" s="1354"/>
      <c r="F106" s="1354"/>
      <c r="G106" s="1354"/>
      <c r="H106" s="1354"/>
      <c r="I106" s="1501"/>
    </row>
  </sheetData>
  <mergeCells count="3">
    <mergeCell ref="A1:I1"/>
    <mergeCell ref="A106:I106"/>
    <mergeCell ref="A2:I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6"/>
  <sheetViews>
    <sheetView workbookViewId="0">
      <pane ySplit="3" topLeftCell="A100" activePane="bottomLeft" state="frozen"/>
      <selection pane="bottomLeft" activeCell="I106" sqref="I106"/>
    </sheetView>
  </sheetViews>
  <sheetFormatPr defaultRowHeight="14.5" x14ac:dyDescent="0.35"/>
  <cols>
    <col min="1" max="1" width="4" customWidth="1"/>
    <col min="2" max="2" width="32" style="597" customWidth="1"/>
    <col min="3" max="3" width="12" customWidth="1"/>
    <col min="4" max="4" width="22" style="597" customWidth="1"/>
    <col min="5" max="5" width="14" customWidth="1"/>
    <col min="6" max="6" width="28" customWidth="1"/>
    <col min="7" max="7" width="40" customWidth="1"/>
    <col min="8" max="8" width="52" customWidth="1"/>
    <col min="9" max="9" width="21.81640625" customWidth="1"/>
  </cols>
  <sheetData>
    <row r="1" spans="1:9" ht="32" customHeight="1" x14ac:dyDescent="0.35">
      <c r="A1" s="1476" t="s">
        <v>5822</v>
      </c>
      <c r="B1" s="1313"/>
      <c r="C1" s="1313"/>
      <c r="D1" s="1313"/>
      <c r="E1" s="1313"/>
      <c r="F1" s="1313"/>
      <c r="G1" s="1313"/>
      <c r="H1" s="1313"/>
    </row>
    <row r="2" spans="1:9" ht="16" customHeight="1" x14ac:dyDescent="0.35">
      <c r="A2" s="1365" t="s">
        <v>5452</v>
      </c>
      <c r="B2" s="1313"/>
      <c r="C2" s="1313"/>
      <c r="D2" s="1313"/>
      <c r="E2" s="1313"/>
      <c r="F2" s="1313"/>
      <c r="G2" s="1313"/>
      <c r="H2" s="1313"/>
    </row>
    <row r="3" spans="1:9" ht="24" customHeight="1" x14ac:dyDescent="0.35">
      <c r="A3" s="238" t="s">
        <v>141</v>
      </c>
      <c r="B3" s="238" t="s">
        <v>5453</v>
      </c>
      <c r="C3" s="238" t="s">
        <v>5455</v>
      </c>
      <c r="D3" s="238" t="s">
        <v>619</v>
      </c>
      <c r="E3" s="238" t="s">
        <v>5823</v>
      </c>
      <c r="F3" s="598" t="s">
        <v>5457</v>
      </c>
      <c r="G3" s="238" t="s">
        <v>5456</v>
      </c>
      <c r="H3" s="303" t="s">
        <v>8</v>
      </c>
      <c r="I3" s="601" t="s">
        <v>789</v>
      </c>
    </row>
    <row r="4" spans="1:9" ht="22" customHeight="1" x14ac:dyDescent="0.35">
      <c r="A4" s="1479" t="s">
        <v>5824</v>
      </c>
      <c r="B4" s="1313"/>
      <c r="C4" s="1313"/>
      <c r="D4" s="1313"/>
      <c r="E4" s="1313"/>
      <c r="F4" s="1313"/>
      <c r="G4" s="1313"/>
      <c r="H4" s="1313"/>
    </row>
    <row r="5" spans="1:9" ht="20" customHeight="1" x14ac:dyDescent="0.35">
      <c r="A5" s="338">
        <v>1</v>
      </c>
      <c r="B5" s="595"/>
      <c r="C5" s="240"/>
      <c r="D5" s="595"/>
      <c r="E5" s="239"/>
      <c r="F5" s="599"/>
      <c r="G5" s="239"/>
      <c r="I5" s="603" t="str">
        <f>HYPERLINK("https://maps.google.com/?q=Portugal","📍 ")</f>
        <v xml:space="preserve">📍 </v>
      </c>
    </row>
    <row r="6" spans="1:9" ht="110" customHeight="1" x14ac:dyDescent="0.35">
      <c r="A6" s="336">
        <v>2</v>
      </c>
      <c r="B6" s="596" t="s">
        <v>5825</v>
      </c>
      <c r="C6" s="243" t="s">
        <v>5826</v>
      </c>
      <c r="D6" s="596" t="s">
        <v>792</v>
      </c>
      <c r="E6" s="242" t="s">
        <v>5827</v>
      </c>
      <c r="F6" s="600" t="s">
        <v>5828</v>
      </c>
      <c r="G6" s="242" t="s">
        <v>1332</v>
      </c>
      <c r="H6" s="304" t="s">
        <v>5829</v>
      </c>
      <c r="I6" s="602" t="str">
        <f>HYPERLINK("https://maps.google.com/?q=Parque%20Nacional%20Peneda-Ger%C3%AAs%20Norte%20Portugal","📍 Parque Nacional Peneda-Gerês")</f>
        <v>📍 Parque Nacional Peneda-Gerês</v>
      </c>
    </row>
    <row r="7" spans="1:9" ht="110" customHeight="1" x14ac:dyDescent="0.35">
      <c r="A7" s="338">
        <v>3</v>
      </c>
      <c r="B7" s="595" t="s">
        <v>5830</v>
      </c>
      <c r="C7" s="240" t="s">
        <v>5831</v>
      </c>
      <c r="D7" s="595" t="s">
        <v>792</v>
      </c>
      <c r="E7" s="239" t="s">
        <v>5832</v>
      </c>
      <c r="F7" s="599" t="s">
        <v>5833</v>
      </c>
      <c r="G7" s="239" t="s">
        <v>5834</v>
      </c>
      <c r="H7" s="305" t="s">
        <v>5835</v>
      </c>
      <c r="I7" s="603" t="str">
        <f>HYPERLINK("https://maps.google.com/?q=Mata%20do%20Mezio%20Norte%20Portugal","📍 Mata do Mezio")</f>
        <v>📍 Mata do Mezio</v>
      </c>
    </row>
    <row r="8" spans="1:9" ht="110" customHeight="1" x14ac:dyDescent="0.35">
      <c r="A8" s="336">
        <v>4</v>
      </c>
      <c r="B8" s="596" t="s">
        <v>5836</v>
      </c>
      <c r="C8" s="243" t="s">
        <v>5831</v>
      </c>
      <c r="D8" s="596" t="s">
        <v>792</v>
      </c>
      <c r="E8" s="242" t="s">
        <v>5832</v>
      </c>
      <c r="F8" s="600" t="s">
        <v>5837</v>
      </c>
      <c r="G8" s="242" t="s">
        <v>1669</v>
      </c>
      <c r="H8" s="304" t="s">
        <v>5838</v>
      </c>
      <c r="I8" s="602" t="str">
        <f>HYPERLINK("https://maps.google.com/?q=Parque%20Natural%20de%20Montesinho%20Norte%20Portugal","📍 Parque Natural de Montesinho")</f>
        <v>📍 Parque Natural de Montesinho</v>
      </c>
    </row>
    <row r="9" spans="1:9" ht="110" customHeight="1" x14ac:dyDescent="0.35">
      <c r="A9" s="338">
        <v>5</v>
      </c>
      <c r="B9" s="595" t="s">
        <v>5839</v>
      </c>
      <c r="C9" s="240" t="s">
        <v>5840</v>
      </c>
      <c r="D9" s="595" t="s">
        <v>792</v>
      </c>
      <c r="E9" s="239" t="s">
        <v>5841</v>
      </c>
      <c r="F9" s="599" t="s">
        <v>5842</v>
      </c>
      <c r="G9" s="239" t="s">
        <v>5843</v>
      </c>
      <c r="H9" s="305" t="s">
        <v>5844</v>
      </c>
      <c r="I9" s="603" t="str">
        <f>HYPERLINK("https://maps.google.com/?q=Mata%20da%20Albergaria%2C%20Ger%C3%AAs%20Norte%20Portugal","📍 Mata da Albergaria, Gerês")</f>
        <v>📍 Mata da Albergaria, Gerês</v>
      </c>
    </row>
    <row r="10" spans="1:9" ht="110" customHeight="1" x14ac:dyDescent="0.35">
      <c r="A10" s="336">
        <v>6</v>
      </c>
      <c r="B10" s="596" t="s">
        <v>5845</v>
      </c>
      <c r="C10" s="243" t="s">
        <v>5831</v>
      </c>
      <c r="D10" s="596" t="s">
        <v>792</v>
      </c>
      <c r="E10" s="242" t="s">
        <v>5846</v>
      </c>
      <c r="F10" s="600" t="s">
        <v>5847</v>
      </c>
      <c r="G10" s="242" t="s">
        <v>5848</v>
      </c>
      <c r="H10" s="304" t="s">
        <v>5849</v>
      </c>
      <c r="I10" s="602" t="str">
        <f>HYPERLINK("https://maps.google.com/?q=Vilar%20da%20Veiga%20Norte%20Portugal","📍 Vilar da Veiga")</f>
        <v>📍 Vilar da Veiga</v>
      </c>
    </row>
    <row r="11" spans="1:9" ht="110" customHeight="1" x14ac:dyDescent="0.35">
      <c r="A11" s="338">
        <v>7</v>
      </c>
      <c r="B11" s="595" t="s">
        <v>5851</v>
      </c>
      <c r="C11" s="240" t="s">
        <v>5852</v>
      </c>
      <c r="D11" s="595" t="s">
        <v>792</v>
      </c>
      <c r="E11" s="239" t="s">
        <v>5853</v>
      </c>
      <c r="F11" s="599" t="s">
        <v>5854</v>
      </c>
      <c r="G11" s="239" t="s">
        <v>5855</v>
      </c>
      <c r="H11" s="305" t="s">
        <v>5856</v>
      </c>
      <c r="I11" s="603" t="str">
        <f>HYPERLINK("https://maps.google.com/?q=Rio%20Laboreiro%20Norte%20Portugal","📍 Rio Laboreiro")</f>
        <v>📍 Rio Laboreiro</v>
      </c>
    </row>
    <row r="12" spans="1:9" ht="110" customHeight="1" x14ac:dyDescent="0.35">
      <c r="A12" s="336">
        <v>8</v>
      </c>
      <c r="B12" s="596" t="s">
        <v>5858</v>
      </c>
      <c r="C12" s="243" t="s">
        <v>5859</v>
      </c>
      <c r="D12" s="596" t="s">
        <v>792</v>
      </c>
      <c r="E12" s="242" t="s">
        <v>5860</v>
      </c>
      <c r="F12" s="600" t="s">
        <v>5861</v>
      </c>
      <c r="G12" s="242" t="s">
        <v>5862</v>
      </c>
      <c r="H12" s="304" t="s">
        <v>5863</v>
      </c>
      <c r="I12" s="602" t="str">
        <f>HYPERLINK("https://maps.google.com/?q=Turfeiras%20da%20Mourela%20Norte%20Portugal","📍 Turfeiras da Mourela")</f>
        <v>📍 Turfeiras da Mourela</v>
      </c>
    </row>
    <row r="13" spans="1:9" ht="110" customHeight="1" x14ac:dyDescent="0.35">
      <c r="A13" s="338">
        <v>9</v>
      </c>
      <c r="B13" s="595" t="s">
        <v>5864</v>
      </c>
      <c r="C13" s="240" t="s">
        <v>5865</v>
      </c>
      <c r="D13" s="595" t="s">
        <v>792</v>
      </c>
      <c r="E13" s="239" t="s">
        <v>2831</v>
      </c>
      <c r="F13" s="599" t="s">
        <v>5866</v>
      </c>
      <c r="G13" s="239" t="s">
        <v>5867</v>
      </c>
      <c r="H13" s="305" t="s">
        <v>5868</v>
      </c>
      <c r="I13" s="603" t="str">
        <f>HYPERLINK("https://maps.google.com/?q=Planalto%20da%20Mourela%20Norte%20Portugal","📍 Planalto da Mourela")</f>
        <v>📍 Planalto da Mourela</v>
      </c>
    </row>
    <row r="14" spans="1:9" ht="110" customHeight="1" x14ac:dyDescent="0.35">
      <c r="A14" s="336">
        <v>10</v>
      </c>
      <c r="B14" s="596" t="s">
        <v>5869</v>
      </c>
      <c r="C14" s="243" t="s">
        <v>5831</v>
      </c>
      <c r="D14" s="596" t="s">
        <v>792</v>
      </c>
      <c r="E14" s="242" t="s">
        <v>5870</v>
      </c>
      <c r="F14" s="600" t="s">
        <v>5871</v>
      </c>
      <c r="G14" s="242" t="s">
        <v>5872</v>
      </c>
      <c r="H14" s="304" t="s">
        <v>5873</v>
      </c>
      <c r="I14" s="602" t="str">
        <f>HYPERLINK("https://maps.google.com/?q=Encruzilhadas%20do%20Ger%C3%AAs%20Norte%20Portugal","📍 Encruzilhadas do Gerês")</f>
        <v>📍 Encruzilhadas do Gerês</v>
      </c>
    </row>
    <row r="15" spans="1:9" ht="110" customHeight="1" x14ac:dyDescent="0.35">
      <c r="A15" s="338">
        <v>11</v>
      </c>
      <c r="B15" s="595" t="s">
        <v>5874</v>
      </c>
      <c r="C15" s="240" t="s">
        <v>5875</v>
      </c>
      <c r="D15" s="595" t="s">
        <v>792</v>
      </c>
      <c r="E15" s="239" t="s">
        <v>2831</v>
      </c>
      <c r="F15" s="599" t="s">
        <v>5876</v>
      </c>
      <c r="G15" s="239" t="s">
        <v>5877</v>
      </c>
      <c r="H15" s="305" t="s">
        <v>5878</v>
      </c>
      <c r="I15" s="603" t="str">
        <f>HYPERLINK("https://maps.google.com/?q=Serra%20de%20Montesinho%20Norte%20Portugal","📍 Serra de Montesinho")</f>
        <v>📍 Serra de Montesinho</v>
      </c>
    </row>
    <row r="16" spans="1:9" ht="20" customHeight="1" x14ac:dyDescent="0.35">
      <c r="A16" s="336">
        <v>12</v>
      </c>
      <c r="B16" s="596"/>
      <c r="C16" s="243"/>
      <c r="D16" s="596"/>
      <c r="E16" s="242"/>
      <c r="F16" s="600"/>
      <c r="G16" s="242"/>
      <c r="I16" s="602" t="str">
        <f>HYPERLINK("https://maps.google.com/?q=Portugal","📍 ")</f>
        <v xml:space="preserve">📍 </v>
      </c>
    </row>
    <row r="17" spans="1:9" ht="110" customHeight="1" x14ac:dyDescent="0.35">
      <c r="A17" s="338">
        <v>13</v>
      </c>
      <c r="B17" s="595" t="s">
        <v>5879</v>
      </c>
      <c r="C17" s="240" t="s">
        <v>5840</v>
      </c>
      <c r="D17" s="595" t="s">
        <v>836</v>
      </c>
      <c r="E17" s="239" t="s">
        <v>2595</v>
      </c>
      <c r="F17" s="599" t="s">
        <v>5880</v>
      </c>
      <c r="G17" s="239" t="s">
        <v>5881</v>
      </c>
      <c r="H17" s="304" t="s">
        <v>5882</v>
      </c>
      <c r="I17" s="603" t="str">
        <f>HYPERLINK("https://maps.google.com/?q=Cume%20da%20Torre%20Centro%20Portugal","📍 Cume da Torre")</f>
        <v>📍 Cume da Torre</v>
      </c>
    </row>
    <row r="18" spans="1:9" ht="110" customHeight="1" x14ac:dyDescent="0.35">
      <c r="A18" s="336">
        <v>14</v>
      </c>
      <c r="B18" s="596" t="s">
        <v>5884</v>
      </c>
      <c r="C18" s="243" t="s">
        <v>5826</v>
      </c>
      <c r="D18" s="596" t="s">
        <v>836</v>
      </c>
      <c r="E18" s="242" t="s">
        <v>5860</v>
      </c>
      <c r="F18" s="600" t="s">
        <v>5885</v>
      </c>
      <c r="G18" s="242" t="s">
        <v>5886</v>
      </c>
      <c r="H18" s="305" t="s">
        <v>5887</v>
      </c>
      <c r="I18" s="602" t="str">
        <f>HYPERLINK("https://maps.google.com/?q=Planalto%20Central%20Centro%20Portugal","📍 Planalto Central")</f>
        <v>📍 Planalto Central</v>
      </c>
    </row>
    <row r="19" spans="1:9" ht="110" customHeight="1" x14ac:dyDescent="0.35">
      <c r="A19" s="338">
        <v>15</v>
      </c>
      <c r="B19" s="595" t="s">
        <v>5888</v>
      </c>
      <c r="C19" s="240" t="s">
        <v>5831</v>
      </c>
      <c r="D19" s="595" t="s">
        <v>836</v>
      </c>
      <c r="E19" s="239" t="s">
        <v>5846</v>
      </c>
      <c r="F19" s="599" t="s">
        <v>5889</v>
      </c>
      <c r="G19" s="239" t="s">
        <v>5890</v>
      </c>
      <c r="H19" s="304" t="s">
        <v>5891</v>
      </c>
      <c r="I19" s="603" t="str">
        <f>HYPERLINK("https://maps.google.com/?q=Vale%20do%20Z%C3%AAzere%20Centro%20Portugal","📍 Vale do Zêzere")</f>
        <v>📍 Vale do Zêzere</v>
      </c>
    </row>
    <row r="20" spans="1:9" ht="110" customHeight="1" x14ac:dyDescent="0.35">
      <c r="A20" s="336">
        <v>16</v>
      </c>
      <c r="B20" s="596" t="s">
        <v>5893</v>
      </c>
      <c r="C20" s="243" t="s">
        <v>5894</v>
      </c>
      <c r="D20" s="596" t="s">
        <v>836</v>
      </c>
      <c r="E20" s="242" t="s">
        <v>5895</v>
      </c>
      <c r="F20" s="600" t="s">
        <v>5896</v>
      </c>
      <c r="G20" s="242" t="s">
        <v>5897</v>
      </c>
      <c r="H20" s="305" t="s">
        <v>5898</v>
      </c>
      <c r="I20" s="602" t="str">
        <f>HYPERLINK("https://maps.google.com/?q=Cov%C3%A3o%20da%20Ametade%20Centro%20Portugal","📍 Covão da Ametade")</f>
        <v>📍 Covão da Ametade</v>
      </c>
    </row>
    <row r="21" spans="1:9" ht="110" customHeight="1" x14ac:dyDescent="0.35">
      <c r="A21" s="338">
        <v>17</v>
      </c>
      <c r="B21" s="595" t="s">
        <v>5899</v>
      </c>
      <c r="C21" s="240" t="s">
        <v>5865</v>
      </c>
      <c r="D21" s="595" t="s">
        <v>836</v>
      </c>
      <c r="E21" s="239" t="s">
        <v>5860</v>
      </c>
      <c r="F21" s="599" t="s">
        <v>5900</v>
      </c>
      <c r="G21" s="239" t="s">
        <v>5901</v>
      </c>
      <c r="H21" s="304" t="s">
        <v>5902</v>
      </c>
      <c r="I21" s="603" t="str">
        <f>HYPERLINK("https://maps.google.com/?q=Lagoa%20Comprida%20Centro%20Portugal","📍 Lagoa Comprida")</f>
        <v>📍 Lagoa Comprida</v>
      </c>
    </row>
    <row r="22" spans="1:9" ht="110" customHeight="1" x14ac:dyDescent="0.35">
      <c r="A22" s="336">
        <v>18</v>
      </c>
      <c r="B22" s="596" t="s">
        <v>5903</v>
      </c>
      <c r="C22" s="243" t="s">
        <v>5904</v>
      </c>
      <c r="D22" s="596" t="s">
        <v>836</v>
      </c>
      <c r="E22" s="242" t="s">
        <v>5846</v>
      </c>
      <c r="F22" s="600" t="s">
        <v>5905</v>
      </c>
      <c r="G22" s="242" t="s">
        <v>5906</v>
      </c>
      <c r="H22" s="305" t="s">
        <v>5907</v>
      </c>
      <c r="I22" s="602" t="str">
        <f>HYPERLINK("https://maps.google.com/?q=Penhas%20da%20Sa%C3%BAde%20Centro%20Portugal","📍 Penhas da Saúde")</f>
        <v>📍 Penhas da Saúde</v>
      </c>
    </row>
    <row r="23" spans="1:9" ht="110" customHeight="1" x14ac:dyDescent="0.35">
      <c r="A23" s="338">
        <v>19</v>
      </c>
      <c r="B23" s="595" t="s">
        <v>5908</v>
      </c>
      <c r="C23" s="240" t="s">
        <v>5865</v>
      </c>
      <c r="D23" s="595" t="s">
        <v>836</v>
      </c>
      <c r="E23" s="239" t="s">
        <v>5846</v>
      </c>
      <c r="F23" s="599" t="s">
        <v>5909</v>
      </c>
      <c r="G23" s="239" t="s">
        <v>5910</v>
      </c>
      <c r="H23" s="304" t="s">
        <v>5911</v>
      </c>
      <c r="I23" s="603" t="str">
        <f>HYPERLINK("https://maps.google.com/?q=Bosques%20de%20Manteigas%20Centro%20Portugal","📍 Bosques de Manteigas")</f>
        <v>📍 Bosques de Manteigas</v>
      </c>
    </row>
    <row r="24" spans="1:9" ht="110" customHeight="1" x14ac:dyDescent="0.35">
      <c r="A24" s="336">
        <v>20</v>
      </c>
      <c r="B24" s="596" t="s">
        <v>5912</v>
      </c>
      <c r="C24" s="243" t="s">
        <v>5913</v>
      </c>
      <c r="D24" s="596" t="s">
        <v>836</v>
      </c>
      <c r="E24" s="242" t="s">
        <v>5914</v>
      </c>
      <c r="F24" s="600" t="s">
        <v>5915</v>
      </c>
      <c r="G24" s="242" t="s">
        <v>5916</v>
      </c>
      <c r="H24" s="305" t="s">
        <v>5917</v>
      </c>
      <c r="I24" s="602" t="str">
        <f>HYPERLINK("https://maps.google.com/?q=Cumes%20da%20Estrela%20Centro%20Portugal","📍 Cumes da Estrela")</f>
        <v>📍 Cumes da Estrela</v>
      </c>
    </row>
    <row r="25" spans="1:9" ht="110" customHeight="1" x14ac:dyDescent="0.35">
      <c r="A25" s="338">
        <v>21</v>
      </c>
      <c r="B25" s="595" t="s">
        <v>5918</v>
      </c>
      <c r="C25" s="240" t="s">
        <v>5831</v>
      </c>
      <c r="D25" s="595" t="s">
        <v>836</v>
      </c>
      <c r="E25" s="239" t="s">
        <v>5846</v>
      </c>
      <c r="F25" s="599" t="s">
        <v>5919</v>
      </c>
      <c r="G25" s="239" t="s">
        <v>5920</v>
      </c>
      <c r="H25" s="304" t="s">
        <v>5921</v>
      </c>
      <c r="I25" s="603" t="str">
        <f>HYPERLINK("https://maps.google.com/?q=Nave%20de%20Santo%20Ant%C3%B3nio%20Centro%20Portugal","📍 Nave de Santo António")</f>
        <v>📍 Nave de Santo António</v>
      </c>
    </row>
    <row r="26" spans="1:9" ht="110" customHeight="1" x14ac:dyDescent="0.35">
      <c r="A26" s="336">
        <v>22</v>
      </c>
      <c r="B26" s="596" t="s">
        <v>5923</v>
      </c>
      <c r="C26" s="243" t="s">
        <v>5840</v>
      </c>
      <c r="D26" s="596" t="s">
        <v>836</v>
      </c>
      <c r="E26" s="242" t="s">
        <v>5827</v>
      </c>
      <c r="F26" s="600" t="s">
        <v>5924</v>
      </c>
      <c r="G26" s="242" t="s">
        <v>5925</v>
      </c>
      <c r="H26" s="305" t="s">
        <v>5926</v>
      </c>
      <c r="I26" s="602" t="str">
        <f>HYPERLINK("https://maps.google.com/?q=Encostas%20Sul%20da%20Estrela%20Centro%20Portugal","📍 Encostas Sul da Estrela")</f>
        <v>📍 Encostas Sul da Estrela</v>
      </c>
    </row>
    <row r="27" spans="1:9" ht="20" customHeight="1" x14ac:dyDescent="0.35">
      <c r="A27" s="338">
        <v>23</v>
      </c>
      <c r="B27" s="595"/>
      <c r="C27" s="240"/>
      <c r="D27" s="595"/>
      <c r="E27" s="239"/>
      <c r="F27" s="599"/>
      <c r="G27" s="239"/>
      <c r="I27" s="603" t="str">
        <f>HYPERLINK("https://maps.google.com/?q=Portugal","📍 ")</f>
        <v xml:space="preserve">📍 </v>
      </c>
    </row>
    <row r="28" spans="1:9" ht="110" customHeight="1" x14ac:dyDescent="0.35">
      <c r="A28" s="336">
        <v>24</v>
      </c>
      <c r="B28" s="596" t="s">
        <v>5927</v>
      </c>
      <c r="C28" s="243" t="s">
        <v>5894</v>
      </c>
      <c r="D28" s="596" t="s">
        <v>836</v>
      </c>
      <c r="E28" s="242" t="s">
        <v>5928</v>
      </c>
      <c r="F28" s="600" t="s">
        <v>5929</v>
      </c>
      <c r="G28" s="242" t="s">
        <v>2599</v>
      </c>
      <c r="H28" s="304" t="s">
        <v>5930</v>
      </c>
      <c r="I28" s="602" t="str">
        <f>HYPERLINK("https://maps.google.com/?q=Serra%20da%20Arr%C3%A1bida%20Centro%20Portugal","📍 Serra da Arrábida")</f>
        <v>📍 Serra da Arrábida</v>
      </c>
    </row>
    <row r="29" spans="1:9" ht="110" customHeight="1" x14ac:dyDescent="0.35">
      <c r="A29" s="338">
        <v>25</v>
      </c>
      <c r="B29" s="595" t="s">
        <v>5931</v>
      </c>
      <c r="C29" s="240" t="s">
        <v>5932</v>
      </c>
      <c r="D29" s="595" t="s">
        <v>836</v>
      </c>
      <c r="E29" s="239" t="s">
        <v>5928</v>
      </c>
      <c r="F29" s="599" t="s">
        <v>5933</v>
      </c>
      <c r="G29" s="239" t="s">
        <v>2494</v>
      </c>
      <c r="H29" s="305" t="s">
        <v>5934</v>
      </c>
      <c r="I29" s="603" t="str">
        <f>HYPERLINK("https://maps.google.com/?q=Serras%20de%20Aire%20e%20Candeeiros%20Centro%20Portugal","📍 Serras de Aire e Candeeiros")</f>
        <v>📍 Serras de Aire e Candeeiros</v>
      </c>
    </row>
    <row r="30" spans="1:9" ht="110" customHeight="1" x14ac:dyDescent="0.35">
      <c r="A30" s="336">
        <v>26</v>
      </c>
      <c r="B30" s="596" t="s">
        <v>5936</v>
      </c>
      <c r="C30" s="243" t="s">
        <v>5831</v>
      </c>
      <c r="D30" s="596" t="s">
        <v>836</v>
      </c>
      <c r="E30" s="242" t="s">
        <v>5937</v>
      </c>
      <c r="F30" s="600" t="s">
        <v>5938</v>
      </c>
      <c r="G30" s="242" t="s">
        <v>5939</v>
      </c>
      <c r="H30" s="304" t="s">
        <v>5940</v>
      </c>
      <c r="I30" s="602" t="str">
        <f>HYPERLINK("https://maps.google.com/?q=Serras%20de%20Alcobertas%20Centro%20Portugal","📍 Serras de Alcobertas")</f>
        <v>📍 Serras de Alcobertas</v>
      </c>
    </row>
    <row r="31" spans="1:9" ht="110" customHeight="1" x14ac:dyDescent="0.35">
      <c r="A31" s="338">
        <v>27</v>
      </c>
      <c r="B31" s="595" t="s">
        <v>5942</v>
      </c>
      <c r="C31" s="240" t="s">
        <v>5943</v>
      </c>
      <c r="D31" s="595" t="s">
        <v>853</v>
      </c>
      <c r="E31" s="239" t="s">
        <v>2595</v>
      </c>
      <c r="F31" s="599" t="s">
        <v>5944</v>
      </c>
      <c r="G31" s="239" t="s">
        <v>5945</v>
      </c>
      <c r="H31" s="305" t="s">
        <v>5946</v>
      </c>
      <c r="I31" s="603" t="str">
        <f>HYPERLINK("https://maps.google.com/?q=Cabo%20Espichel%20Alentejo%20Portugal","📍 Cabo Espichel")</f>
        <v>📍 Cabo Espichel</v>
      </c>
    </row>
    <row r="32" spans="1:9" ht="110" customHeight="1" x14ac:dyDescent="0.35">
      <c r="A32" s="336">
        <v>28</v>
      </c>
      <c r="B32" s="596" t="s">
        <v>5948</v>
      </c>
      <c r="C32" s="243" t="s">
        <v>5840</v>
      </c>
      <c r="D32" s="596" t="s">
        <v>767</v>
      </c>
      <c r="E32" s="242" t="s">
        <v>5870</v>
      </c>
      <c r="F32" s="600" t="s">
        <v>5949</v>
      </c>
      <c r="G32" s="242" t="s">
        <v>2697</v>
      </c>
      <c r="H32" s="304" t="s">
        <v>5950</v>
      </c>
      <c r="I32" s="602" t="str">
        <f>HYPERLINK("https://maps.google.com/?q=Serra%20de%20Monchique%20Algarve%20Portugal","📍 Serra de Monchique")</f>
        <v>📍 Serra de Monchique</v>
      </c>
    </row>
    <row r="33" spans="1:9" ht="110" customHeight="1" x14ac:dyDescent="0.35">
      <c r="A33" s="338">
        <v>29</v>
      </c>
      <c r="B33" s="595" t="s">
        <v>5951</v>
      </c>
      <c r="C33" s="240" t="s">
        <v>5894</v>
      </c>
      <c r="D33" s="595" t="s">
        <v>836</v>
      </c>
      <c r="E33" s="239" t="s">
        <v>2831</v>
      </c>
      <c r="F33" s="599" t="s">
        <v>5952</v>
      </c>
      <c r="G33" s="239" t="s">
        <v>5953</v>
      </c>
      <c r="H33" s="305" t="s">
        <v>5954</v>
      </c>
      <c r="I33" s="603" t="str">
        <f>HYPERLINK("https://maps.google.com/?q=Dunas%20de%20S.%20Jacinto%20Centro%20Portugal","📍 Dunas de S. Jacinto")</f>
        <v>📍 Dunas de S. Jacinto</v>
      </c>
    </row>
    <row r="34" spans="1:9" ht="110" customHeight="1" x14ac:dyDescent="0.35">
      <c r="A34" s="336">
        <v>30</v>
      </c>
      <c r="B34" s="596" t="s">
        <v>5955</v>
      </c>
      <c r="C34" s="243" t="s">
        <v>5840</v>
      </c>
      <c r="D34" s="596" t="s">
        <v>836</v>
      </c>
      <c r="E34" s="242" t="s">
        <v>5937</v>
      </c>
      <c r="F34" s="600" t="s">
        <v>5956</v>
      </c>
      <c r="G34" s="242" t="s">
        <v>5957</v>
      </c>
      <c r="H34" s="304" t="s">
        <v>5958</v>
      </c>
      <c r="I34" s="602" t="str">
        <f>HYPERLINK("https://maps.google.com/?q=Pinhal%20de%20Leiria%20Centro%20Portugal","📍 Pinhal de Leiria")</f>
        <v>📍 Pinhal de Leiria</v>
      </c>
    </row>
    <row r="35" spans="1:9" ht="110" customHeight="1" x14ac:dyDescent="0.35">
      <c r="A35" s="338">
        <v>31</v>
      </c>
      <c r="B35" s="595" t="s">
        <v>5960</v>
      </c>
      <c r="C35" s="240" t="s">
        <v>5840</v>
      </c>
      <c r="D35" s="595" t="s">
        <v>767</v>
      </c>
      <c r="E35" s="239" t="s">
        <v>5937</v>
      </c>
      <c r="F35" s="599" t="s">
        <v>5961</v>
      </c>
      <c r="G35" s="239" t="s">
        <v>5962</v>
      </c>
      <c r="H35" s="305" t="s">
        <v>5963</v>
      </c>
      <c r="I35" s="603" t="str">
        <f>HYPERLINK("https://maps.google.com/?q=Cabo%20de%20S.%20Vicente%20Algarve%20Portugal","📍 Cabo de S. Vicente")</f>
        <v>📍 Cabo de S. Vicente</v>
      </c>
    </row>
    <row r="36" spans="1:9" ht="110" customHeight="1" x14ac:dyDescent="0.35">
      <c r="A36" s="336">
        <v>32</v>
      </c>
      <c r="B36" s="596" t="s">
        <v>5965</v>
      </c>
      <c r="C36" s="243" t="s">
        <v>5875</v>
      </c>
      <c r="D36" s="596" t="s">
        <v>836</v>
      </c>
      <c r="E36" s="242" t="s">
        <v>5895</v>
      </c>
      <c r="F36" s="600" t="s">
        <v>5966</v>
      </c>
      <c r="G36" s="242" t="s">
        <v>5967</v>
      </c>
      <c r="H36" s="304" t="s">
        <v>5968</v>
      </c>
      <c r="I36" s="602" t="str">
        <f>HYPERLINK("https://maps.google.com/?q=Mata%20do%20Solit%C3%A1rio%20Centro%20Portugal","📍 Mata do Solitário")</f>
        <v>📍 Mata do Solitário</v>
      </c>
    </row>
    <row r="37" spans="1:9" ht="110" customHeight="1" x14ac:dyDescent="0.35">
      <c r="A37" s="338">
        <v>33</v>
      </c>
      <c r="B37" s="595" t="s">
        <v>5969</v>
      </c>
      <c r="C37" s="240" t="s">
        <v>5970</v>
      </c>
      <c r="D37" s="595" t="s">
        <v>767</v>
      </c>
      <c r="E37" s="239" t="s">
        <v>5971</v>
      </c>
      <c r="F37" s="599" t="s">
        <v>5972</v>
      </c>
      <c r="G37" s="239" t="s">
        <v>5973</v>
      </c>
      <c r="H37" s="305" t="s">
        <v>5974</v>
      </c>
      <c r="I37" s="603" t="str">
        <f>HYPERLINK("https://maps.google.com/?q=Pontal%20da%20Carrapateira%20Algarve%20Portugal","📍 Pontal da Carrapateira")</f>
        <v>📍 Pontal da Carrapateira</v>
      </c>
    </row>
    <row r="38" spans="1:9" ht="20" customHeight="1" x14ac:dyDescent="0.35">
      <c r="A38" s="336">
        <v>34</v>
      </c>
      <c r="B38" s="596"/>
      <c r="C38" s="243"/>
      <c r="D38" s="596"/>
      <c r="E38" s="242"/>
      <c r="F38" s="600"/>
      <c r="G38" s="242"/>
      <c r="I38" s="602" t="str">
        <f>HYPERLINK("https://maps.google.com/?q=Portugal","📍 ")</f>
        <v xml:space="preserve">📍 </v>
      </c>
    </row>
    <row r="39" spans="1:9" ht="110" customHeight="1" x14ac:dyDescent="0.35">
      <c r="A39" s="338">
        <v>35</v>
      </c>
      <c r="B39" s="595" t="s">
        <v>5975</v>
      </c>
      <c r="C39" s="240" t="s">
        <v>5976</v>
      </c>
      <c r="D39" s="595" t="s">
        <v>524</v>
      </c>
      <c r="E39" s="239" t="s">
        <v>5914</v>
      </c>
      <c r="F39" s="599" t="s">
        <v>5977</v>
      </c>
      <c r="G39" s="239" t="s">
        <v>5978</v>
      </c>
      <c r="H39" s="304" t="s">
        <v>5979</v>
      </c>
      <c r="I39" s="603" t="str">
        <f>HYPERLINK("https://maps.google.com/?q=Jardim%20Bot%C3%A2nico%20do%20Funchal%20Madeira%20Portugal","📍 Jardim Botânico do Funchal")</f>
        <v>📍 Jardim Botânico do Funchal</v>
      </c>
    </row>
    <row r="40" spans="1:9" ht="110" customHeight="1" x14ac:dyDescent="0.35">
      <c r="A40" s="336">
        <v>36</v>
      </c>
      <c r="B40" s="596" t="s">
        <v>5980</v>
      </c>
      <c r="C40" s="243" t="s">
        <v>5826</v>
      </c>
      <c r="D40" s="596" t="s">
        <v>524</v>
      </c>
      <c r="E40" s="242" t="s">
        <v>5981</v>
      </c>
      <c r="F40" s="600" t="s">
        <v>5982</v>
      </c>
      <c r="G40" s="242" t="s">
        <v>5983</v>
      </c>
      <c r="H40" s="305" t="s">
        <v>5984</v>
      </c>
      <c r="I40" s="602" t="str">
        <f>HYPERLINK("https://maps.google.com/?q=Eira%20do%20Serrado%20Madeira%20Portugal","📍 Eira do Serrado")</f>
        <v>📍 Eira do Serrado</v>
      </c>
    </row>
    <row r="41" spans="1:9" ht="110" customHeight="1" x14ac:dyDescent="0.35">
      <c r="A41" s="338">
        <v>37</v>
      </c>
      <c r="B41" s="595" t="s">
        <v>5985</v>
      </c>
      <c r="C41" s="240" t="s">
        <v>5976</v>
      </c>
      <c r="D41" s="595" t="s">
        <v>524</v>
      </c>
      <c r="E41" s="239" t="s">
        <v>2831</v>
      </c>
      <c r="F41" s="599" t="s">
        <v>5986</v>
      </c>
      <c r="G41" s="239" t="s">
        <v>5541</v>
      </c>
      <c r="H41" s="304" t="s">
        <v>5987</v>
      </c>
      <c r="I41" s="603" t="str">
        <f>HYPERLINK("https://maps.google.com/?q=Ribeiro%20Frio%20Madeira%20Portugal","📍 Ribeiro Frio")</f>
        <v>📍 Ribeiro Frio</v>
      </c>
    </row>
    <row r="42" spans="1:9" ht="110" customHeight="1" x14ac:dyDescent="0.35">
      <c r="A42" s="336">
        <v>38</v>
      </c>
      <c r="B42" s="596" t="s">
        <v>5989</v>
      </c>
      <c r="C42" s="243" t="s">
        <v>5826</v>
      </c>
      <c r="D42" s="596" t="s">
        <v>524</v>
      </c>
      <c r="E42" s="242" t="s">
        <v>5990</v>
      </c>
      <c r="F42" s="600" t="s">
        <v>5991</v>
      </c>
      <c r="G42" s="242" t="s">
        <v>5992</v>
      </c>
      <c r="H42" s="305" t="s">
        <v>5993</v>
      </c>
      <c r="I42" s="602" t="str">
        <f>HYPERLINK("https://maps.google.com/?q=Queimadas%2C%20Santana%20Madeira%20Portugal","📍 Queimadas, Santana")</f>
        <v>📍 Queimadas, Santana</v>
      </c>
    </row>
    <row r="43" spans="1:9" ht="110" customHeight="1" x14ac:dyDescent="0.35">
      <c r="A43" s="338">
        <v>39</v>
      </c>
      <c r="B43" s="595" t="s">
        <v>5994</v>
      </c>
      <c r="C43" s="240" t="s">
        <v>5976</v>
      </c>
      <c r="D43" s="595" t="s">
        <v>524</v>
      </c>
      <c r="E43" s="239" t="s">
        <v>5995</v>
      </c>
      <c r="F43" s="599" t="s">
        <v>5996</v>
      </c>
      <c r="G43" s="239" t="s">
        <v>5997</v>
      </c>
      <c r="H43" s="304" t="s">
        <v>5998</v>
      </c>
      <c r="I43" s="603" t="str">
        <f>HYPERLINK("https://maps.google.com/?q=Fanal%2C%20Porto%20Moniz%20Madeira%20Portugal","📍 Fanal, Porto Moniz")</f>
        <v>📍 Fanal, Porto Moniz</v>
      </c>
    </row>
    <row r="44" spans="1:9" ht="110" customHeight="1" x14ac:dyDescent="0.35">
      <c r="A44" s="336">
        <v>40</v>
      </c>
      <c r="B44" s="596" t="s">
        <v>6000</v>
      </c>
      <c r="C44" s="243" t="s">
        <v>5826</v>
      </c>
      <c r="D44" s="596" t="s">
        <v>524</v>
      </c>
      <c r="E44" s="242" t="s">
        <v>5853</v>
      </c>
      <c r="F44" s="600" t="s">
        <v>6001</v>
      </c>
      <c r="G44" s="242" t="s">
        <v>6002</v>
      </c>
      <c r="H44" s="305" t="s">
        <v>6003</v>
      </c>
      <c r="I44" s="602" t="str">
        <f>HYPERLINK("https://maps.google.com/?q=Levada%20do%20Caldeir%C3%A3o%20Verde%20Madeira%20Portugal","📍 Levada do Caldeirão Verde")</f>
        <v>📍 Levada do Caldeirão Verde</v>
      </c>
    </row>
    <row r="45" spans="1:9" ht="110" customHeight="1" x14ac:dyDescent="0.35">
      <c r="A45" s="338">
        <v>41</v>
      </c>
      <c r="B45" s="595" t="s">
        <v>6004</v>
      </c>
      <c r="C45" s="240" t="s">
        <v>5904</v>
      </c>
      <c r="D45" s="595" t="s">
        <v>524</v>
      </c>
      <c r="E45" s="239" t="s">
        <v>5846</v>
      </c>
      <c r="F45" s="599" t="s">
        <v>6005</v>
      </c>
      <c r="G45" s="239" t="s">
        <v>5803</v>
      </c>
      <c r="H45" s="304" t="s">
        <v>6006</v>
      </c>
      <c r="I45" s="603" t="str">
        <f>HYPERLINK("https://maps.google.com/?q=Pico%20do%20Arieiro%20Madeira%20Portugal","📍 Pico do Arieiro")</f>
        <v>📍 Pico do Arieiro</v>
      </c>
    </row>
    <row r="46" spans="1:9" ht="110" customHeight="1" x14ac:dyDescent="0.35">
      <c r="A46" s="336">
        <v>42</v>
      </c>
      <c r="B46" s="596" t="s">
        <v>6007</v>
      </c>
      <c r="C46" s="243" t="s">
        <v>5826</v>
      </c>
      <c r="D46" s="596" t="s">
        <v>524</v>
      </c>
      <c r="E46" s="242" t="s">
        <v>2825</v>
      </c>
      <c r="F46" s="600" t="s">
        <v>6008</v>
      </c>
      <c r="G46" s="242" t="s">
        <v>6009</v>
      </c>
      <c r="H46" s="305" t="s">
        <v>6010</v>
      </c>
      <c r="I46" s="602" t="str">
        <f>HYPERLINK("https://maps.google.com/?q=Ribeira%20da%20Janela%20Madeira%20Portugal","📍 Ribeira da Janela")</f>
        <v>📍 Ribeira da Janela</v>
      </c>
    </row>
    <row r="47" spans="1:9" ht="110" customHeight="1" x14ac:dyDescent="0.35">
      <c r="A47" s="338">
        <v>43</v>
      </c>
      <c r="B47" s="595" t="s">
        <v>6011</v>
      </c>
      <c r="C47" s="240" t="s">
        <v>5826</v>
      </c>
      <c r="D47" s="595" t="s">
        <v>524</v>
      </c>
      <c r="E47" s="239" t="s">
        <v>6012</v>
      </c>
      <c r="F47" s="599" t="s">
        <v>6013</v>
      </c>
      <c r="G47" s="239" t="s">
        <v>5999</v>
      </c>
      <c r="H47" s="304" t="s">
        <v>6014</v>
      </c>
      <c r="I47" s="603" t="str">
        <f>HYPERLINK("https://maps.google.com/?q=Porto%20Moniz%20Madeira%20Portugal","📍 Porto Moniz")</f>
        <v>📍 Porto Moniz</v>
      </c>
    </row>
    <row r="48" spans="1:9" ht="110" customHeight="1" x14ac:dyDescent="0.35">
      <c r="A48" s="336">
        <v>44</v>
      </c>
      <c r="B48" s="596" t="s">
        <v>6015</v>
      </c>
      <c r="C48" s="243" t="s">
        <v>5976</v>
      </c>
      <c r="D48" s="596" t="s">
        <v>524</v>
      </c>
      <c r="E48" s="242" t="s">
        <v>6016</v>
      </c>
      <c r="F48" s="600" t="s">
        <v>6017</v>
      </c>
      <c r="G48" s="242" t="s">
        <v>6018</v>
      </c>
      <c r="H48" s="305" t="s">
        <v>6019</v>
      </c>
      <c r="I48" s="602" t="str">
        <f>HYPERLINK("https://maps.google.com/?q=Ch%C3%A3o%20dos%20Louros%20Madeira%20Portugal","📍 Chão dos Louros")</f>
        <v>📍 Chão dos Louros</v>
      </c>
    </row>
    <row r="49" spans="1:9" ht="20" customHeight="1" x14ac:dyDescent="0.35">
      <c r="A49" s="338">
        <v>45</v>
      </c>
      <c r="B49" s="595"/>
      <c r="C49" s="240"/>
      <c r="D49" s="595"/>
      <c r="E49" s="239"/>
      <c r="F49" s="599"/>
      <c r="G49" s="239"/>
      <c r="I49" s="603" t="str">
        <f>HYPERLINK("https://maps.google.com/?q=Portugal","📍 ")</f>
        <v xml:space="preserve">📍 </v>
      </c>
    </row>
    <row r="50" spans="1:9" ht="110" customHeight="1" x14ac:dyDescent="0.35">
      <c r="A50" s="336">
        <v>46</v>
      </c>
      <c r="B50" s="596" t="s">
        <v>6020</v>
      </c>
      <c r="C50" s="243" t="s">
        <v>5831</v>
      </c>
      <c r="D50" s="596" t="s">
        <v>522</v>
      </c>
      <c r="E50" s="242" t="s">
        <v>5870</v>
      </c>
      <c r="F50" s="600" t="s">
        <v>6021</v>
      </c>
      <c r="G50" s="242" t="s">
        <v>6022</v>
      </c>
      <c r="H50" s="304" t="s">
        <v>6023</v>
      </c>
      <c r="I50" s="602" t="str">
        <f>HYPERLINK("https://maps.google.com/?q=Caldeira%20Velha%2C%20S.%20Miguel%20A%C3%A7ores%20Portugal","📍 Caldeira Velha, S. Miguel")</f>
        <v>📍 Caldeira Velha, S. Miguel</v>
      </c>
    </row>
    <row r="51" spans="1:9" ht="110" customHeight="1" x14ac:dyDescent="0.35">
      <c r="A51" s="338">
        <v>47</v>
      </c>
      <c r="B51" s="595" t="s">
        <v>6025</v>
      </c>
      <c r="C51" s="240" t="s">
        <v>5826</v>
      </c>
      <c r="D51" s="595" t="s">
        <v>522</v>
      </c>
      <c r="E51" s="239" t="s">
        <v>5853</v>
      </c>
      <c r="F51" s="599" t="s">
        <v>6026</v>
      </c>
      <c r="G51" s="239" t="s">
        <v>6027</v>
      </c>
      <c r="H51" s="305" t="s">
        <v>6028</v>
      </c>
      <c r="I51" s="603" t="str">
        <f>HYPERLINK("https://maps.google.com/?q=Norte%20do%20Pico%20A%C3%A7ores%20Portugal","📍 Norte do Pico")</f>
        <v>📍 Norte do Pico</v>
      </c>
    </row>
    <row r="52" spans="1:9" ht="110" customHeight="1" x14ac:dyDescent="0.35">
      <c r="A52" s="336">
        <v>48</v>
      </c>
      <c r="B52" s="596" t="s">
        <v>6029</v>
      </c>
      <c r="C52" s="243" t="s">
        <v>5826</v>
      </c>
      <c r="D52" s="596" t="s">
        <v>522</v>
      </c>
      <c r="E52" s="242" t="s">
        <v>5995</v>
      </c>
      <c r="F52" s="600" t="s">
        <v>6030</v>
      </c>
      <c r="G52" s="242" t="s">
        <v>6031</v>
      </c>
      <c r="H52" s="304" t="s">
        <v>6032</v>
      </c>
      <c r="I52" s="602" t="str">
        <f>HYPERLINK("https://maps.google.com/?q=Caldeira%20das%20Flores%20A%C3%A7ores%20Portugal","📍 Caldeira das Flores")</f>
        <v>📍 Caldeira das Flores</v>
      </c>
    </row>
    <row r="53" spans="1:9" ht="110" customHeight="1" x14ac:dyDescent="0.35">
      <c r="A53" s="338">
        <v>49</v>
      </c>
      <c r="B53" s="595" t="s">
        <v>6034</v>
      </c>
      <c r="C53" s="240" t="s">
        <v>5852</v>
      </c>
      <c r="D53" s="595" t="s">
        <v>522</v>
      </c>
      <c r="E53" s="239" t="s">
        <v>2595</v>
      </c>
      <c r="F53" s="599" t="s">
        <v>6035</v>
      </c>
      <c r="G53" s="239" t="s">
        <v>6036</v>
      </c>
      <c r="H53" s="305" t="s">
        <v>6037</v>
      </c>
      <c r="I53" s="603" t="str">
        <f>HYPERLINK("https://maps.google.com/?q=Terceira%20%E2%80%94%20Mist%C3%A9rios%20A%C3%A7ores%20Portugal","📍 Terceira — Mistérios")</f>
        <v>📍 Terceira — Mistérios</v>
      </c>
    </row>
    <row r="54" spans="1:9" ht="110" customHeight="1" x14ac:dyDescent="0.35">
      <c r="A54" s="336">
        <v>50</v>
      </c>
      <c r="B54" s="596" t="s">
        <v>6038</v>
      </c>
      <c r="C54" s="243" t="s">
        <v>5840</v>
      </c>
      <c r="D54" s="596" t="s">
        <v>522</v>
      </c>
      <c r="E54" s="242" t="s">
        <v>6039</v>
      </c>
      <c r="F54" s="600" t="s">
        <v>6040</v>
      </c>
      <c r="G54" s="242" t="s">
        <v>6041</v>
      </c>
      <c r="H54" s="304" t="s">
        <v>6042</v>
      </c>
      <c r="I54" s="602" t="str">
        <f>HYPERLINK("https://maps.google.com/?q=Montanha%20do%20Pico%20A%C3%A7ores%20Portugal","📍 Montanha do Pico")</f>
        <v>📍 Montanha do Pico</v>
      </c>
    </row>
    <row r="55" spans="1:9" ht="110" customHeight="1" x14ac:dyDescent="0.35">
      <c r="A55" s="338">
        <v>51</v>
      </c>
      <c r="B55" s="595" t="s">
        <v>6043</v>
      </c>
      <c r="C55" s="240" t="s">
        <v>5840</v>
      </c>
      <c r="D55" s="595" t="s">
        <v>522</v>
      </c>
      <c r="E55" s="239" t="s">
        <v>6044</v>
      </c>
      <c r="F55" s="599" t="s">
        <v>6045</v>
      </c>
      <c r="G55" s="239" t="s">
        <v>6046</v>
      </c>
      <c r="H55" s="305" t="s">
        <v>6047</v>
      </c>
      <c r="I55" s="603" t="str">
        <f>HYPERLINK("https://maps.google.com/?q=Sete%20Cidades%2C%20S.%20Miguel%20A%C3%A7ores%20Portugal","📍 Sete Cidades, S. Miguel")</f>
        <v>📍 Sete Cidades, S. Miguel</v>
      </c>
    </row>
    <row r="56" spans="1:9" ht="110" customHeight="1" x14ac:dyDescent="0.35">
      <c r="A56" s="336">
        <v>52</v>
      </c>
      <c r="B56" s="596" t="s">
        <v>6048</v>
      </c>
      <c r="C56" s="243" t="s">
        <v>5831</v>
      </c>
      <c r="D56" s="596" t="s">
        <v>522</v>
      </c>
      <c r="E56" s="242" t="s">
        <v>5895</v>
      </c>
      <c r="F56" s="600" t="s">
        <v>6049</v>
      </c>
      <c r="G56" s="242" t="s">
        <v>6050</v>
      </c>
      <c r="H56" s="304" t="s">
        <v>6051</v>
      </c>
      <c r="I56" s="602" t="str">
        <f>HYPERLINK("https://maps.google.com/?q=Capelinhos%2C%20Faial%20A%C3%A7ores%20Portugal","📍 Capelinhos, Faial")</f>
        <v>📍 Capelinhos, Faial</v>
      </c>
    </row>
    <row r="57" spans="1:9" ht="110" customHeight="1" x14ac:dyDescent="0.35">
      <c r="A57" s="338">
        <v>53</v>
      </c>
      <c r="B57" s="595" t="s">
        <v>6053</v>
      </c>
      <c r="C57" s="240" t="s">
        <v>5840</v>
      </c>
      <c r="D57" s="595" t="s">
        <v>522</v>
      </c>
      <c r="E57" s="239" t="s">
        <v>6044</v>
      </c>
      <c r="F57" s="599" t="s">
        <v>6054</v>
      </c>
      <c r="G57" s="239" t="s">
        <v>6055</v>
      </c>
      <c r="H57" s="305" t="s">
        <v>6056</v>
      </c>
      <c r="I57" s="603" t="str">
        <f>HYPERLINK("https://maps.google.com/?q=Tronqueira%2C%20S.%20Miguel%20A%C3%A7ores%20Portugal","📍 Tronqueira, S. Miguel")</f>
        <v>📍 Tronqueira, S. Miguel</v>
      </c>
    </row>
    <row r="58" spans="1:9" ht="110" customHeight="1" x14ac:dyDescent="0.35">
      <c r="A58" s="336">
        <v>54</v>
      </c>
      <c r="B58" s="596" t="s">
        <v>6058</v>
      </c>
      <c r="C58" s="243" t="s">
        <v>5826</v>
      </c>
      <c r="D58" s="596" t="s">
        <v>522</v>
      </c>
      <c r="E58" s="242" t="s">
        <v>5971</v>
      </c>
      <c r="F58" s="600" t="s">
        <v>6059</v>
      </c>
      <c r="G58" s="242" t="s">
        <v>6060</v>
      </c>
      <c r="H58" s="304" t="s">
        <v>6061</v>
      </c>
      <c r="I58" s="602" t="str">
        <f>HYPERLINK("https://maps.google.com/?q=Faj%C3%A3s%20de%20S.%20Jorge%20A%C3%A7ores%20Portugal","📍 Fajãs de S. Jorge")</f>
        <v>📍 Fajãs de S. Jorge</v>
      </c>
    </row>
    <row r="59" spans="1:9" ht="110" customHeight="1" x14ac:dyDescent="0.35">
      <c r="A59" s="338">
        <v>55</v>
      </c>
      <c r="B59" s="595" t="s">
        <v>6063</v>
      </c>
      <c r="C59" s="240" t="s">
        <v>6064</v>
      </c>
      <c r="D59" s="595" t="s">
        <v>522</v>
      </c>
      <c r="E59" s="239" t="s">
        <v>5860</v>
      </c>
      <c r="F59" s="599" t="s">
        <v>6065</v>
      </c>
      <c r="G59" s="239" t="s">
        <v>6066</v>
      </c>
      <c r="H59" s="305" t="s">
        <v>6067</v>
      </c>
      <c r="I59" s="603" t="str">
        <f>HYPERLINK("https://maps.google.com/?q=Serra%20da%20Lomba%2C%20S.%20Miguel%20A%C3%A7ores%20Portugal","📍 Serra da Lomba, S. Miguel")</f>
        <v>📍 Serra da Lomba, S. Miguel</v>
      </c>
    </row>
    <row r="60" spans="1:9" ht="20" customHeight="1" x14ac:dyDescent="0.35">
      <c r="A60" s="336">
        <v>56</v>
      </c>
      <c r="B60" s="596"/>
      <c r="C60" s="243"/>
      <c r="D60" s="596"/>
      <c r="E60" s="242"/>
      <c r="F60" s="600"/>
      <c r="G60" s="242"/>
      <c r="I60" s="602" t="str">
        <f>HYPERLINK("https://maps.google.com/?q=Portugal","📍 ")</f>
        <v xml:space="preserve">📍 </v>
      </c>
    </row>
    <row r="61" spans="1:9" ht="110" customHeight="1" x14ac:dyDescent="0.35">
      <c r="A61" s="338">
        <v>57</v>
      </c>
      <c r="B61" s="595" t="s">
        <v>6068</v>
      </c>
      <c r="C61" s="240" t="s">
        <v>6069</v>
      </c>
      <c r="D61" s="595" t="s">
        <v>767</v>
      </c>
      <c r="E61" s="239" t="s">
        <v>5846</v>
      </c>
      <c r="F61" s="599" t="s">
        <v>6070</v>
      </c>
      <c r="G61" s="239" t="s">
        <v>5523</v>
      </c>
      <c r="H61" s="304" t="s">
        <v>6071</v>
      </c>
      <c r="I61" s="603" t="str">
        <f>HYPERLINK("https://maps.google.com/?q=Rocha%20da%20Pena%20Algarve%20Portugal","📍 Rocha da Pena")</f>
        <v>📍 Rocha da Pena</v>
      </c>
    </row>
    <row r="62" spans="1:9" ht="110" customHeight="1" x14ac:dyDescent="0.35">
      <c r="A62" s="336">
        <v>58</v>
      </c>
      <c r="B62" s="596" t="s">
        <v>6073</v>
      </c>
      <c r="C62" s="243" t="s">
        <v>5831</v>
      </c>
      <c r="D62" s="596" t="s">
        <v>853</v>
      </c>
      <c r="E62" s="242" t="s">
        <v>5832</v>
      </c>
      <c r="F62" s="600" t="s">
        <v>6074</v>
      </c>
      <c r="G62" s="242" t="s">
        <v>6075</v>
      </c>
      <c r="H62" s="305" t="s">
        <v>6076</v>
      </c>
      <c r="I62" s="602" t="str">
        <f>HYPERLINK("https://maps.google.com/?q=Montado%20de%20Redondo%20Alentejo%20Portugal","📍 Montado de Redondo")</f>
        <v>📍 Montado de Redondo</v>
      </c>
    </row>
    <row r="63" spans="1:9" ht="110" customHeight="1" x14ac:dyDescent="0.35">
      <c r="A63" s="338">
        <v>59</v>
      </c>
      <c r="B63" s="595" t="s">
        <v>6077</v>
      </c>
      <c r="C63" s="240" t="s">
        <v>6069</v>
      </c>
      <c r="D63" s="595" t="s">
        <v>853</v>
      </c>
      <c r="E63" s="239" t="s">
        <v>6039</v>
      </c>
      <c r="F63" s="599" t="s">
        <v>6078</v>
      </c>
      <c r="G63" s="239" t="s">
        <v>6079</v>
      </c>
      <c r="H63" s="304" t="s">
        <v>6080</v>
      </c>
      <c r="I63" s="603" t="str">
        <f>HYPERLINK("https://maps.google.com/?q=M%C3%A9rtola%2C%20Vale%20do%20Guadiana%20Alentejo%20Portugal","📍 Mértola, Vale do Guadiana")</f>
        <v>📍 Mértola, Vale do Guadiana</v>
      </c>
    </row>
    <row r="64" spans="1:9" ht="110" customHeight="1" x14ac:dyDescent="0.35">
      <c r="A64" s="336">
        <v>60</v>
      </c>
      <c r="B64" s="596" t="s">
        <v>6082</v>
      </c>
      <c r="C64" s="243" t="s">
        <v>5865</v>
      </c>
      <c r="D64" s="596" t="s">
        <v>767</v>
      </c>
      <c r="E64" s="242" t="s">
        <v>6083</v>
      </c>
      <c r="F64" s="600" t="s">
        <v>6084</v>
      </c>
      <c r="G64" s="242" t="s">
        <v>5781</v>
      </c>
      <c r="H64" s="305" t="s">
        <v>6085</v>
      </c>
      <c r="I64" s="602" t="str">
        <f>HYPERLINK("https://maps.google.com/?q=Barrocal%20Algarvio%20Algarve%20Portugal","📍 Barrocal Algarvio")</f>
        <v>📍 Barrocal Algarvio</v>
      </c>
    </row>
    <row r="65" spans="1:9" ht="110" customHeight="1" x14ac:dyDescent="0.35">
      <c r="A65" s="338">
        <v>61</v>
      </c>
      <c r="B65" s="595" t="s">
        <v>6086</v>
      </c>
      <c r="C65" s="240" t="s">
        <v>5840</v>
      </c>
      <c r="D65" s="595" t="s">
        <v>767</v>
      </c>
      <c r="E65" s="239" t="s">
        <v>5860</v>
      </c>
      <c r="F65" s="599" t="s">
        <v>6087</v>
      </c>
      <c r="G65" s="239" t="s">
        <v>6088</v>
      </c>
      <c r="H65" s="304" t="s">
        <v>6089</v>
      </c>
      <c r="I65" s="603" t="str">
        <f>HYPERLINK("https://maps.google.com/?q=Fonte%20Ben%C3%A9mola%20Algarve%20Portugal","📍 Fonte Benémola")</f>
        <v>📍 Fonte Benémola</v>
      </c>
    </row>
    <row r="66" spans="1:9" ht="110" customHeight="1" x14ac:dyDescent="0.35">
      <c r="A66" s="336">
        <v>62</v>
      </c>
      <c r="B66" s="596" t="s">
        <v>6090</v>
      </c>
      <c r="C66" s="243" t="s">
        <v>5840</v>
      </c>
      <c r="D66" s="596" t="s">
        <v>836</v>
      </c>
      <c r="E66" s="242" t="s">
        <v>5971</v>
      </c>
      <c r="F66" s="600" t="s">
        <v>6091</v>
      </c>
      <c r="G66" s="242" t="s">
        <v>6092</v>
      </c>
      <c r="H66" s="305" t="s">
        <v>6093</v>
      </c>
      <c r="I66" s="602" t="str">
        <f>HYPERLINK("https://maps.google.com/?q=Serra%20de%20Montejunto%20Centro%20Portugal","📍 Serra de Montejunto")</f>
        <v>📍 Serra de Montejunto</v>
      </c>
    </row>
    <row r="67" spans="1:9" ht="110" customHeight="1" x14ac:dyDescent="0.35">
      <c r="A67" s="338">
        <v>63</v>
      </c>
      <c r="B67" s="595" t="s">
        <v>6094</v>
      </c>
      <c r="C67" s="240" t="s">
        <v>6095</v>
      </c>
      <c r="D67" s="595" t="s">
        <v>767</v>
      </c>
      <c r="E67" s="239" t="s">
        <v>5928</v>
      </c>
      <c r="F67" s="599" t="s">
        <v>6096</v>
      </c>
      <c r="G67" s="239" t="s">
        <v>2719</v>
      </c>
      <c r="H67" s="304" t="s">
        <v>6097</v>
      </c>
      <c r="I67" s="603" t="str">
        <f>HYPERLINK("https://maps.google.com/?q=Ria%20Formosa%20Algarve%20Portugal","📍 Ria Formosa")</f>
        <v>📍 Ria Formosa</v>
      </c>
    </row>
    <row r="68" spans="1:9" ht="110" customHeight="1" x14ac:dyDescent="0.35">
      <c r="A68" s="336">
        <v>64</v>
      </c>
      <c r="B68" s="596" t="s">
        <v>6098</v>
      </c>
      <c r="C68" s="243" t="s">
        <v>5840</v>
      </c>
      <c r="D68" s="596" t="s">
        <v>853</v>
      </c>
      <c r="E68" s="242" t="s">
        <v>5971</v>
      </c>
      <c r="F68" s="600" t="s">
        <v>6099</v>
      </c>
      <c r="G68" s="242" t="s">
        <v>6100</v>
      </c>
      <c r="H68" s="305" t="s">
        <v>6101</v>
      </c>
      <c r="I68" s="602" t="str">
        <f>HYPERLINK("https://maps.google.com/?q=Alqueva%2C%20Mour%C3%A3o%20Alentejo%20Portugal","📍 Alqueva, Mourão")</f>
        <v>📍 Alqueva, Mourão</v>
      </c>
    </row>
    <row r="69" spans="1:9" ht="110" customHeight="1" x14ac:dyDescent="0.35">
      <c r="A69" s="338">
        <v>65</v>
      </c>
      <c r="B69" s="595" t="s">
        <v>6103</v>
      </c>
      <c r="C69" s="240" t="s">
        <v>5840</v>
      </c>
      <c r="D69" s="595" t="s">
        <v>836</v>
      </c>
      <c r="E69" s="239" t="s">
        <v>5832</v>
      </c>
      <c r="F69" s="599" t="s">
        <v>6104</v>
      </c>
      <c r="G69" s="239" t="s">
        <v>6105</v>
      </c>
      <c r="H69" s="304" t="s">
        <v>6106</v>
      </c>
      <c r="I69" s="603" t="str">
        <f>HYPERLINK("https://maps.google.com/?q=Parque%20Natural%20Serras%20de%20Aire%20Centro%20Portugal","📍 Parque Natural Serras de Air")</f>
        <v>📍 Parque Natural Serras de Air</v>
      </c>
    </row>
    <row r="70" spans="1:9" ht="110" customHeight="1" x14ac:dyDescent="0.35">
      <c r="A70" s="336">
        <v>66</v>
      </c>
      <c r="B70" s="596" t="s">
        <v>6107</v>
      </c>
      <c r="C70" s="243" t="s">
        <v>5840</v>
      </c>
      <c r="D70" s="596" t="s">
        <v>836</v>
      </c>
      <c r="E70" s="242" t="s">
        <v>6108</v>
      </c>
      <c r="F70" s="600" t="s">
        <v>6109</v>
      </c>
      <c r="G70" s="242" t="s">
        <v>6110</v>
      </c>
      <c r="H70" s="305" t="s">
        <v>6111</v>
      </c>
      <c r="I70" s="602" t="str">
        <f>HYPERLINK("https://maps.google.com/?q=Condeixa-a-Nova%20Centro%20Portugal","📍 Condeixa-a-Nova")</f>
        <v>📍 Condeixa-a-Nova</v>
      </c>
    </row>
    <row r="71" spans="1:9" ht="20" customHeight="1" x14ac:dyDescent="0.35">
      <c r="A71" s="338">
        <v>67</v>
      </c>
      <c r="B71" s="595"/>
      <c r="C71" s="240"/>
      <c r="D71" s="595"/>
      <c r="E71" s="239"/>
      <c r="F71" s="599"/>
      <c r="G71" s="239"/>
      <c r="I71" s="603" t="str">
        <f>HYPERLINK("https://maps.google.com/?q=Portugal","📍 ")</f>
        <v xml:space="preserve">📍 </v>
      </c>
    </row>
    <row r="72" spans="1:9" ht="110" customHeight="1" x14ac:dyDescent="0.35">
      <c r="A72" s="336">
        <v>68</v>
      </c>
      <c r="B72" s="596" t="s">
        <v>6112</v>
      </c>
      <c r="C72" s="243" t="s">
        <v>5932</v>
      </c>
      <c r="D72" s="596" t="s">
        <v>836</v>
      </c>
      <c r="E72" s="242" t="s">
        <v>5971</v>
      </c>
      <c r="F72" s="600" t="s">
        <v>6113</v>
      </c>
      <c r="G72" s="242" t="s">
        <v>2599</v>
      </c>
      <c r="H72" s="304" t="s">
        <v>6114</v>
      </c>
      <c r="I72" s="602" t="str">
        <f>HYPERLINK("https://maps.google.com/?q=Serra%20da%20Arr%C3%A1bida%20Centro%20Portugal","📍 Serra da Arrábida")</f>
        <v>📍 Serra da Arrábida</v>
      </c>
    </row>
    <row r="73" spans="1:9" ht="110" customHeight="1" x14ac:dyDescent="0.35">
      <c r="A73" s="338">
        <v>69</v>
      </c>
      <c r="B73" s="595" t="s">
        <v>6115</v>
      </c>
      <c r="C73" s="240" t="s">
        <v>5932</v>
      </c>
      <c r="D73" s="595" t="s">
        <v>836</v>
      </c>
      <c r="E73" s="239" t="s">
        <v>5928</v>
      </c>
      <c r="F73" s="599" t="s">
        <v>6116</v>
      </c>
      <c r="G73" s="239" t="s">
        <v>2494</v>
      </c>
      <c r="H73" s="305" t="s">
        <v>6117</v>
      </c>
      <c r="I73" s="603" t="str">
        <f>HYPERLINK("https://maps.google.com/?q=Serras%20de%20Aire%20e%20Candeeiros%20Centro%20Portugal","📍 Serras de Aire e Candeeiros")</f>
        <v>📍 Serras de Aire e Candeeiros</v>
      </c>
    </row>
    <row r="74" spans="1:9" ht="110" customHeight="1" x14ac:dyDescent="0.35">
      <c r="A74" s="336">
        <v>70</v>
      </c>
      <c r="B74" s="596" t="s">
        <v>6118</v>
      </c>
      <c r="C74" s="243" t="s">
        <v>5932</v>
      </c>
      <c r="D74" s="596" t="s">
        <v>767</v>
      </c>
      <c r="E74" s="242" t="s">
        <v>5895</v>
      </c>
      <c r="F74" s="600" t="s">
        <v>6119</v>
      </c>
      <c r="G74" s="242" t="s">
        <v>5523</v>
      </c>
      <c r="H74" s="304" t="s">
        <v>6120</v>
      </c>
      <c r="I74" s="602" t="str">
        <f>HYPERLINK("https://maps.google.com/?q=Rocha%20da%20Pena%20Algarve%20Portugal","📍 Rocha da Pena")</f>
        <v>📍 Rocha da Pena</v>
      </c>
    </row>
    <row r="75" spans="1:9" ht="110" customHeight="1" x14ac:dyDescent="0.35">
      <c r="A75" s="338">
        <v>71</v>
      </c>
      <c r="B75" s="595" t="s">
        <v>6121</v>
      </c>
      <c r="C75" s="240" t="s">
        <v>5932</v>
      </c>
      <c r="D75" s="595" t="s">
        <v>792</v>
      </c>
      <c r="E75" s="239" t="s">
        <v>5971</v>
      </c>
      <c r="F75" s="599" t="s">
        <v>6122</v>
      </c>
      <c r="G75" s="239" t="s">
        <v>5843</v>
      </c>
      <c r="H75" s="305" t="s">
        <v>6123</v>
      </c>
      <c r="I75" s="603" t="str">
        <f>HYPERLINK("https://maps.google.com/?q=Mata%20da%20Albergaria%2C%20Ger%C3%AAs%20Norte%20Portugal","📍 Mata da Albergaria, Gerês")</f>
        <v>📍 Mata da Albergaria, Gerês</v>
      </c>
    </row>
    <row r="76" spans="1:9" ht="110" customHeight="1" x14ac:dyDescent="0.35">
      <c r="A76" s="336">
        <v>72</v>
      </c>
      <c r="B76" s="596" t="s">
        <v>6124</v>
      </c>
      <c r="C76" s="243" t="s">
        <v>6125</v>
      </c>
      <c r="D76" s="596" t="s">
        <v>792</v>
      </c>
      <c r="E76" s="242" t="s">
        <v>5971</v>
      </c>
      <c r="F76" s="600" t="s">
        <v>6126</v>
      </c>
      <c r="G76" s="242" t="s">
        <v>2392</v>
      </c>
      <c r="H76" s="304" t="s">
        <v>6127</v>
      </c>
      <c r="I76" s="602" t="str">
        <f>HYPERLINK("https://maps.google.com/?q=Parque%20Natural%20Douro%20Internacional%20Norte%20Portugal","📍 Parque Natural Douro Interna")</f>
        <v>📍 Parque Natural Douro Interna</v>
      </c>
    </row>
    <row r="77" spans="1:9" ht="110" customHeight="1" x14ac:dyDescent="0.35">
      <c r="A77" s="338">
        <v>73</v>
      </c>
      <c r="B77" s="595" t="s">
        <v>6128</v>
      </c>
      <c r="C77" s="240" t="s">
        <v>6129</v>
      </c>
      <c r="D77" s="595" t="s">
        <v>836</v>
      </c>
      <c r="E77" s="239" t="s">
        <v>2879</v>
      </c>
      <c r="F77" s="599" t="s">
        <v>6130</v>
      </c>
      <c r="G77" s="239" t="s">
        <v>5957</v>
      </c>
      <c r="H77" s="305" t="s">
        <v>6131</v>
      </c>
      <c r="I77" s="603" t="str">
        <f>HYPERLINK("https://maps.google.com/?q=Pinhal%20de%20Leiria%20Centro%20Portugal","📍 Pinhal de Leiria")</f>
        <v>📍 Pinhal de Leiria</v>
      </c>
    </row>
    <row r="78" spans="1:9" ht="110" customHeight="1" x14ac:dyDescent="0.35">
      <c r="A78" s="336">
        <v>74</v>
      </c>
      <c r="B78" s="596" t="s">
        <v>6132</v>
      </c>
      <c r="C78" s="243" t="s">
        <v>5865</v>
      </c>
      <c r="D78" s="596" t="s">
        <v>836</v>
      </c>
      <c r="E78" s="242" t="s">
        <v>5937</v>
      </c>
      <c r="F78" s="600" t="s">
        <v>6133</v>
      </c>
      <c r="G78" s="242" t="s">
        <v>6134</v>
      </c>
      <c r="H78" s="304" t="s">
        <v>6135</v>
      </c>
      <c r="I78" s="602" t="str">
        <f>HYPERLINK("https://maps.google.com/?q=Campos%20de%20Abrantes%20Centro%20Portugal","📍 Campos de Abrantes")</f>
        <v>📍 Campos de Abrantes</v>
      </c>
    </row>
    <row r="79" spans="1:9" ht="110" customHeight="1" x14ac:dyDescent="0.35">
      <c r="A79" s="338">
        <v>75</v>
      </c>
      <c r="B79" s="595" t="s">
        <v>6136</v>
      </c>
      <c r="C79" s="240" t="s">
        <v>5865</v>
      </c>
      <c r="D79" s="595" t="s">
        <v>792</v>
      </c>
      <c r="E79" s="239" t="s">
        <v>6039</v>
      </c>
      <c r="F79" s="599" t="s">
        <v>6137</v>
      </c>
      <c r="G79" s="239" t="s">
        <v>6138</v>
      </c>
      <c r="H79" s="305" t="s">
        <v>6139</v>
      </c>
      <c r="I79" s="603" t="str">
        <f>HYPERLINK("https://maps.google.com/?q=Almeida%2C%20Serra%20da%20Malcata%20Norte%20Portugal","📍 Almeida, Serra da Malcata")</f>
        <v>📍 Almeida, Serra da Malcata</v>
      </c>
    </row>
    <row r="80" spans="1:9" ht="110" customHeight="1" x14ac:dyDescent="0.35">
      <c r="A80" s="336">
        <v>76</v>
      </c>
      <c r="B80" s="596" t="s">
        <v>6140</v>
      </c>
      <c r="C80" s="243" t="s">
        <v>5865</v>
      </c>
      <c r="D80" s="596" t="s">
        <v>853</v>
      </c>
      <c r="E80" s="242" t="s">
        <v>6039</v>
      </c>
      <c r="F80" s="600" t="s">
        <v>6141</v>
      </c>
      <c r="G80" s="242" t="s">
        <v>6142</v>
      </c>
      <c r="H80" s="304" t="s">
        <v>6143</v>
      </c>
      <c r="I80" s="602" t="str">
        <f>HYPERLINK("https://maps.google.com/?q=Vale%20do%20Guadiana%2C%20Moura%20Alentejo%20Portugal","📍 Vale do Guadiana, Moura")</f>
        <v>📍 Vale do Guadiana, Moura</v>
      </c>
    </row>
    <row r="81" spans="1:9" ht="110" customHeight="1" x14ac:dyDescent="0.35">
      <c r="A81" s="338">
        <v>77</v>
      </c>
      <c r="B81" s="595" t="s">
        <v>6144</v>
      </c>
      <c r="C81" s="240" t="s">
        <v>5865</v>
      </c>
      <c r="D81" s="595" t="s">
        <v>792</v>
      </c>
      <c r="E81" s="239" t="s">
        <v>6044</v>
      </c>
      <c r="F81" s="599" t="s">
        <v>6145</v>
      </c>
      <c r="G81" s="239" t="s">
        <v>6146</v>
      </c>
      <c r="H81" s="305" t="s">
        <v>6147</v>
      </c>
      <c r="I81" s="603" t="str">
        <f>HYPERLINK("https://maps.google.com/?q=Parque%20Natural%20Montesinho%20Norte%20Portugal","📍 Parque Natural Montesinho")</f>
        <v>📍 Parque Natural Montesinho</v>
      </c>
    </row>
    <row r="82" spans="1:9" ht="20" customHeight="1" x14ac:dyDescent="0.35">
      <c r="A82" s="336">
        <v>78</v>
      </c>
      <c r="B82" s="596"/>
      <c r="C82" s="243"/>
      <c r="D82" s="596"/>
      <c r="E82" s="242"/>
      <c r="F82" s="600"/>
      <c r="G82" s="242"/>
      <c r="I82" s="602" t="str">
        <f>HYPERLINK("https://maps.google.com/?q=Portugal","📍 ")</f>
        <v xml:space="preserve">📍 </v>
      </c>
    </row>
    <row r="83" spans="1:9" ht="110" customHeight="1" x14ac:dyDescent="0.35">
      <c r="A83" s="338">
        <v>79</v>
      </c>
      <c r="B83" s="595" t="s">
        <v>6148</v>
      </c>
      <c r="C83" s="240" t="s">
        <v>5894</v>
      </c>
      <c r="D83" s="595" t="s">
        <v>836</v>
      </c>
      <c r="E83" s="239" t="s">
        <v>2831</v>
      </c>
      <c r="F83" s="599" t="s">
        <v>6149</v>
      </c>
      <c r="G83" s="239" t="s">
        <v>5953</v>
      </c>
      <c r="H83" s="304" t="s">
        <v>6150</v>
      </c>
      <c r="I83" s="603" t="str">
        <f>HYPERLINK("https://maps.google.com/?q=Dunas%20de%20S.%20Jacinto%20Centro%20Portugal","📍 Dunas de S. Jacinto")</f>
        <v>📍 Dunas de S. Jacinto</v>
      </c>
    </row>
    <row r="84" spans="1:9" ht="110" customHeight="1" x14ac:dyDescent="0.35">
      <c r="A84" s="336">
        <v>80</v>
      </c>
      <c r="B84" s="596" t="s">
        <v>6151</v>
      </c>
      <c r="C84" s="243" t="s">
        <v>5894</v>
      </c>
      <c r="D84" s="596" t="s">
        <v>767</v>
      </c>
      <c r="E84" s="242" t="s">
        <v>6039</v>
      </c>
      <c r="F84" s="600" t="s">
        <v>6152</v>
      </c>
      <c r="G84" s="242" t="s">
        <v>5962</v>
      </c>
      <c r="H84" s="305" t="s">
        <v>6153</v>
      </c>
      <c r="I84" s="602" t="str">
        <f>HYPERLINK("https://maps.google.com/?q=Cabo%20de%20S.%20Vicente%20Algarve%20Portugal","📍 Cabo de S. Vicente")</f>
        <v>📍 Cabo de S. Vicente</v>
      </c>
    </row>
    <row r="85" spans="1:9" ht="110" customHeight="1" x14ac:dyDescent="0.35">
      <c r="A85" s="338">
        <v>81</v>
      </c>
      <c r="B85" s="595" t="s">
        <v>6154</v>
      </c>
      <c r="C85" s="240" t="s">
        <v>5970</v>
      </c>
      <c r="D85" s="595" t="s">
        <v>836</v>
      </c>
      <c r="E85" s="239" t="s">
        <v>5860</v>
      </c>
      <c r="F85" s="599" t="s">
        <v>6155</v>
      </c>
      <c r="G85" s="239" t="s">
        <v>5945</v>
      </c>
      <c r="H85" s="304" t="s">
        <v>6156</v>
      </c>
      <c r="I85" s="603" t="str">
        <f>HYPERLINK("https://maps.google.com/?q=Cabo%20Espichel%20Centro%20Portugal","📍 Cabo Espichel")</f>
        <v>📍 Cabo Espichel</v>
      </c>
    </row>
    <row r="86" spans="1:9" ht="110" customHeight="1" x14ac:dyDescent="0.35">
      <c r="A86" s="336">
        <v>82</v>
      </c>
      <c r="B86" s="596" t="s">
        <v>6157</v>
      </c>
      <c r="C86" s="243" t="s">
        <v>5894</v>
      </c>
      <c r="D86" s="596" t="s">
        <v>853</v>
      </c>
      <c r="E86" s="242" t="s">
        <v>5860</v>
      </c>
      <c r="F86" s="600" t="s">
        <v>6158</v>
      </c>
      <c r="G86" s="242" t="s">
        <v>6159</v>
      </c>
      <c r="H86" s="305" t="s">
        <v>6160</v>
      </c>
      <c r="I86" s="602" t="str">
        <f>HYPERLINK("https://maps.google.com/?q=Comporta%2C%20Gr%C3%A2ndola%20Alentejo%20Portugal","📍 Comporta, Grândola")</f>
        <v>📍 Comporta, Grândola</v>
      </c>
    </row>
    <row r="87" spans="1:9" ht="110" customHeight="1" x14ac:dyDescent="0.35">
      <c r="A87" s="338">
        <v>83</v>
      </c>
      <c r="B87" s="595" t="s">
        <v>6162</v>
      </c>
      <c r="C87" s="240" t="s">
        <v>5970</v>
      </c>
      <c r="D87" s="595" t="s">
        <v>767</v>
      </c>
      <c r="E87" s="239" t="s">
        <v>6039</v>
      </c>
      <c r="F87" s="599" t="s">
        <v>6163</v>
      </c>
      <c r="G87" s="239" t="s">
        <v>6164</v>
      </c>
      <c r="H87" s="304" t="s">
        <v>6165</v>
      </c>
      <c r="I87" s="603" t="str">
        <f>HYPERLINK("https://maps.google.com/?q=Carrapateira%2C%20Aljezur%20Algarve%20Portugal","📍 Carrapateira, Aljezur")</f>
        <v>📍 Carrapateira, Aljezur</v>
      </c>
    </row>
    <row r="88" spans="1:9" ht="110" customHeight="1" x14ac:dyDescent="0.35">
      <c r="A88" s="336">
        <v>84</v>
      </c>
      <c r="B88" s="596" t="s">
        <v>6166</v>
      </c>
      <c r="C88" s="243" t="s">
        <v>5894</v>
      </c>
      <c r="D88" s="596" t="s">
        <v>792</v>
      </c>
      <c r="E88" s="242" t="s">
        <v>5971</v>
      </c>
      <c r="F88" s="600" t="s">
        <v>6167</v>
      </c>
      <c r="G88" s="242" t="s">
        <v>6168</v>
      </c>
      <c r="H88" s="305" t="s">
        <v>6169</v>
      </c>
      <c r="I88" s="602" t="str">
        <f>HYPERLINK("https://maps.google.com/?q=Esposende%2C%20Braga%20Norte%20Portugal","📍 Esposende, Braga")</f>
        <v>📍 Esposende, Braga</v>
      </c>
    </row>
    <row r="89" spans="1:9" ht="110" customHeight="1" x14ac:dyDescent="0.35">
      <c r="A89" s="338">
        <v>85</v>
      </c>
      <c r="B89" s="595" t="s">
        <v>6170</v>
      </c>
      <c r="C89" s="240" t="s">
        <v>5840</v>
      </c>
      <c r="D89" s="595" t="s">
        <v>836</v>
      </c>
      <c r="E89" s="239" t="s">
        <v>2595</v>
      </c>
      <c r="F89" s="599" t="s">
        <v>6171</v>
      </c>
      <c r="G89" s="239" t="s">
        <v>6172</v>
      </c>
      <c r="H89" s="304" t="s">
        <v>6173</v>
      </c>
      <c r="I89" s="603" t="str">
        <f>HYPERLINK("https://maps.google.com/?q=Mata%20dos%20Medos%2C%20Caparica%20Centro%20Portugal","📍 Mata dos Medos, Caparica")</f>
        <v>📍 Mata dos Medos, Caparica</v>
      </c>
    </row>
    <row r="90" spans="1:9" ht="110" customHeight="1" x14ac:dyDescent="0.35">
      <c r="A90" s="336">
        <v>86</v>
      </c>
      <c r="B90" s="596" t="s">
        <v>6174</v>
      </c>
      <c r="C90" s="243" t="s">
        <v>5840</v>
      </c>
      <c r="D90" s="596" t="s">
        <v>836</v>
      </c>
      <c r="E90" s="242" t="s">
        <v>5971</v>
      </c>
      <c r="F90" s="600" t="s">
        <v>6175</v>
      </c>
      <c r="G90" s="242" t="s">
        <v>6176</v>
      </c>
      <c r="H90" s="305" t="s">
        <v>6177</v>
      </c>
      <c r="I90" s="602" t="str">
        <f>HYPERLINK("https://maps.google.com/?q=Praia%20do%20Guincho%20Centro%20Portugal","📍 Praia do Guincho")</f>
        <v>📍 Praia do Guincho</v>
      </c>
    </row>
    <row r="91" spans="1:9" ht="110" customHeight="1" x14ac:dyDescent="0.35">
      <c r="A91" s="338">
        <v>87</v>
      </c>
      <c r="B91" s="595" t="s">
        <v>6178</v>
      </c>
      <c r="C91" s="240" t="s">
        <v>5894</v>
      </c>
      <c r="D91" s="595" t="s">
        <v>767</v>
      </c>
      <c r="E91" s="239" t="s">
        <v>5853</v>
      </c>
      <c r="F91" s="599" t="s">
        <v>6179</v>
      </c>
      <c r="G91" s="239" t="s">
        <v>6180</v>
      </c>
      <c r="H91" s="304" t="s">
        <v>6181</v>
      </c>
      <c r="I91" s="603" t="str">
        <f>HYPERLINK("https://maps.google.com/?q=Ria%20Formosa%2C%20Faro%20Algarve%20Portugal","📍 Ria Formosa, Faro")</f>
        <v>📍 Ria Formosa, Faro</v>
      </c>
    </row>
    <row r="92" spans="1:9" ht="110" customHeight="1" x14ac:dyDescent="0.35">
      <c r="A92" s="336">
        <v>88</v>
      </c>
      <c r="B92" s="596" t="s">
        <v>6182</v>
      </c>
      <c r="C92" s="243" t="s">
        <v>6183</v>
      </c>
      <c r="D92" s="596" t="s">
        <v>836</v>
      </c>
      <c r="E92" s="242" t="s">
        <v>2831</v>
      </c>
      <c r="F92" s="600" t="s">
        <v>6184</v>
      </c>
      <c r="G92" s="242" t="s">
        <v>6185</v>
      </c>
      <c r="H92" s="305" t="s">
        <v>6186</v>
      </c>
      <c r="I92" s="602" t="str">
        <f>HYPERLINK("https://maps.google.com/?q=Salinas%20de%20Aveiro%20Centro%20Portugal","📍 Salinas de Aveiro")</f>
        <v>📍 Salinas de Aveiro</v>
      </c>
    </row>
    <row r="93" spans="1:9" ht="20" customHeight="1" x14ac:dyDescent="0.35">
      <c r="A93" s="338">
        <v>89</v>
      </c>
      <c r="B93" s="595"/>
      <c r="C93" s="240"/>
      <c r="D93" s="595"/>
      <c r="E93" s="239"/>
      <c r="F93" s="599"/>
      <c r="G93" s="239"/>
      <c r="I93" s="603" t="str">
        <f>HYPERLINK("https://maps.google.com/?q=Portugal","📍 ")</f>
        <v xml:space="preserve">📍 </v>
      </c>
    </row>
    <row r="94" spans="1:9" ht="110" customHeight="1" x14ac:dyDescent="0.35">
      <c r="A94" s="336">
        <v>90</v>
      </c>
      <c r="B94" s="596" t="s">
        <v>6187</v>
      </c>
      <c r="C94" s="243" t="s">
        <v>5875</v>
      </c>
      <c r="D94" s="596" t="s">
        <v>767</v>
      </c>
      <c r="E94" s="242" t="s">
        <v>2817</v>
      </c>
      <c r="F94" s="600" t="s">
        <v>6188</v>
      </c>
      <c r="G94" s="242" t="s">
        <v>6189</v>
      </c>
      <c r="H94" s="304" t="s">
        <v>6190</v>
      </c>
      <c r="I94" s="602" t="str">
        <f>HYPERLINK("https://maps.google.com/?q=Ribeira%20do%20Vasc%C3%A3o%20Algarve%20Portugal","📍 Ribeira do Vascão")</f>
        <v>📍 Ribeira do Vascão</v>
      </c>
    </row>
    <row r="95" spans="1:9" ht="110" customHeight="1" x14ac:dyDescent="0.35">
      <c r="A95" s="338">
        <v>91</v>
      </c>
      <c r="B95" s="595" t="s">
        <v>6191</v>
      </c>
      <c r="C95" s="240" t="s">
        <v>6192</v>
      </c>
      <c r="D95" s="595" t="s">
        <v>836</v>
      </c>
      <c r="E95" s="239" t="s">
        <v>5860</v>
      </c>
      <c r="F95" s="599" t="s">
        <v>6193</v>
      </c>
      <c r="G95" s="239" t="s">
        <v>6194</v>
      </c>
      <c r="H95" s="305" t="s">
        <v>6195</v>
      </c>
      <c r="I95" s="603" t="str">
        <f>HYPERLINK("https://maps.google.com/?q=Paul%20do%20Boquilobo%20Centro%20Portugal","📍 Paul do Boquilobo")</f>
        <v>📍 Paul do Boquilobo</v>
      </c>
    </row>
    <row r="96" spans="1:9" ht="110" customHeight="1" x14ac:dyDescent="0.35">
      <c r="A96" s="336">
        <v>92</v>
      </c>
      <c r="B96" s="596" t="s">
        <v>6196</v>
      </c>
      <c r="C96" s="243" t="s">
        <v>5894</v>
      </c>
      <c r="D96" s="596" t="s">
        <v>836</v>
      </c>
      <c r="E96" s="242" t="s">
        <v>5971</v>
      </c>
      <c r="F96" s="600" t="s">
        <v>6197</v>
      </c>
      <c r="G96" s="242" t="s">
        <v>6198</v>
      </c>
      <c r="H96" s="304" t="s">
        <v>6199</v>
      </c>
      <c r="I96" s="602" t="str">
        <f>HYPERLINK("https://maps.google.com/?q=BioRia%2C%20Estarreja%20Centro%20Portugal","📍 BioRia, Estarreja")</f>
        <v>📍 BioRia, Estarreja</v>
      </c>
    </row>
    <row r="97" spans="1:9" ht="110" customHeight="1" x14ac:dyDescent="0.35">
      <c r="A97" s="338">
        <v>93</v>
      </c>
      <c r="B97" s="595" t="s">
        <v>6200</v>
      </c>
      <c r="C97" s="240" t="s">
        <v>6069</v>
      </c>
      <c r="D97" s="595" t="s">
        <v>792</v>
      </c>
      <c r="E97" s="239" t="s">
        <v>6201</v>
      </c>
      <c r="F97" s="599" t="s">
        <v>6202</v>
      </c>
      <c r="G97" s="239" t="s">
        <v>6203</v>
      </c>
      <c r="H97" s="305" t="s">
        <v>6204</v>
      </c>
      <c r="I97" s="603" t="str">
        <f>HYPERLINK("https://maps.google.com/?q=Ger%C3%AAs%20%E2%80%94%20Rios%20Norte%20Portugal","📍 Gerês — Rios")</f>
        <v>📍 Gerês — Rios</v>
      </c>
    </row>
    <row r="98" spans="1:9" ht="110" customHeight="1" x14ac:dyDescent="0.35">
      <c r="A98" s="336">
        <v>94</v>
      </c>
      <c r="B98" s="596" t="s">
        <v>6205</v>
      </c>
      <c r="C98" s="243" t="s">
        <v>6206</v>
      </c>
      <c r="D98" s="596" t="s">
        <v>836</v>
      </c>
      <c r="E98" s="242" t="s">
        <v>5860</v>
      </c>
      <c r="F98" s="600" t="s">
        <v>6207</v>
      </c>
      <c r="G98" s="242" t="s">
        <v>5702</v>
      </c>
      <c r="H98" s="304" t="s">
        <v>6208</v>
      </c>
      <c r="I98" s="602" t="str">
        <f>HYPERLINK("https://maps.google.com/?q=Paul%20de%20Arzila%20Centro%20Portugal","📍 Paul de Arzila")</f>
        <v>📍 Paul de Arzila</v>
      </c>
    </row>
    <row r="99" spans="1:9" ht="110" customHeight="1" x14ac:dyDescent="0.35">
      <c r="A99" s="338">
        <v>95</v>
      </c>
      <c r="B99" s="595" t="s">
        <v>6209</v>
      </c>
      <c r="C99" s="240" t="s">
        <v>5831</v>
      </c>
      <c r="D99" s="595" t="s">
        <v>836</v>
      </c>
      <c r="E99" s="239" t="s">
        <v>5846</v>
      </c>
      <c r="F99" s="599" t="s">
        <v>6210</v>
      </c>
      <c r="G99" s="239" t="s">
        <v>6211</v>
      </c>
      <c r="H99" s="305" t="s">
        <v>6212</v>
      </c>
      <c r="I99" s="603" t="str">
        <f>HYPERLINK("https://maps.google.com/?q=Serra%20da%20Estrela%2C%20Lagoa%20Comprida%20Centro%20Portugal","📍 Serra da Estrela, Lagoa Comp")</f>
        <v>📍 Serra da Estrela, Lagoa Comp</v>
      </c>
    </row>
    <row r="100" spans="1:9" ht="110" customHeight="1" x14ac:dyDescent="0.35">
      <c r="A100" s="336">
        <v>96</v>
      </c>
      <c r="B100" s="596" t="s">
        <v>6213</v>
      </c>
      <c r="C100" s="243" t="s">
        <v>5831</v>
      </c>
      <c r="D100" s="596" t="s">
        <v>767</v>
      </c>
      <c r="E100" s="242" t="s">
        <v>5971</v>
      </c>
      <c r="F100" s="600" t="s">
        <v>6214</v>
      </c>
      <c r="G100" s="242" t="s">
        <v>6215</v>
      </c>
      <c r="H100" s="304" t="s">
        <v>6216</v>
      </c>
      <c r="I100" s="602" t="str">
        <f>HYPERLINK("https://maps.google.com/?q=Ria%20Formosa%2C%20Algarve%20Algarve%20Portugal","📍 Ria Formosa, Algarve")</f>
        <v>📍 Ria Formosa, Algarve</v>
      </c>
    </row>
    <row r="101" spans="1:9" ht="110" customHeight="1" x14ac:dyDescent="0.35">
      <c r="A101" s="338">
        <v>97</v>
      </c>
      <c r="B101" s="595" t="s">
        <v>6217</v>
      </c>
      <c r="C101" s="240" t="s">
        <v>5831</v>
      </c>
      <c r="D101" s="595" t="s">
        <v>792</v>
      </c>
      <c r="E101" s="239" t="s">
        <v>5895</v>
      </c>
      <c r="F101" s="599" t="s">
        <v>6218</v>
      </c>
      <c r="G101" s="239" t="s">
        <v>6219</v>
      </c>
      <c r="H101" s="305" t="s">
        <v>6220</v>
      </c>
      <c r="I101" s="603" t="str">
        <f>HYPERLINK("https://maps.google.com/?q=Rio%20Paiva%2C%20Arouca%20Norte%20Portugal","📍 Rio Paiva, Arouca")</f>
        <v>📍 Rio Paiva, Arouca</v>
      </c>
    </row>
    <row r="102" spans="1:9" ht="110" customHeight="1" x14ac:dyDescent="0.35">
      <c r="A102" s="336">
        <v>98</v>
      </c>
      <c r="B102" s="596" t="s">
        <v>6221</v>
      </c>
      <c r="C102" s="243" t="s">
        <v>6222</v>
      </c>
      <c r="D102" s="596" t="s">
        <v>853</v>
      </c>
      <c r="E102" s="242" t="s">
        <v>5995</v>
      </c>
      <c r="F102" s="600" t="s">
        <v>6223</v>
      </c>
      <c r="G102" s="242" t="s">
        <v>6224</v>
      </c>
      <c r="H102" s="304" t="s">
        <v>6225</v>
      </c>
      <c r="I102" s="602" t="str">
        <f>HYPERLINK("https://maps.google.com/?q=Lagoas%20de%20Sines%20Alentejo%20Portugal","📍 Lagoas de Sines")</f>
        <v>📍 Lagoas de Sines</v>
      </c>
    </row>
    <row r="103" spans="1:9" ht="110" customHeight="1" x14ac:dyDescent="0.35">
      <c r="A103" s="338">
        <v>99</v>
      </c>
      <c r="B103" s="595" t="s">
        <v>6227</v>
      </c>
      <c r="C103" s="240" t="s">
        <v>5831</v>
      </c>
      <c r="D103" s="595" t="s">
        <v>792</v>
      </c>
      <c r="E103" s="239" t="s">
        <v>5846</v>
      </c>
      <c r="F103" s="599" t="s">
        <v>6228</v>
      </c>
      <c r="G103" s="239" t="s">
        <v>6229</v>
      </c>
      <c r="H103" s="305" t="s">
        <v>6230</v>
      </c>
      <c r="I103" s="603" t="str">
        <f>HYPERLINK("https://maps.google.com/?q=Sabrosa%2C%20Douro%20Norte%20Portugal","📍 Sabrosa, Douro")</f>
        <v>📍 Sabrosa, Douro</v>
      </c>
    </row>
    <row r="104" spans="1:9" ht="20" customHeight="1" x14ac:dyDescent="0.35">
      <c r="A104" s="336">
        <v>100</v>
      </c>
      <c r="B104" s="596"/>
      <c r="C104" s="243"/>
      <c r="D104" s="596"/>
      <c r="E104" s="242"/>
      <c r="F104" s="600"/>
      <c r="G104" s="242"/>
      <c r="I104" s="602" t="str">
        <f>HYPERLINK("https://maps.google.com/?q=Portugal","📍 ")</f>
        <v xml:space="preserve">📍 </v>
      </c>
    </row>
    <row r="105" spans="1:9" ht="110" customHeight="1" x14ac:dyDescent="0.35">
      <c r="A105" s="338">
        <v>101</v>
      </c>
      <c r="B105" s="595" t="s">
        <v>6231</v>
      </c>
      <c r="C105" s="240" t="s">
        <v>6069</v>
      </c>
      <c r="D105" s="595" t="s">
        <v>853</v>
      </c>
      <c r="E105" s="239" t="s">
        <v>6039</v>
      </c>
      <c r="F105" s="599" t="s">
        <v>6232</v>
      </c>
      <c r="G105" s="239" t="s">
        <v>1412</v>
      </c>
      <c r="H105" s="304" t="s">
        <v>6233</v>
      </c>
      <c r="I105" s="603" t="str">
        <f>HYPERLINK("https://maps.google.com/?q=%C3%89vora%20Alentejo%20Portugal","📍 Évora")</f>
        <v>📍 Évora</v>
      </c>
    </row>
    <row r="106" spans="1:9" ht="110" customHeight="1" x14ac:dyDescent="0.35">
      <c r="A106" s="336">
        <v>102</v>
      </c>
      <c r="B106" s="596" t="s">
        <v>6234</v>
      </c>
      <c r="C106" s="243" t="s">
        <v>6069</v>
      </c>
      <c r="D106" s="596" t="s">
        <v>836</v>
      </c>
      <c r="E106" s="242" t="s">
        <v>2831</v>
      </c>
      <c r="F106" s="600" t="s">
        <v>6235</v>
      </c>
      <c r="G106" s="242" t="s">
        <v>6236</v>
      </c>
      <c r="H106" s="305" t="s">
        <v>6237</v>
      </c>
      <c r="I106" s="602" t="str">
        <f>HYPERLINK("https://maps.google.com/?q=Const%C3%A2ncia%2C%20Ribatejo%20Centro%20Portugal","📍 Constância, Ribatejo")</f>
        <v>📍 Constância, Ribatejo</v>
      </c>
    </row>
    <row r="107" spans="1:9" ht="110" customHeight="1" x14ac:dyDescent="0.35">
      <c r="A107" s="338">
        <v>103</v>
      </c>
      <c r="B107" s="595" t="s">
        <v>6239</v>
      </c>
      <c r="C107" s="240" t="s">
        <v>5865</v>
      </c>
      <c r="D107" s="595" t="s">
        <v>836</v>
      </c>
      <c r="E107" s="239" t="s">
        <v>5860</v>
      </c>
      <c r="F107" s="599" t="s">
        <v>6240</v>
      </c>
      <c r="G107" s="239" t="s">
        <v>1100</v>
      </c>
      <c r="H107" s="304" t="s">
        <v>6241</v>
      </c>
      <c r="I107" s="603" t="str">
        <f>HYPERLINK("https://maps.google.com/?q=Celorico%20da%20Beira%20Centro%20Portugal","📍 Celorico da Beira")</f>
        <v>📍 Celorico da Beira</v>
      </c>
    </row>
    <row r="108" spans="1:9" ht="110" customHeight="1" x14ac:dyDescent="0.35">
      <c r="A108" s="336">
        <v>104</v>
      </c>
      <c r="B108" s="596" t="s">
        <v>6242</v>
      </c>
      <c r="C108" s="243" t="s">
        <v>6129</v>
      </c>
      <c r="D108" s="596" t="s">
        <v>767</v>
      </c>
      <c r="E108" s="242" t="s">
        <v>5971</v>
      </c>
      <c r="F108" s="600" t="s">
        <v>6243</v>
      </c>
      <c r="G108" s="242" t="s">
        <v>5532</v>
      </c>
      <c r="H108" s="305" t="s">
        <v>6244</v>
      </c>
      <c r="I108" s="602" t="str">
        <f>HYPERLINK("https://maps.google.com/?q=Castro%20Marim%20Algarve%20Portugal","📍 Castro Marim")</f>
        <v>📍 Castro Marim</v>
      </c>
    </row>
    <row r="109" spans="1:9" ht="110" customHeight="1" x14ac:dyDescent="0.35">
      <c r="A109" s="338">
        <v>105</v>
      </c>
      <c r="B109" s="595" t="s">
        <v>6245</v>
      </c>
      <c r="C109" s="240" t="s">
        <v>5943</v>
      </c>
      <c r="D109" s="595" t="s">
        <v>853</v>
      </c>
      <c r="E109" s="239" t="s">
        <v>2595</v>
      </c>
      <c r="F109" s="599" t="s">
        <v>6246</v>
      </c>
      <c r="G109" s="239" t="s">
        <v>6247</v>
      </c>
      <c r="H109" s="304" t="s">
        <v>6248</v>
      </c>
      <c r="I109" s="603" t="str">
        <f>HYPERLINK("https://maps.google.com/?q=Barrancos%20Alentejo%20Portugal","📍 Barrancos")</f>
        <v>📍 Barrancos</v>
      </c>
    </row>
    <row r="110" spans="1:9" ht="110" customHeight="1" x14ac:dyDescent="0.35">
      <c r="A110" s="336">
        <v>106</v>
      </c>
      <c r="B110" s="596" t="s">
        <v>6249</v>
      </c>
      <c r="C110" s="243" t="s">
        <v>6129</v>
      </c>
      <c r="D110" s="596" t="s">
        <v>792</v>
      </c>
      <c r="E110" s="242" t="s">
        <v>6039</v>
      </c>
      <c r="F110" s="600" t="s">
        <v>6250</v>
      </c>
      <c r="G110" s="242" t="s">
        <v>6251</v>
      </c>
      <c r="H110" s="305" t="s">
        <v>6252</v>
      </c>
      <c r="I110" s="602" t="str">
        <f>HYPERLINK("https://maps.google.com/?q=Valongo%20Norte%20Portugal","📍 Valongo")</f>
        <v>📍 Valongo</v>
      </c>
    </row>
    <row r="111" spans="1:9" ht="110" customHeight="1" x14ac:dyDescent="0.35">
      <c r="A111" s="338">
        <v>107</v>
      </c>
      <c r="B111" s="595" t="s">
        <v>6253</v>
      </c>
      <c r="C111" s="240" t="s">
        <v>6129</v>
      </c>
      <c r="D111" s="595" t="s">
        <v>836</v>
      </c>
      <c r="E111" s="239" t="s">
        <v>6012</v>
      </c>
      <c r="F111" s="599" t="s">
        <v>6254</v>
      </c>
      <c r="G111" s="239" t="s">
        <v>6255</v>
      </c>
      <c r="H111" s="304" t="s">
        <v>6256</v>
      </c>
      <c r="I111" s="603" t="str">
        <f>HYPERLINK("https://maps.google.com/?q=Vila%20de%20Rei%20Centro%20Portugal","📍 Vila de Rei")</f>
        <v>📍 Vila de Rei</v>
      </c>
    </row>
    <row r="112" spans="1:9" ht="110" customHeight="1" x14ac:dyDescent="0.35">
      <c r="A112" s="336">
        <v>108</v>
      </c>
      <c r="B112" s="596" t="s">
        <v>6257</v>
      </c>
      <c r="C112" s="243" t="s">
        <v>5826</v>
      </c>
      <c r="D112" s="596" t="s">
        <v>792</v>
      </c>
      <c r="E112" s="242" t="s">
        <v>5860</v>
      </c>
      <c r="F112" s="600" t="s">
        <v>6258</v>
      </c>
      <c r="G112" s="242" t="s">
        <v>6259</v>
      </c>
      <c r="H112" s="305" t="s">
        <v>6260</v>
      </c>
      <c r="I112" s="602" t="str">
        <f>HYPERLINK("https://maps.google.com/?q=Cabreiros%2C%20Ger%C3%AAs%20Norte%20Portugal","📍 Cabreiros, Gerês")</f>
        <v>📍 Cabreiros, Gerês</v>
      </c>
    </row>
    <row r="113" spans="1:9" ht="110" customHeight="1" x14ac:dyDescent="0.35">
      <c r="A113" s="338">
        <v>109</v>
      </c>
      <c r="B113" s="595" t="s">
        <v>6261</v>
      </c>
      <c r="C113" s="240" t="s">
        <v>6069</v>
      </c>
      <c r="D113" s="595" t="s">
        <v>853</v>
      </c>
      <c r="E113" s="239" t="s">
        <v>2831</v>
      </c>
      <c r="F113" s="599" t="s">
        <v>6262</v>
      </c>
      <c r="G113" s="239" t="s">
        <v>1233</v>
      </c>
      <c r="H113" s="304" t="s">
        <v>6263</v>
      </c>
      <c r="I113" s="603" t="str">
        <f>HYPERLINK("https://maps.google.com/?q=Beja%20Alentejo%20Portugal","📍 Beja")</f>
        <v>📍 Beja</v>
      </c>
    </row>
    <row r="114" spans="1:9" ht="110" customHeight="1" x14ac:dyDescent="0.35">
      <c r="A114" s="336">
        <v>110</v>
      </c>
      <c r="B114" s="596" t="s">
        <v>6264</v>
      </c>
      <c r="C114" s="243" t="s">
        <v>5840</v>
      </c>
      <c r="D114" s="596" t="s">
        <v>792</v>
      </c>
      <c r="E114" s="242" t="s">
        <v>2879</v>
      </c>
      <c r="F114" s="600" t="s">
        <v>6265</v>
      </c>
      <c r="G114" s="242" t="s">
        <v>2365</v>
      </c>
      <c r="H114" s="305" t="s">
        <v>6266</v>
      </c>
      <c r="I114" s="602" t="str">
        <f>HYPERLINK("https://maps.google.com/?q=Tr%C3%A1s-os-Montes%20Norte%20Portugal","📍 Trás-os-Montes")</f>
        <v>📍 Trás-os-Montes</v>
      </c>
    </row>
    <row r="115" spans="1:9" x14ac:dyDescent="0.35">
      <c r="I115" s="594"/>
    </row>
    <row r="116" spans="1:9" x14ac:dyDescent="0.35">
      <c r="A116" s="1353" t="s">
        <v>6267</v>
      </c>
      <c r="B116" s="1354"/>
      <c r="C116" s="1354"/>
      <c r="D116" s="1354"/>
      <c r="E116" s="1354"/>
      <c r="F116" s="1354"/>
      <c r="G116" s="1354"/>
      <c r="H116" s="1354"/>
      <c r="I116" s="619" t="str">
        <f>HYPERLINK("https://maps.google.com/?q=Portugal","📍 ")</f>
        <v xml:space="preserve">📍 </v>
      </c>
    </row>
  </sheetData>
  <mergeCells count="4">
    <mergeCell ref="A1:H1"/>
    <mergeCell ref="A4:H4"/>
    <mergeCell ref="A2:H2"/>
    <mergeCell ref="A116:H116"/>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8"/>
  <sheetViews>
    <sheetView workbookViewId="0">
      <pane ySplit="3" topLeftCell="A95" activePane="bottomLeft" state="frozen"/>
      <selection pane="bottomLeft" activeCell="I129" sqref="I129"/>
    </sheetView>
  </sheetViews>
  <sheetFormatPr defaultRowHeight="14.5" x14ac:dyDescent="0.35"/>
  <cols>
    <col min="1" max="1" width="4" customWidth="1"/>
    <col min="2" max="2" width="36" customWidth="1"/>
    <col min="3" max="3" width="12" customWidth="1"/>
    <col min="4" max="4" width="32" customWidth="1"/>
    <col min="5" max="5" width="18" customWidth="1"/>
    <col min="6" max="6" width="12" customWidth="1"/>
    <col min="7" max="7" width="16" customWidth="1"/>
    <col min="8" max="8" width="52" customWidth="1"/>
    <col min="9" max="9" width="26" customWidth="1"/>
  </cols>
  <sheetData>
    <row r="1" spans="1:9" ht="32" customHeight="1" x14ac:dyDescent="0.35">
      <c r="A1" s="1476" t="s">
        <v>6268</v>
      </c>
      <c r="B1" s="1313"/>
      <c r="C1" s="1313"/>
      <c r="D1" s="1313"/>
      <c r="E1" s="1313"/>
      <c r="F1" s="1313"/>
      <c r="G1" s="1313"/>
      <c r="H1" s="1313"/>
      <c r="I1" s="1313"/>
    </row>
    <row r="2" spans="1:9" ht="16" customHeight="1" x14ac:dyDescent="0.35">
      <c r="A2" s="1365" t="s">
        <v>6269</v>
      </c>
      <c r="B2" s="1313"/>
      <c r="C2" s="1313"/>
      <c r="D2" s="1313"/>
      <c r="E2" s="1313"/>
      <c r="F2" s="1313"/>
      <c r="G2" s="1313"/>
      <c r="H2" s="1313"/>
      <c r="I2" s="1313"/>
    </row>
    <row r="3" spans="1:9" ht="24" customHeight="1" x14ac:dyDescent="0.35">
      <c r="A3" s="238" t="s">
        <v>141</v>
      </c>
      <c r="B3" s="238" t="s">
        <v>6270</v>
      </c>
      <c r="C3" s="238" t="s">
        <v>619</v>
      </c>
      <c r="D3" s="238" t="s">
        <v>539</v>
      </c>
      <c r="E3" s="238" t="s">
        <v>8764</v>
      </c>
      <c r="F3" s="238" t="s">
        <v>906</v>
      </c>
      <c r="G3" s="238" t="s">
        <v>905</v>
      </c>
      <c r="H3" s="303" t="s">
        <v>8</v>
      </c>
      <c r="I3" s="238" t="s">
        <v>789</v>
      </c>
    </row>
    <row r="4" spans="1:9" ht="22" customHeight="1" x14ac:dyDescent="0.35">
      <c r="A4" s="1479" t="s">
        <v>6271</v>
      </c>
      <c r="B4" s="1313"/>
      <c r="C4" s="1313"/>
      <c r="D4" s="1313"/>
      <c r="E4" s="1313"/>
      <c r="F4" s="1313"/>
      <c r="G4" s="1313"/>
      <c r="H4" s="1313"/>
      <c r="I4" s="1313"/>
    </row>
    <row r="5" spans="1:9" ht="110" customHeight="1" x14ac:dyDescent="0.35">
      <c r="A5" s="338">
        <v>1</v>
      </c>
      <c r="B5" s="239" t="s">
        <v>6272</v>
      </c>
      <c r="C5" s="240" t="s">
        <v>792</v>
      </c>
      <c r="D5" s="239" t="str">
        <f>HYPERLINK("https://penaaventura.com.pt","penaaventura.com.pt")</f>
        <v>penaaventura.com.pt</v>
      </c>
      <c r="E5" s="239" t="s">
        <v>6273</v>
      </c>
      <c r="F5" s="239" t="s">
        <v>6274</v>
      </c>
      <c r="G5" s="241"/>
      <c r="H5" s="304" t="s">
        <v>6275</v>
      </c>
      <c r="I5" s="257" t="str">
        <f>HYPERLINK("https://www.google.com/maps/search/Pena%20Aventura%20Park%20Norte%20Portugal/@41.523,-7.8016,17z","⛰ Pena Aventura Park")</f>
        <v>⛰ Pena Aventura Park</v>
      </c>
    </row>
    <row r="6" spans="1:9" ht="110" customHeight="1" x14ac:dyDescent="0.35">
      <c r="A6" s="336">
        <v>2</v>
      </c>
      <c r="B6" s="242" t="s">
        <v>6276</v>
      </c>
      <c r="C6" s="243" t="s">
        <v>792</v>
      </c>
      <c r="D6" s="242" t="str">
        <f>HYPERLINK("https://diverlanhoso.pt","diverlanhoso.pt")</f>
        <v>diverlanhoso.pt</v>
      </c>
      <c r="E6" s="242" t="s">
        <v>6277</v>
      </c>
      <c r="F6" s="242" t="s">
        <v>6278</v>
      </c>
      <c r="G6" s="244"/>
      <c r="H6" s="305" t="s">
        <v>6279</v>
      </c>
      <c r="I6" s="258" t="str">
        <f>HYPERLINK("https://www.google.com/maps/search/DiverLanhoso%20Norte%20Portugal/@41.5901,-8.1969,17z","⛰ DiverLanhoso")</f>
        <v>⛰ DiverLanhoso</v>
      </c>
    </row>
    <row r="7" spans="1:9" ht="110" customHeight="1" x14ac:dyDescent="0.35">
      <c r="A7" s="338">
        <v>3</v>
      </c>
      <c r="B7" s="239" t="s">
        <v>6280</v>
      </c>
      <c r="C7" s="240" t="s">
        <v>792</v>
      </c>
      <c r="D7" s="239" t="str">
        <f>HYPERLINK("https://passadicosdopaiva.pt","passadicosdopaiva.pt")</f>
        <v>passadicosdopaiva.pt</v>
      </c>
      <c r="E7" s="239" t="s">
        <v>6281</v>
      </c>
      <c r="F7" s="239" t="s">
        <v>6282</v>
      </c>
      <c r="G7" s="241"/>
      <c r="H7" s="304" t="s">
        <v>6283</v>
      </c>
      <c r="I7" s="257" t="str">
        <f>HYPERLINK("https://www.google.com/maps/search/Passadi%C3%A7os%20do%20Paiva%20Norte%20Portugal/@40.9525,-8.1764,17z","⛰ Passadiços do Paiva")</f>
        <v>⛰ Passadiços do Paiva</v>
      </c>
    </row>
    <row r="8" spans="1:9" ht="110" customHeight="1" x14ac:dyDescent="0.35">
      <c r="A8" s="336">
        <v>4</v>
      </c>
      <c r="B8" s="242" t="s">
        <v>6284</v>
      </c>
      <c r="C8" s="243" t="s">
        <v>792</v>
      </c>
      <c r="D8" s="242" t="str">
        <f>HYPERLINK("https://516arouca.pt","516arouca.pt")</f>
        <v>516arouca.pt</v>
      </c>
      <c r="E8" s="242" t="s">
        <v>6281</v>
      </c>
      <c r="F8" s="242" t="s">
        <v>6285</v>
      </c>
      <c r="G8" s="244"/>
      <c r="H8" s="305" t="s">
        <v>6283</v>
      </c>
      <c r="I8" s="258" t="str">
        <f>HYPERLINK("https://www.google.com/maps/search/Ponte%20516%20Arouca%20Norte%20Portugal/@40.9624,-8.1749,17z","⛰ Ponte 516 Arouca")</f>
        <v>⛰ Ponte 516 Arouca</v>
      </c>
    </row>
    <row r="9" spans="1:9" ht="110" customHeight="1" x14ac:dyDescent="0.35">
      <c r="A9" s="338">
        <v>5</v>
      </c>
      <c r="B9" s="239" t="s">
        <v>6286</v>
      </c>
      <c r="C9" s="240" t="s">
        <v>792</v>
      </c>
      <c r="D9" s="239" t="str">
        <f>HYPERLINK("https://parqueaquaticoamarante.com","parqueaquaticoamarante.com")</f>
        <v>parqueaquaticoamarante.com</v>
      </c>
      <c r="E9" s="239" t="s">
        <v>6287</v>
      </c>
      <c r="F9" s="239" t="s">
        <v>6288</v>
      </c>
      <c r="G9" s="241"/>
      <c r="H9" s="304" t="s">
        <v>6289</v>
      </c>
      <c r="I9" s="257" t="str">
        <f>HYPERLINK("https://www.google.com/maps/search/Parque%20Aqu%C3%A1tico%20Amarante%20Norte%20Portugal/@41.252,-8.0945,17z","⛰ Parque Aquático Amarante")</f>
        <v>⛰ Parque Aquático Amarante</v>
      </c>
    </row>
    <row r="10" spans="1:9" ht="110" customHeight="1" x14ac:dyDescent="0.35">
      <c r="A10" s="336">
        <v>6</v>
      </c>
      <c r="B10" s="242" t="s">
        <v>6290</v>
      </c>
      <c r="C10" s="243" t="s">
        <v>792</v>
      </c>
      <c r="D10" s="242" t="str">
        <f>HYPERLINK("https://azurara-parque.com","azurara-parque.com")</f>
        <v>azurara-parque.com</v>
      </c>
      <c r="E10" s="242" t="s">
        <v>6291</v>
      </c>
      <c r="F10" s="242" t="s">
        <v>6292</v>
      </c>
      <c r="G10" s="244"/>
      <c r="H10" s="305" t="s">
        <v>6293</v>
      </c>
      <c r="I10" s="258" t="str">
        <f>HYPERLINK("https://www.google.com/maps/search/Azurara%20Parque%20Aventura%20Norte%20Portugal/@41.3415,-8.7291,17z","⛰ Azurara Parque Aventura")</f>
        <v>⛰ Azurara Parque Aventura</v>
      </c>
    </row>
    <row r="11" spans="1:9" ht="110" customHeight="1" x14ac:dyDescent="0.35">
      <c r="A11" s="338">
        <v>7</v>
      </c>
      <c r="B11" s="239" t="s">
        <v>6294</v>
      </c>
      <c r="C11" s="240" t="s">
        <v>792</v>
      </c>
      <c r="D11" s="239" t="str">
        <f>HYPERLINK("https://naturwaterpark.pt","naturwaterpark.pt")</f>
        <v>naturwaterpark.pt</v>
      </c>
      <c r="E11" s="239" t="s">
        <v>6295</v>
      </c>
      <c r="F11" s="239" t="s">
        <v>6296</v>
      </c>
      <c r="G11" s="241"/>
      <c r="H11" s="304" t="s">
        <v>6297</v>
      </c>
      <c r="I11" s="257" t="str">
        <f>HYPERLINK("https://www.google.com/maps/search/Naturwaterpark%20Norte%20Portugal/@41.2588,-7.6974,17z","⛰ Naturwaterpark")</f>
        <v>⛰ Naturwaterpark</v>
      </c>
    </row>
    <row r="12" spans="1:9" ht="110" customHeight="1" x14ac:dyDescent="0.35">
      <c r="A12" s="336">
        <v>8</v>
      </c>
      <c r="B12" s="242" t="s">
        <v>6298</v>
      </c>
      <c r="C12" s="243" t="s">
        <v>792</v>
      </c>
      <c r="D12" s="242" t="str">
        <f>HYPERLINK("https://toboga.pt","toboga.pt")</f>
        <v>toboga.pt</v>
      </c>
      <c r="E12" s="242" t="s">
        <v>6299</v>
      </c>
      <c r="F12" s="242" t="s">
        <v>6300</v>
      </c>
      <c r="G12" s="244"/>
      <c r="H12" s="305" t="s">
        <v>6301</v>
      </c>
      <c r="I12" s="258" t="str">
        <f>HYPERLINK("https://www.google.com/maps/search/Tobog%C3%A3%20%28Canyoning%20Ger%C3%AAs%29%20Norte%20Portugal/@41.8464,-8.4189,17z","⛰ Tobogã (Canyoning Gerês)")</f>
        <v>⛰ Tobogã (Canyoning Gerês)</v>
      </c>
    </row>
    <row r="13" spans="1:9" ht="110" customHeight="1" x14ac:dyDescent="0.35">
      <c r="A13" s="338">
        <v>9</v>
      </c>
      <c r="B13" s="239" t="s">
        <v>6302</v>
      </c>
      <c r="C13" s="240" t="s">
        <v>792</v>
      </c>
      <c r="D13" s="239" t="str">
        <f>HYPERLINK("https://zoosantoinacio.com","zoosantoinacio.com")</f>
        <v>zoosantoinacio.com</v>
      </c>
      <c r="E13" s="239" t="s">
        <v>6303</v>
      </c>
      <c r="F13" s="239" t="s">
        <v>6304</v>
      </c>
      <c r="G13" s="241"/>
      <c r="H13" s="304" t="s">
        <v>6305</v>
      </c>
      <c r="I13" s="257" t="str">
        <f>HYPERLINK("https://www.google.com/maps/search/Zoo%20Santo%20In%C3%A1cio%20Norte%20Portugal/@41.0967,-8.5564,17z","⛰ Zoo Santo Inácio")</f>
        <v>⛰ Zoo Santo Inácio</v>
      </c>
    </row>
    <row r="14" spans="1:9" ht="110" customHeight="1" x14ac:dyDescent="0.35">
      <c r="A14" s="336">
        <v>10</v>
      </c>
      <c r="B14" s="242" t="s">
        <v>6306</v>
      </c>
      <c r="C14" s="243" t="s">
        <v>792</v>
      </c>
      <c r="D14" s="242" t="str">
        <f>HYPERLINK("https://magikland.pt","magikland.pt")</f>
        <v>magikland.pt</v>
      </c>
      <c r="E14" s="242" t="s">
        <v>6307</v>
      </c>
      <c r="F14" s="242" t="s">
        <v>6308</v>
      </c>
      <c r="G14" s="244"/>
      <c r="H14" s="305" t="s">
        <v>6309</v>
      </c>
      <c r="I14" s="258" t="str">
        <f>HYPERLINK("https://www.google.com/maps/search/Magikland%20Norte%20Portugal/@41.1974,-8.2831,17z","⛰ Magikland")</f>
        <v>⛰ Magikland</v>
      </c>
    </row>
    <row r="15" spans="1:9" ht="110" customHeight="1" x14ac:dyDescent="0.35">
      <c r="A15" s="338">
        <v>11</v>
      </c>
      <c r="B15" s="239" t="s">
        <v>6310</v>
      </c>
      <c r="C15" s="240" t="s">
        <v>792</v>
      </c>
      <c r="D15" s="239" t="str">
        <f>HYPERLINK("https://portoaventura.com","portoaventura.com")</f>
        <v>portoaventura.com</v>
      </c>
      <c r="E15" s="239" t="s">
        <v>6311</v>
      </c>
      <c r="F15" s="239" t="s">
        <v>1773</v>
      </c>
      <c r="G15" s="241"/>
      <c r="H15" s="304" t="s">
        <v>6312</v>
      </c>
      <c r="I15" s="257" t="str">
        <f>HYPERLINK("https://www.google.com/maps/search/Porto%20Aventura%20Norte%20Portugal/@41.1736,-8.6865,17z","⛰ Porto Aventura")</f>
        <v>⛰ Porto Aventura</v>
      </c>
    </row>
    <row r="16" spans="1:9" ht="110" customHeight="1" x14ac:dyDescent="0.35">
      <c r="A16" s="336">
        <v>12</v>
      </c>
      <c r="B16" s="242" t="s">
        <v>6313</v>
      </c>
      <c r="C16" s="243" t="s">
        <v>792</v>
      </c>
      <c r="D16" s="242" t="str">
        <f>HYPERLINK("https://luso-aventura.com","luso-aventura.com")</f>
        <v>luso-aventura.com</v>
      </c>
      <c r="E16" s="242" t="s">
        <v>6314</v>
      </c>
      <c r="F16" s="242" t="s">
        <v>6315</v>
      </c>
      <c r="G16" s="244"/>
      <c r="H16" s="305" t="s">
        <v>6316</v>
      </c>
      <c r="I16" s="258" t="str">
        <f>HYPERLINK("https://www.google.com/maps/search/Luso%20Aventura%20Azibo%20Norte%20Portugal/@41.5835,-6.9068,17z","⛰ Luso Aventura Azibo")</f>
        <v>⛰ Luso Aventura Azibo</v>
      </c>
    </row>
    <row r="17" spans="1:9" ht="110" customHeight="1" x14ac:dyDescent="0.35">
      <c r="A17" s="338">
        <v>13</v>
      </c>
      <c r="B17" s="239" t="s">
        <v>6317</v>
      </c>
      <c r="C17" s="240" t="s">
        <v>792</v>
      </c>
      <c r="D17" s="239" t="str">
        <f>HYPERLINK("https://vianaadventure.com","vianaadventure.com")</f>
        <v>vianaadventure.com</v>
      </c>
      <c r="E17" s="239" t="s">
        <v>6318</v>
      </c>
      <c r="F17" s="239" t="s">
        <v>1149</v>
      </c>
      <c r="G17" s="241"/>
      <c r="H17" s="304" t="s">
        <v>6319</v>
      </c>
      <c r="I17" s="257" t="str">
        <f>HYPERLINK("https://www.google.com/maps/search/Viana%20Adventure%20Norte%20Portugal/@41.6932,-8.8327,17z","⛰ Viana Adventure")</f>
        <v>⛰ Viana Adventure</v>
      </c>
    </row>
    <row r="18" spans="1:9" ht="110" customHeight="1" x14ac:dyDescent="0.35">
      <c r="A18" s="336">
        <v>14</v>
      </c>
      <c r="B18" s="242" t="s">
        <v>6320</v>
      </c>
      <c r="C18" s="243" t="s">
        <v>792</v>
      </c>
      <c r="D18" s="242" t="str">
        <f>HYPERLINK("https://pertodogeres.pt","pertodogeres.pt")</f>
        <v>pertodogeres.pt</v>
      </c>
      <c r="E18" s="242" t="s">
        <v>6321</v>
      </c>
      <c r="F18" s="242" t="s">
        <v>6322</v>
      </c>
      <c r="G18" s="244"/>
      <c r="H18" s="305" t="s">
        <v>6323</v>
      </c>
      <c r="I18" s="258" t="str">
        <f>HYPERLINK("https://www.google.com/maps/search/Perto%20do%20Ger%C3%AAs%20%28N%C3%A1utica%29%20Norte%20Portugal/@41.6517,-8.1758,17z","⛰ Perto do Gerês (Náutica)")</f>
        <v>⛰ Perto do Gerês (Náutica)</v>
      </c>
    </row>
    <row r="19" spans="1:9" ht="110" customHeight="1" x14ac:dyDescent="0.35">
      <c r="A19" s="338">
        <v>15</v>
      </c>
      <c r="B19" s="239" t="s">
        <v>6324</v>
      </c>
      <c r="C19" s="240" t="s">
        <v>792</v>
      </c>
      <c r="D19" s="239" t="str">
        <f>HYPERLINK("https://sentirogeres.pt","sentirogeres.pt")</f>
        <v>sentirogeres.pt</v>
      </c>
      <c r="E19" s="239" t="s">
        <v>6325</v>
      </c>
      <c r="F19" s="239" t="s">
        <v>5850</v>
      </c>
      <c r="G19" s="241"/>
      <c r="H19" s="304" t="s">
        <v>6326</v>
      </c>
      <c r="I19" s="257" t="str">
        <f>HYPERLINK("https://www.google.com/maps/search/Sentir%20o%20Ger%C3%AAs%20Norte%20Portugal/@41.7236,-8.1384,17z","⛰ Sentir o Gerês")</f>
        <v>⛰ Sentir o Gerês</v>
      </c>
    </row>
    <row r="20" spans="1:9" ht="110" customHeight="1" x14ac:dyDescent="0.35">
      <c r="A20" s="336">
        <v>16</v>
      </c>
      <c r="B20" s="242" t="s">
        <v>6327</v>
      </c>
      <c r="C20" s="243" t="s">
        <v>792</v>
      </c>
      <c r="D20" s="242" t="str">
        <f>HYPERLINK("https://melgacoradical.com","melgacoradical.com")</f>
        <v>melgacoradical.com</v>
      </c>
      <c r="E20" s="242" t="s">
        <v>6328</v>
      </c>
      <c r="F20" s="242" t="s">
        <v>6329</v>
      </c>
      <c r="G20" s="244"/>
      <c r="H20" s="305" t="s">
        <v>6330</v>
      </c>
      <c r="I20" s="258" t="str">
        <f>HYPERLINK("https://www.google.com/maps/search/Melga%C3%A7o%20Radical%20Norte%20Portugal/@42.1132,-8.2694,17z","⛰ Melgaço Radical")</f>
        <v>⛰ Melgaço Radical</v>
      </c>
    </row>
    <row r="21" spans="1:9" ht="110" customHeight="1" x14ac:dyDescent="0.35">
      <c r="A21" s="338">
        <v>17</v>
      </c>
      <c r="B21" s="239" t="s">
        <v>6331</v>
      </c>
      <c r="C21" s="240" t="s">
        <v>792</v>
      </c>
      <c r="D21" s="239" t="str">
        <f>HYPERLINK("https://visitarcos.pt","visitarcos.pt")</f>
        <v>visitarcos.pt</v>
      </c>
      <c r="E21" s="239" t="s">
        <v>6332</v>
      </c>
      <c r="F21" s="239" t="s">
        <v>1864</v>
      </c>
      <c r="G21" s="241"/>
      <c r="H21" s="304" t="s">
        <v>6333</v>
      </c>
      <c r="I21" s="257" t="str">
        <f>HYPERLINK("https://www.google.com/maps/search/Ecovia%20do%20Vez%20Norte%20Portugal/@41.8465,-8.4185,17z","⛰ Ecovia do Vez")</f>
        <v>⛰ Ecovia do Vez</v>
      </c>
    </row>
    <row r="22" spans="1:9" ht="110" customHeight="1" x14ac:dyDescent="0.35">
      <c r="A22" s="336">
        <v>18</v>
      </c>
      <c r="B22" s="242" t="s">
        <v>6334</v>
      </c>
      <c r="C22" s="243" t="s">
        <v>792</v>
      </c>
      <c r="D22" s="242" t="str">
        <f>HYPERLINK("https://lagoas.cm-pontelima.pt","lagoas.cm-pontelima.pt")</f>
        <v>lagoas.cm-pontelima.pt</v>
      </c>
      <c r="E22" s="242" t="s">
        <v>6335</v>
      </c>
      <c r="F22" s="242" t="s">
        <v>1985</v>
      </c>
      <c r="G22" s="244"/>
      <c r="H22" s="305" t="s">
        <v>6336</v>
      </c>
      <c r="I22" s="258" t="str">
        <f>HYPERLINK("https://www.google.com/maps/search/Lagoas%20de%20Bertiandos%20Norte%20Portugal/@41.7611,-8.6342,17z","⛰ Lagoas de Bertiandos")</f>
        <v>⛰ Lagoas de Bertiandos</v>
      </c>
    </row>
    <row r="23" spans="1:9" ht="110" customHeight="1" x14ac:dyDescent="0.35">
      <c r="A23" s="338">
        <v>19</v>
      </c>
      <c r="B23" s="239" t="s">
        <v>6337</v>
      </c>
      <c r="C23" s="240" t="s">
        <v>792</v>
      </c>
      <c r="D23" s="239" t="str">
        <f>HYPERLINK("https://zoodelourosa.com","zoodelourosa.com")</f>
        <v>zoodelourosa.com</v>
      </c>
      <c r="E23" s="239" t="s">
        <v>6338</v>
      </c>
      <c r="F23" s="239" t="s">
        <v>1779</v>
      </c>
      <c r="G23" s="241"/>
      <c r="H23" s="304" t="s">
        <v>6339</v>
      </c>
      <c r="I23" s="257" t="str">
        <f>HYPERLINK("https://www.google.com/maps/search/Zoo%20de%20Lourosa%20Norte%20Portugal/@40.9856,-8.5414,17z","⛰ Zoo de Lourosa")</f>
        <v>⛰ Zoo de Lourosa</v>
      </c>
    </row>
    <row r="24" spans="1:9" ht="110" customHeight="1" x14ac:dyDescent="0.35">
      <c r="A24" s="336">
        <v>20</v>
      </c>
      <c r="B24" s="242" t="s">
        <v>6340</v>
      </c>
      <c r="C24" s="243" t="s">
        <v>792</v>
      </c>
      <c r="D24" s="242" t="str">
        <f>HYPERLINK("https://parquebiologico.pt","parquebiologico.pt")</f>
        <v>parquebiologico.pt</v>
      </c>
      <c r="E24" s="242" t="s">
        <v>6341</v>
      </c>
      <c r="F24" s="242" t="s">
        <v>6342</v>
      </c>
      <c r="G24" s="244"/>
      <c r="H24" s="305" t="s">
        <v>6305</v>
      </c>
      <c r="I24" s="258" t="str">
        <f>HYPERLINK("https://www.google.com/maps/search/Parque%20Biol%C3%B3gico%20Gaia%20Norte%20Portugal/@41.0991,-8.5513,17z","⛰ Parque Biológico Gaia")</f>
        <v>⛰ Parque Biológico Gaia</v>
      </c>
    </row>
    <row r="25" spans="1:9" ht="110" customHeight="1" x14ac:dyDescent="0.35">
      <c r="A25" s="338">
        <v>21</v>
      </c>
      <c r="B25" s="239" t="s">
        <v>6343</v>
      </c>
      <c r="C25" s="240" t="s">
        <v>792</v>
      </c>
      <c r="D25" s="239" t="str">
        <f>HYPERLINK("https://visitgeres.com","visitgeres.com")</f>
        <v>visitgeres.com</v>
      </c>
      <c r="E25" s="239" t="s">
        <v>6344</v>
      </c>
      <c r="F25" s="239" t="s">
        <v>6345</v>
      </c>
      <c r="G25" s="241"/>
      <c r="H25" s="304" t="s">
        <v>6346</v>
      </c>
      <c r="I25" s="257" t="str">
        <f>HYPERLINK("https://www.google.com/maps/search/Cascata%20do%20Arado%20%28Ger%C3%AAs%29%20Norte%20Portugal/@41.7242,-8.1299,17z","⛰ Cascata do Arado (Gerês)")</f>
        <v>⛰ Cascata do Arado (Gerês)</v>
      </c>
    </row>
    <row r="26" spans="1:9" ht="110" customHeight="1" x14ac:dyDescent="0.35">
      <c r="A26" s="336">
        <v>22</v>
      </c>
      <c r="B26" s="242" t="s">
        <v>6347</v>
      </c>
      <c r="C26" s="243" t="s">
        <v>792</v>
      </c>
      <c r="D26" s="242" t="str">
        <f>HYPERLINK("https://natural.pt","natural.pt")</f>
        <v>natural.pt</v>
      </c>
      <c r="E26" s="242" t="s">
        <v>6344</v>
      </c>
      <c r="F26" s="242" t="s">
        <v>1872</v>
      </c>
      <c r="G26" s="244"/>
      <c r="H26" s="305" t="s">
        <v>6348</v>
      </c>
      <c r="I26" s="258" t="str">
        <f>HYPERLINK("https://www.google.com/maps/search/Fisgas%20do%20Ermelo%20Norte%20Portugal/@41.385,-7.8817,17z","⛰ Fisgas do Ermelo")</f>
        <v>⛰ Fisgas do Ermelo</v>
      </c>
    </row>
    <row r="27" spans="1:9" ht="110" customHeight="1" x14ac:dyDescent="0.35">
      <c r="A27" s="338">
        <v>23</v>
      </c>
      <c r="B27" s="239" t="s">
        <v>1669</v>
      </c>
      <c r="C27" s="240" t="s">
        <v>792</v>
      </c>
      <c r="D27" s="239" t="str">
        <f>HYPERLINK("https://natural.pt","natural.pt")</f>
        <v>natural.pt</v>
      </c>
      <c r="E27" s="239" t="s">
        <v>6344</v>
      </c>
      <c r="F27" s="239" t="s">
        <v>1784</v>
      </c>
      <c r="G27" s="241"/>
      <c r="H27" s="304" t="s">
        <v>6349</v>
      </c>
      <c r="I27" s="257" t="str">
        <f>HYPERLINK("https://www.google.com/maps/search/Parque%20Natural%20de%20Montesinho%20Norte%20Portugal/@41.8794,-6.7483,17z","⛰ Parque Natural de Montesinho")</f>
        <v>⛰ Parque Natural de Montesinho</v>
      </c>
    </row>
    <row r="28" spans="1:9" ht="110" customHeight="1" x14ac:dyDescent="0.35">
      <c r="A28" s="336">
        <v>24</v>
      </c>
      <c r="B28" s="242" t="s">
        <v>6350</v>
      </c>
      <c r="C28" s="243" t="s">
        <v>792</v>
      </c>
      <c r="D28" s="242" t="str">
        <f>HYPERLINK("https://europarques.com","europarques.com")</f>
        <v>europarques.com</v>
      </c>
      <c r="E28" s="242" t="s">
        <v>6351</v>
      </c>
      <c r="F28" s="242" t="s">
        <v>1935</v>
      </c>
      <c r="G28" s="244"/>
      <c r="H28" s="305" t="s">
        <v>6352</v>
      </c>
      <c r="I28" s="258" t="str">
        <f>HYPERLINK("https://www.google.com/maps/search/Douro%20Internacional%20Norte%20Portugal/@41.4939,-6.2731,17z","⛰ Douro Internacional")</f>
        <v>⛰ Douro Internacional</v>
      </c>
    </row>
    <row r="29" spans="1:9" ht="110" customHeight="1" x14ac:dyDescent="0.35">
      <c r="A29" s="338">
        <v>25</v>
      </c>
      <c r="B29" s="239" t="s">
        <v>6353</v>
      </c>
      <c r="C29" s="240" t="s">
        <v>792</v>
      </c>
      <c r="D29" s="239" t="str">
        <f>HYPERLINK("https://pontedelimaventura.com","pontedelimaventura.com")</f>
        <v>pontedelimaventura.com</v>
      </c>
      <c r="E29" s="239" t="s">
        <v>6354</v>
      </c>
      <c r="F29" s="239" t="s">
        <v>1985</v>
      </c>
      <c r="G29" s="241"/>
      <c r="H29" s="304" t="s">
        <v>6336</v>
      </c>
      <c r="I29" s="257" t="str">
        <f>HYPERLINK("https://www.google.com/maps/search/Ponte%20de%20Lima%20Aventura%20Norte%20Portugal/@41.7667,-8.5833,17z","⛰ Ponte de Lima Aventura")</f>
        <v>⛰ Ponte de Lima Aventura</v>
      </c>
    </row>
    <row r="30" spans="1:9" ht="110" customHeight="1" x14ac:dyDescent="0.35">
      <c r="A30" s="336">
        <v>26</v>
      </c>
      <c r="B30" s="242" t="s">
        <v>6355</v>
      </c>
      <c r="C30" s="243" t="s">
        <v>792</v>
      </c>
      <c r="D30" s="242" t="str">
        <f>HYPERLINK("https://geresequidesporto.pt","geresequidesporto.pt")</f>
        <v>geresequidesporto.pt</v>
      </c>
      <c r="E30" s="242" t="s">
        <v>6356</v>
      </c>
      <c r="F30" s="242" t="s">
        <v>6357</v>
      </c>
      <c r="G30" s="244"/>
      <c r="H30" s="305" t="s">
        <v>6358</v>
      </c>
      <c r="I30" s="258" t="str">
        <f>HYPERLINK("https://www.google.com/maps/search/Ger%C3%AAs%20EquiDesporto%20Norte%20Portugal/@41.6933,-8.1566,17z","⛰ Gerês EquiDesporto")</f>
        <v>⛰ Gerês EquiDesporto</v>
      </c>
    </row>
    <row r="31" spans="1:9" ht="110" customHeight="1" x14ac:dyDescent="0.35">
      <c r="A31" s="338">
        <v>27</v>
      </c>
      <c r="B31" s="239" t="s">
        <v>6359</v>
      </c>
      <c r="C31" s="240" t="s">
        <v>792</v>
      </c>
      <c r="D31" s="239" t="str">
        <f>HYPERLINK("https://pontedelima.com","pontedelima.com")</f>
        <v>pontedelima.com</v>
      </c>
      <c r="E31" s="239" t="s">
        <v>6360</v>
      </c>
      <c r="F31" s="239" t="s">
        <v>6361</v>
      </c>
      <c r="G31" s="241"/>
      <c r="H31" s="304" t="s">
        <v>6336</v>
      </c>
      <c r="I31" s="257" t="str">
        <f>HYPERLINK("https://www.google.com/maps/search/Quinta%20do%20Casal%20Condado%20Norte%20Portugal/@41.7199,-8.6259,17z","⛰ Quinta do Casal Condado")</f>
        <v>⛰ Quinta do Casal Condado</v>
      </c>
    </row>
    <row r="32" spans="1:9" ht="110" customHeight="1" x14ac:dyDescent="0.35">
      <c r="A32" s="336">
        <v>28</v>
      </c>
      <c r="B32" s="242" t="s">
        <v>6362</v>
      </c>
      <c r="C32" s="243" t="s">
        <v>792</v>
      </c>
      <c r="D32" s="242" t="str">
        <f>HYPERLINK("https://aquaparkfafe.com","aquaparkfafe.com")</f>
        <v>aquaparkfafe.com</v>
      </c>
      <c r="E32" s="242" t="s">
        <v>6363</v>
      </c>
      <c r="F32" s="242" t="s">
        <v>1823</v>
      </c>
      <c r="G32" s="244"/>
      <c r="H32" s="305" t="s">
        <v>6364</v>
      </c>
      <c r="I32" s="258" t="str">
        <f>HYPERLINK("https://www.google.com/maps/search/Aquapark%20de%20Fafe%20Norte%20Portugal/@41.4552,-8.1528,17z","⛰ Aquapark de Fafe")</f>
        <v>⛰ Aquapark de Fafe</v>
      </c>
    </row>
    <row r="33" spans="1:9" ht="110" customHeight="1" x14ac:dyDescent="0.35">
      <c r="A33" s="338">
        <v>29</v>
      </c>
      <c r="B33" s="239" t="s">
        <v>6365</v>
      </c>
      <c r="C33" s="240" t="s">
        <v>792</v>
      </c>
      <c r="D33" s="239" t="str">
        <f>HYPERLINK("https://justcome.pt","justcome.pt")</f>
        <v>justcome.pt</v>
      </c>
      <c r="E33" s="239" t="s">
        <v>6311</v>
      </c>
      <c r="F33" s="239" t="s">
        <v>1840</v>
      </c>
      <c r="G33" s="241"/>
      <c r="H33" s="304" t="s">
        <v>6366</v>
      </c>
      <c r="I33" s="257" t="str">
        <f>HYPERLINK("https://www.google.com/maps/search/Just%20Come%20%28Rafting%29%20Norte%20Portugal/@41.0533,-8.2575,17z","⛰ Just Come (Rafting)")</f>
        <v>⛰ Just Come (Rafting)</v>
      </c>
    </row>
    <row r="34" spans="1:9" ht="110" customHeight="1" x14ac:dyDescent="0.35">
      <c r="A34" s="336">
        <v>30</v>
      </c>
      <c r="B34" s="242" t="s">
        <v>6367</v>
      </c>
      <c r="C34" s="243" t="s">
        <v>792</v>
      </c>
      <c r="D34" s="242" t="str">
        <f>HYPERLINK("https://magnificodouro.pt","magnificodouro.pt")</f>
        <v>magnificodouro.pt</v>
      </c>
      <c r="E34" s="242" t="s">
        <v>6368</v>
      </c>
      <c r="F34" s="242" t="s">
        <v>6369</v>
      </c>
      <c r="G34" s="244"/>
      <c r="H34" s="305" t="s">
        <v>6370</v>
      </c>
      <c r="I34" s="258" t="str">
        <f>HYPERLINK("https://www.google.com/maps/search/Magn%C3%ADfico%20Douro%20%28Cruzeiro%29%20Norte%20Portugal/@41.1906,-7.5456,17z","⛰ Magnífico Douro (Cruzeiro)")</f>
        <v>⛰ Magnífico Douro (Cruzeiro)</v>
      </c>
    </row>
    <row r="35" spans="1:9" ht="110" customHeight="1" x14ac:dyDescent="0.35">
      <c r="A35" s="338">
        <v>31</v>
      </c>
      <c r="B35" s="239" t="s">
        <v>6371</v>
      </c>
      <c r="C35" s="240" t="s">
        <v>853</v>
      </c>
      <c r="D35" s="239" t="str">
        <f>HYPERLINK("https://badoca.com","badoca.com")</f>
        <v>badoca.com</v>
      </c>
      <c r="E35" s="239" t="s">
        <v>6372</v>
      </c>
      <c r="F35" s="239" t="s">
        <v>3664</v>
      </c>
      <c r="G35" s="241"/>
      <c r="H35" s="304" t="s">
        <v>6373</v>
      </c>
      <c r="I35" s="257" t="str">
        <f>HYPERLINK("https://www.google.com/maps/search/Badoca%20Safari%20Park%20Sul%20Portugal/@38.045,-8.746,17z","⛰ Badoca Safari Park")</f>
        <v>⛰ Badoca Safari Park</v>
      </c>
    </row>
    <row r="36" spans="1:9" ht="110" customHeight="1" x14ac:dyDescent="0.35">
      <c r="A36" s="336">
        <v>32</v>
      </c>
      <c r="B36" s="242" t="s">
        <v>6374</v>
      </c>
      <c r="C36" s="243" t="s">
        <v>767</v>
      </c>
      <c r="D36" s="242" t="str">
        <f>HYPERLINK("https://zoomarine.pt","zoomarine.pt")</f>
        <v>zoomarine.pt</v>
      </c>
      <c r="E36" s="242" t="s">
        <v>6375</v>
      </c>
      <c r="F36" s="242" t="s">
        <v>6376</v>
      </c>
      <c r="G36" s="244"/>
      <c r="H36" s="305" t="s">
        <v>6377</v>
      </c>
      <c r="I36" s="258" t="str">
        <f>HYPERLINK("https://www.google.com/maps/search/Zoomarine%20Algarve%20Sul%20Portugal/@37.1265,-8.3148,17z","⛰ Zoomarine Algarve")</f>
        <v>⛰ Zoomarine Algarve</v>
      </c>
    </row>
    <row r="37" spans="1:9" ht="110" customHeight="1" x14ac:dyDescent="0.35">
      <c r="A37" s="338">
        <v>33</v>
      </c>
      <c r="B37" s="239" t="s">
        <v>6378</v>
      </c>
      <c r="C37" s="240" t="s">
        <v>767</v>
      </c>
      <c r="D37" s="239" t="str">
        <f>HYPERLINK("https://aquashowpark.com","aquashowpark.com")</f>
        <v>aquashowpark.com</v>
      </c>
      <c r="E37" s="239" t="s">
        <v>6379</v>
      </c>
      <c r="F37" s="239" t="s">
        <v>6380</v>
      </c>
      <c r="G37" s="241"/>
      <c r="H37" s="304" t="s">
        <v>6381</v>
      </c>
      <c r="I37" s="257" t="str">
        <f>HYPERLINK("https://www.google.com/maps/search/Aquashow%20Park%20Sul%20Portugal/@37.0934,-8.0722,17z","⛰ Aquashow Park")</f>
        <v>⛰ Aquashow Park</v>
      </c>
    </row>
    <row r="38" spans="1:9" ht="110" customHeight="1" x14ac:dyDescent="0.35">
      <c r="A38" s="336">
        <v>34</v>
      </c>
      <c r="B38" s="242" t="s">
        <v>5102</v>
      </c>
      <c r="C38" s="243" t="s">
        <v>853</v>
      </c>
      <c r="D38" s="242" t="str">
        <f>HYPERLINK("https://fluviariomora.pt","fluviariomora.pt")</f>
        <v>fluviariomora.pt</v>
      </c>
      <c r="E38" s="242" t="s">
        <v>6382</v>
      </c>
      <c r="F38" s="242" t="s">
        <v>6383</v>
      </c>
      <c r="G38" s="244"/>
      <c r="H38" s="305" t="s">
        <v>6384</v>
      </c>
      <c r="I38" s="258" t="str">
        <f>HYPERLINK("https://www.google.com/maps/search/Fluvi%C3%A1rio%20de%20Mora%20Sul%20Portugal/@38.9483,-8.1136,17z","⛰ Fluviário de Mora")</f>
        <v>⛰ Fluviário de Mora</v>
      </c>
    </row>
    <row r="39" spans="1:9" ht="110" customHeight="1" x14ac:dyDescent="0.35">
      <c r="A39" s="338">
        <v>35</v>
      </c>
      <c r="B39" s="239" t="s">
        <v>6385</v>
      </c>
      <c r="C39" s="240" t="s">
        <v>853</v>
      </c>
      <c r="D39" s="239" t="str">
        <f>HYPERLINK("https://sniper.pt","sniper.pt")</f>
        <v>sniper.pt</v>
      </c>
      <c r="E39" s="239" t="s">
        <v>6386</v>
      </c>
      <c r="F39" s="239" t="s">
        <v>6387</v>
      </c>
      <c r="G39" s="241"/>
      <c r="H39" s="304" t="s">
        <v>6388</v>
      </c>
      <c r="I39" s="257" t="str">
        <f>HYPERLINK("https://www.google.com/maps/search/Sniper%20Aventura%20Sul%20Portugal/@38.8931,-8.8475,17z","⛰ Sniper Aventura")</f>
        <v>⛰ Sniper Aventura</v>
      </c>
    </row>
    <row r="40" spans="1:9" ht="110" customHeight="1" x14ac:dyDescent="0.35">
      <c r="A40" s="336">
        <v>36</v>
      </c>
      <c r="B40" s="242" t="s">
        <v>6389</v>
      </c>
      <c r="C40" s="243" t="s">
        <v>767</v>
      </c>
      <c r="D40" s="242" t="str">
        <f>HYPERLINK("https://slidesplash.com","slidesplash.com")</f>
        <v>slidesplash.com</v>
      </c>
      <c r="E40" s="242" t="s">
        <v>6390</v>
      </c>
      <c r="F40" s="242" t="s">
        <v>6391</v>
      </c>
      <c r="G40" s="244"/>
      <c r="H40" s="305" t="s">
        <v>6392</v>
      </c>
      <c r="I40" s="258" t="str">
        <f>HYPERLINK("https://www.google.com/maps/search/Slide%20%26%20Splash%20Sul%20Portugal/@37.1397,-8.4719,17z","⛰ Slide &amp; Splash")</f>
        <v>⛰ Slide &amp; Splash</v>
      </c>
    </row>
    <row r="41" spans="1:9" ht="110" customHeight="1" x14ac:dyDescent="0.35">
      <c r="A41" s="338">
        <v>37</v>
      </c>
      <c r="B41" s="239" t="s">
        <v>6393</v>
      </c>
      <c r="C41" s="240" t="s">
        <v>853</v>
      </c>
      <c r="D41" s="239" t="str">
        <f>HYPERLINK("https://amieiramarina.com","amieiramarina.com")</f>
        <v>amieiramarina.com</v>
      </c>
      <c r="E41" s="239" t="s">
        <v>6394</v>
      </c>
      <c r="F41" s="239" t="s">
        <v>6395</v>
      </c>
      <c r="G41" s="241"/>
      <c r="H41" s="304" t="s">
        <v>6396</v>
      </c>
      <c r="I41" s="257" t="str">
        <f>HYPERLINK("https://www.google.com/maps/search/Amieira%20Marina%20%28Alqueva%29%20Sul%20Portugal/@38.2775,-7.5358,17z","⛰ Amieira Marina (Alqueva)")</f>
        <v>⛰ Amieira Marina (Alqueva)</v>
      </c>
    </row>
    <row r="42" spans="1:9" ht="110" customHeight="1" x14ac:dyDescent="0.35">
      <c r="A42" s="336">
        <v>38</v>
      </c>
      <c r="B42" s="242" t="s">
        <v>6397</v>
      </c>
      <c r="C42" s="243" t="s">
        <v>767</v>
      </c>
      <c r="D42" s="242" t="str">
        <f>HYPERLINK("https://autodromodoalgarve.com","autodromodoalgarve.com")</f>
        <v>autodromodoalgarve.com</v>
      </c>
      <c r="E42" s="242" t="s">
        <v>6398</v>
      </c>
      <c r="F42" s="242" t="s">
        <v>2205</v>
      </c>
      <c r="G42" s="244"/>
      <c r="H42" s="305" t="s">
        <v>6399</v>
      </c>
      <c r="I42" s="258" t="str">
        <f>HYPERLINK("https://www.google.com/maps/search/Aut%C3%B3dromo%20Internacional%20Algarve%20Sul%20Portugal/@37.2311,-8.6258,17z","⛰ Autódromo Internacional Alg…")</f>
        <v>⛰ Autódromo Internacional Alg…</v>
      </c>
    </row>
    <row r="43" spans="1:9" ht="110" customHeight="1" x14ac:dyDescent="0.35">
      <c r="A43" s="338">
        <v>39</v>
      </c>
      <c r="B43" s="239" t="s">
        <v>6400</v>
      </c>
      <c r="C43" s="240" t="s">
        <v>853</v>
      </c>
      <c r="D43" s="239" t="str">
        <f>HYPERLINK("https://rotavicentina.com","rotavicentina.com")</f>
        <v>rotavicentina.com</v>
      </c>
      <c r="E43" s="239" t="s">
        <v>6401</v>
      </c>
      <c r="F43" s="239" t="s">
        <v>2143</v>
      </c>
      <c r="G43" s="241"/>
      <c r="H43" s="304" t="s">
        <v>6402</v>
      </c>
      <c r="I43" s="257" t="str">
        <f>HYPERLINK("https://www.google.com/maps/search/Rota%20Vicentina%20Sul%20Portugal/@37.5968,-8.6425,17z","⛰ Rota Vicentina")</f>
        <v>⛰ Rota Vicentina</v>
      </c>
    </row>
    <row r="44" spans="1:9" ht="110" customHeight="1" x14ac:dyDescent="0.35">
      <c r="A44" s="336">
        <v>40</v>
      </c>
      <c r="B44" s="242" t="s">
        <v>6403</v>
      </c>
      <c r="C44" s="243" t="s">
        <v>767</v>
      </c>
      <c r="D44" s="242" t="str">
        <f>HYPERLINK("https://parqueaventura.net","parqueaventura.net")</f>
        <v>parqueaventura.net</v>
      </c>
      <c r="E44" s="242" t="s">
        <v>6404</v>
      </c>
      <c r="F44" s="242" t="s">
        <v>2186</v>
      </c>
      <c r="G44" s="244"/>
      <c r="H44" s="305" t="s">
        <v>6405</v>
      </c>
      <c r="I44" s="258" t="str">
        <f>HYPERLINK("https://www.google.com/maps/search/Parque%20Aventura%20Albufeira%20Sul%20Portugal/@37.0911,-8.2127,17z","⛰ Parque Aventura Albufeira")</f>
        <v>⛰ Parque Aventura Albufeira</v>
      </c>
    </row>
    <row r="45" spans="1:9" ht="110" customHeight="1" x14ac:dyDescent="0.35">
      <c r="A45" s="338">
        <v>41</v>
      </c>
      <c r="B45" s="239" t="s">
        <v>6406</v>
      </c>
      <c r="C45" s="240" t="s">
        <v>853</v>
      </c>
      <c r="D45" s="239" t="str">
        <f>HYPERLINK("https://monteselvagem.pt","monteselvagem.pt")</f>
        <v>monteselvagem.pt</v>
      </c>
      <c r="E45" s="239" t="s">
        <v>6407</v>
      </c>
      <c r="F45" s="239" t="s">
        <v>6408</v>
      </c>
      <c r="G45" s="241"/>
      <c r="H45" s="304" t="s">
        <v>6409</v>
      </c>
      <c r="I45" s="257" t="str">
        <f>HYPERLINK("https://www.google.com/maps/search/Monte%20Selvagem%20Sul%20Portugal/@38.7758,-8.3846,17z","⛰ Monte Selvagem")</f>
        <v>⛰ Monte Selvagem</v>
      </c>
    </row>
    <row r="46" spans="1:9" ht="110" customHeight="1" x14ac:dyDescent="0.35">
      <c r="A46" s="336">
        <v>42</v>
      </c>
      <c r="B46" s="242" t="s">
        <v>6410</v>
      </c>
      <c r="C46" s="243" t="s">
        <v>853</v>
      </c>
      <c r="D46" s="242" t="str">
        <f>HYPERLINK("https://azenhasdaseda.com","azenhasdaseda.com")</f>
        <v>azenhasdaseda.com</v>
      </c>
      <c r="E46" s="242" t="s">
        <v>6411</v>
      </c>
      <c r="F46" s="242" t="s">
        <v>6412</v>
      </c>
      <c r="G46" s="244"/>
      <c r="H46" s="305" t="s">
        <v>6413</v>
      </c>
      <c r="I46" s="258" t="str">
        <f>HYPERLINK("https://www.google.com/maps/search/Azenhas%20da%20Seda%20Sul%20Portugal/@39.1172,-7.6042,17z","⛰ Azenhas da Seda")</f>
        <v>⛰ Azenhas da Seda</v>
      </c>
    </row>
    <row r="47" spans="1:9" ht="110" customHeight="1" x14ac:dyDescent="0.35">
      <c r="A47" s="338">
        <v>43</v>
      </c>
      <c r="B47" s="239" t="s">
        <v>6414</v>
      </c>
      <c r="C47" s="240" t="s">
        <v>853</v>
      </c>
      <c r="D47" s="239" t="str">
        <f>HYPERLINK("https://alentejosurvival.com","alentejosurvival.com")</f>
        <v>alentejosurvival.com</v>
      </c>
      <c r="E47" s="239" t="s">
        <v>6415</v>
      </c>
      <c r="F47" s="239" t="s">
        <v>6416</v>
      </c>
      <c r="G47" s="241"/>
      <c r="H47" s="304" t="s">
        <v>6417</v>
      </c>
      <c r="I47" s="257" t="str">
        <f>HYPERLINK("https://www.google.com/maps/search/Alentejo%20Survival%20Sul%20Portugal/@37.8105,-8.6742,17z","⛰ Alentejo Survival")</f>
        <v>⛰ Alentejo Survival</v>
      </c>
    </row>
    <row r="48" spans="1:9" ht="110" customHeight="1" x14ac:dyDescent="0.35">
      <c r="A48" s="336">
        <v>44</v>
      </c>
      <c r="B48" s="242" t="s">
        <v>6418</v>
      </c>
      <c r="C48" s="243" t="s">
        <v>853</v>
      </c>
      <c r="D48" s="242" t="str">
        <f>HYPERLINK("https://natural.pt","natural.pt")</f>
        <v>natural.pt</v>
      </c>
      <c r="E48" s="242" t="s">
        <v>6344</v>
      </c>
      <c r="F48" s="242" t="s">
        <v>6081</v>
      </c>
      <c r="G48" s="244"/>
      <c r="H48" s="305" t="s">
        <v>6419</v>
      </c>
      <c r="I48" s="258" t="str">
        <f>HYPERLINK("https://www.google.com/maps/search/Pulo%20do%20Lobo%20%28M%C3%A9rtola%29%20Sul%20Portugal/@37.8025,-7.6358,17z","⛰ Pulo do Lobo (Mértola)")</f>
        <v>⛰ Pulo do Lobo (Mértola)</v>
      </c>
    </row>
    <row r="49" spans="1:9" ht="110" customHeight="1" x14ac:dyDescent="0.35">
      <c r="A49" s="338">
        <v>45</v>
      </c>
      <c r="B49" s="239" t="s">
        <v>6420</v>
      </c>
      <c r="C49" s="240" t="s">
        <v>853</v>
      </c>
      <c r="D49" s="239" t="str">
        <f>HYPERLINK("https://cyclingportugal.pt","cyclingportugal.pt")</f>
        <v>cyclingportugal.pt</v>
      </c>
      <c r="E49" s="239" t="s">
        <v>6421</v>
      </c>
      <c r="F49" s="239" t="s">
        <v>6422</v>
      </c>
      <c r="G49" s="241"/>
      <c r="H49" s="304" t="s">
        <v>6423</v>
      </c>
      <c r="I49" s="257" t="str">
        <f>HYPERLINK("https://www.google.com/maps/search/BTT%20Almod%C3%B4var%20Sul%20Portugal/@37.5135,-8.0583,17z","⛰ BTT Almodôvar")</f>
        <v>⛰ BTT Almodôvar</v>
      </c>
    </row>
    <row r="50" spans="1:9" ht="110" customHeight="1" x14ac:dyDescent="0.35">
      <c r="A50" s="336">
        <v>46</v>
      </c>
      <c r="B50" s="242" t="s">
        <v>6424</v>
      </c>
      <c r="C50" s="243" t="s">
        <v>853</v>
      </c>
      <c r="D50" s="242" t="str">
        <f>HYPERLINK("https://skydiveportugal.pt","skydiveportugal.pt")</f>
        <v>skydiveportugal.pt</v>
      </c>
      <c r="E50" s="242" t="s">
        <v>6425</v>
      </c>
      <c r="F50" s="242" t="s">
        <v>1412</v>
      </c>
      <c r="G50" s="244"/>
      <c r="H50" s="305" t="s">
        <v>6426</v>
      </c>
      <c r="I50" s="258" t="str">
        <f>HYPERLINK("https://www.google.com/maps/search/Skydive%20Portugal%20Sul%20Portugal/@38.5333,-7.8883,17z","⛰ Skydive Portugal")</f>
        <v>⛰ Skydive Portugal</v>
      </c>
    </row>
    <row r="51" spans="1:9" ht="110" customHeight="1" x14ac:dyDescent="0.35">
      <c r="A51" s="338">
        <v>47</v>
      </c>
      <c r="B51" s="239" t="s">
        <v>6427</v>
      </c>
      <c r="C51" s="240" t="s">
        <v>767</v>
      </c>
      <c r="D51" s="239" t="str">
        <f>HYPERLINK("https://parqueaventura.net","parqueaventura.net")</f>
        <v>parqueaventura.net</v>
      </c>
      <c r="E51" s="239" t="s">
        <v>6404</v>
      </c>
      <c r="F51" s="239" t="s">
        <v>6428</v>
      </c>
      <c r="G51" s="241"/>
      <c r="H51" s="304" t="s">
        <v>6429</v>
      </c>
      <c r="I51" s="257" t="str">
        <f>HYPERLINK("https://www.google.com/maps/search/Parque%20Aventura%20Lagos%20Sul%20Portugal/@37.1183,-8.6475,17z","⛰ Parque Aventura Lagos")</f>
        <v>⛰ Parque Aventura Lagos</v>
      </c>
    </row>
    <row r="52" spans="1:9" ht="110" customHeight="1" x14ac:dyDescent="0.35">
      <c r="A52" s="336">
        <v>48</v>
      </c>
      <c r="B52" s="242" t="s">
        <v>6430</v>
      </c>
      <c r="C52" s="243" t="s">
        <v>767</v>
      </c>
      <c r="D52" s="242" t="str">
        <f>HYPERLINK("https://algarve-adventures.com","algarve-adventures.com")</f>
        <v>algarve-adventures.com</v>
      </c>
      <c r="E52" s="242" t="s">
        <v>6431</v>
      </c>
      <c r="F52" s="242" t="s">
        <v>6432</v>
      </c>
      <c r="G52" s="244"/>
      <c r="H52" s="305" t="s">
        <v>6433</v>
      </c>
      <c r="I52" s="258" t="str">
        <f>HYPERLINK("https://www.google.com/maps/search/Karting%20Almancil%20Sul%20Portugal/@37.0811,-8.0336,17z","⛰ Karting Almancil")</f>
        <v>⛰ Karting Almancil</v>
      </c>
    </row>
    <row r="53" spans="1:9" ht="110" customHeight="1" x14ac:dyDescent="0.35">
      <c r="A53" s="338">
        <v>49</v>
      </c>
      <c r="B53" s="239" t="s">
        <v>6434</v>
      </c>
      <c r="C53" s="240" t="s">
        <v>767</v>
      </c>
      <c r="D53" s="239" t="str">
        <f>HYPERLINK("https://krazyworld.com","krazyworld.com")</f>
        <v>krazyworld.com</v>
      </c>
      <c r="E53" s="239" t="s">
        <v>6435</v>
      </c>
      <c r="F53" s="239" t="s">
        <v>6436</v>
      </c>
      <c r="G53" s="241"/>
      <c r="H53" s="304" t="s">
        <v>6437</v>
      </c>
      <c r="I53" s="257" t="str">
        <f>HYPERLINK("https://www.google.com/maps/search/Krazy%20World%20Zoo%20Sul%20Portugal/@37.1994,-8.2589,17z","⛰ Krazy World Zoo")</f>
        <v>⛰ Krazy World Zoo</v>
      </c>
    </row>
    <row r="54" spans="1:9" ht="110" customHeight="1" x14ac:dyDescent="0.35">
      <c r="A54" s="336">
        <v>50</v>
      </c>
      <c r="B54" s="242" t="s">
        <v>6438</v>
      </c>
      <c r="C54" s="243" t="s">
        <v>767</v>
      </c>
      <c r="D54" s="242" t="str">
        <f>HYPERLINK("https://wildwatch.pt","wildwatch.pt")</f>
        <v>wildwatch.pt</v>
      </c>
      <c r="E54" s="242" t="s">
        <v>6439</v>
      </c>
      <c r="F54" s="242" t="s">
        <v>6440</v>
      </c>
      <c r="G54" s="244"/>
      <c r="H54" s="305" t="s">
        <v>6441</v>
      </c>
      <c r="I54" s="258" t="str">
        <f>HYPERLINK("https://www.google.com/maps/search/Wildwatch%20Algarve%20Sul%20Portugal/@37.1242,-8.5208,17z","⛰ Wildwatch Algarve")</f>
        <v>⛰ Wildwatch Algarve</v>
      </c>
    </row>
    <row r="55" spans="1:9" ht="110" customHeight="1" x14ac:dyDescent="0.35">
      <c r="A55" s="338">
        <v>51</v>
      </c>
      <c r="B55" s="239" t="s">
        <v>6442</v>
      </c>
      <c r="C55" s="240" t="s">
        <v>767</v>
      </c>
      <c r="D55" s="239" t="str">
        <f>HYPERLINK("https://natural.pt","natural.pt")</f>
        <v>natural.pt</v>
      </c>
      <c r="E55" s="239" t="s">
        <v>5528</v>
      </c>
      <c r="F55" s="239" t="s">
        <v>5527</v>
      </c>
      <c r="G55" s="241"/>
      <c r="H55" s="304" t="s">
        <v>6443</v>
      </c>
      <c r="I55" s="257" t="str">
        <f>HYPERLINK("https://www.google.com/maps/search/Ria%20Formosa%20%28Quinta%20de%20Marim%29%20Sul%20Portugal/@37.0319,-7.8208,17z","⛰ Ria Formosa (Quinta de Marim)")</f>
        <v>⛰ Ria Formosa (Quinta de Marim)</v>
      </c>
    </row>
    <row r="56" spans="1:9" ht="110" customHeight="1" x14ac:dyDescent="0.35">
      <c r="A56" s="336">
        <v>52</v>
      </c>
      <c r="B56" s="242" t="s">
        <v>6444</v>
      </c>
      <c r="C56" s="243" t="s">
        <v>767</v>
      </c>
      <c r="D56" s="242" t="str">
        <f>HYPERLINK("https://algarvebuggytours.com","algarvebuggytours.com")</f>
        <v>algarvebuggytours.com</v>
      </c>
      <c r="E56" s="242" t="s">
        <v>6445</v>
      </c>
      <c r="F56" s="242" t="s">
        <v>2172</v>
      </c>
      <c r="G56" s="244"/>
      <c r="H56" s="305" t="s">
        <v>6446</v>
      </c>
      <c r="I56" s="258" t="str">
        <f>HYPERLINK("https://www.google.com/maps/search/Algarve%20Buggy%20Tours%20Sul%20Portugal/@37.1439,-8.0169,17z","⛰ Algarve Buggy Tours")</f>
        <v>⛰ Algarve Buggy Tours</v>
      </c>
    </row>
    <row r="57" spans="1:9" ht="110" customHeight="1" x14ac:dyDescent="0.35">
      <c r="A57" s="338">
        <v>53</v>
      </c>
      <c r="B57" s="239" t="s">
        <v>6447</v>
      </c>
      <c r="C57" s="240" t="s">
        <v>767</v>
      </c>
      <c r="D57" s="239" t="str">
        <f>HYPERLINK("https://luso-aventura.com","luso-aventura.com")</f>
        <v>luso-aventura.com</v>
      </c>
      <c r="E57" s="239" t="s">
        <v>6314</v>
      </c>
      <c r="F57" s="239" t="s">
        <v>6448</v>
      </c>
      <c r="G57" s="241"/>
      <c r="H57" s="304" t="s">
        <v>6449</v>
      </c>
      <c r="I57" s="257" t="str">
        <f>HYPERLINK("https://www.google.com/maps/search/Luso%20Aventura%20VRSA%20Sul%20Portugal/@37.1858,-7.4258,17z","⛰ Luso Aventura VRSA")</f>
        <v>⛰ Luso Aventura VRSA</v>
      </c>
    </row>
    <row r="58" spans="1:9" ht="110" customHeight="1" x14ac:dyDescent="0.35">
      <c r="A58" s="336">
        <v>54</v>
      </c>
      <c r="B58" s="242" t="s">
        <v>6450</v>
      </c>
      <c r="C58" s="243" t="s">
        <v>853</v>
      </c>
      <c r="D58" s="242" t="str">
        <f>HYPERLINK("https://herdadedogaleado.pt","herdadedogaleado.pt")</f>
        <v>herdadedogaleado.pt</v>
      </c>
      <c r="E58" s="242" t="s">
        <v>6451</v>
      </c>
      <c r="F58" s="242" t="s">
        <v>6452</v>
      </c>
      <c r="G58" s="244"/>
      <c r="H58" s="305" t="s">
        <v>6453</v>
      </c>
      <c r="I58" s="258" t="str">
        <f>HYPERLINK("https://www.google.com/maps/search/Galeado%20Cavalo%20Sul%20Portugal/@37.7289,-8.7711,17z","⛰ Galeado Cavalo")</f>
        <v>⛰ Galeado Cavalo</v>
      </c>
    </row>
    <row r="59" spans="1:9" ht="110" customHeight="1" x14ac:dyDescent="0.35">
      <c r="A59" s="338">
        <v>55</v>
      </c>
      <c r="B59" s="239" t="s">
        <v>6454</v>
      </c>
      <c r="C59" s="240" t="s">
        <v>853</v>
      </c>
      <c r="D59" s="239" t="str">
        <f>HYPERLINK("https://surfmilfontes.com","surfmilfontes.com")</f>
        <v>surfmilfontes.com</v>
      </c>
      <c r="E59" s="239" t="s">
        <v>6455</v>
      </c>
      <c r="F59" s="239" t="s">
        <v>6456</v>
      </c>
      <c r="G59" s="241"/>
      <c r="H59" s="304" t="s">
        <v>6457</v>
      </c>
      <c r="I59" s="257" t="str">
        <f>HYPERLINK("https://www.google.com/maps/search/Surf%20Milfontes%20Sul%20Portugal/@37.7772,-8.795,17z","⛰ Surf Milfontes")</f>
        <v>⛰ Surf Milfontes</v>
      </c>
    </row>
    <row r="60" spans="1:9" ht="110" customHeight="1" x14ac:dyDescent="0.35">
      <c r="A60" s="336">
        <v>56</v>
      </c>
      <c r="B60" s="242" t="s">
        <v>6458</v>
      </c>
      <c r="C60" s="243" t="s">
        <v>853</v>
      </c>
      <c r="D60" s="242" t="str">
        <f>HYPERLINK("https://ecoparkalentejo.com","ecoparkalentejo.com")</f>
        <v>ecoparkalentejo.com</v>
      </c>
      <c r="E60" s="242" t="s">
        <v>6459</v>
      </c>
      <c r="F60" s="242" t="s">
        <v>6161</v>
      </c>
      <c r="G60" s="244"/>
      <c r="H60" s="305" t="s">
        <v>6460</v>
      </c>
      <c r="I60" s="258" t="str">
        <f>HYPERLINK("https://www.google.com/maps/search/Eco-Park%20Alentejo%20Sul%20Portugal/@38.2583,-8.7305,17z","⛰ Eco-Park Alentejo")</f>
        <v>⛰ Eco-Park Alentejo</v>
      </c>
    </row>
    <row r="61" spans="1:9" ht="110" customHeight="1" x14ac:dyDescent="0.35">
      <c r="A61" s="338">
        <v>57</v>
      </c>
      <c r="B61" s="239" t="s">
        <v>6461</v>
      </c>
      <c r="C61" s="240" t="s">
        <v>913</v>
      </c>
      <c r="D61" s="239" t="str">
        <f>HYPERLINK("https://ribatejoaventura.com","ribatejoaventura.com")</f>
        <v>ribatejoaventura.com</v>
      </c>
      <c r="E61" s="239" t="s">
        <v>6462</v>
      </c>
      <c r="F61" s="239" t="s">
        <v>5726</v>
      </c>
      <c r="G61" s="241"/>
      <c r="H61" s="304" t="s">
        <v>6463</v>
      </c>
      <c r="I61" s="257" t="str">
        <f>HYPERLINK("https://www.google.com/maps/search/Ribatejo%20Aventura%20Sul%20Portugal/@38.9583,-8.5125,17z","⛰ Ribatejo Aventura")</f>
        <v>⛰ Ribatejo Aventura</v>
      </c>
    </row>
    <row r="62" spans="1:9" ht="110" customHeight="1" x14ac:dyDescent="0.35">
      <c r="A62" s="336">
        <v>58</v>
      </c>
      <c r="B62" s="242" t="s">
        <v>6464</v>
      </c>
      <c r="C62" s="243" t="s">
        <v>767</v>
      </c>
      <c r="D62" s="242" t="str">
        <f>HYPERLINK("https://algarve-adventure.com","algarve-adventure.com")</f>
        <v>algarve-adventure.com</v>
      </c>
      <c r="E62" s="242" t="s">
        <v>6465</v>
      </c>
      <c r="F62" s="242" t="s">
        <v>2194</v>
      </c>
      <c r="G62" s="244"/>
      <c r="H62" s="305" t="s">
        <v>6466</v>
      </c>
      <c r="I62" s="258" t="str">
        <f>HYPERLINK("https://www.google.com/maps/search/Algarve%20Adventure%20%28Aljezur%29%20Sul%20Portugal/@37.3189,-8.8628,17z","⛰ Algarve Adventure (Aljezur)")</f>
        <v>⛰ Algarve Adventure (Aljezur)</v>
      </c>
    </row>
    <row r="63" spans="1:9" ht="110" customHeight="1" x14ac:dyDescent="0.35">
      <c r="A63" s="338">
        <v>59</v>
      </c>
      <c r="B63" s="239" t="s">
        <v>6467</v>
      </c>
      <c r="C63" s="240" t="s">
        <v>767</v>
      </c>
      <c r="D63" s="239" t="str">
        <f>HYPERLINK("https://familygolfpark.pt","familygolfpark.pt")</f>
        <v>familygolfpark.pt</v>
      </c>
      <c r="E63" s="239" t="s">
        <v>6468</v>
      </c>
      <c r="F63" s="239" t="s">
        <v>6469</v>
      </c>
      <c r="G63" s="241"/>
      <c r="H63" s="304" t="s">
        <v>6470</v>
      </c>
      <c r="I63" s="257" t="str">
        <f>HYPERLINK("https://www.google.com/maps/search/Family%20Golf%20Park%20Sul%20Portugal/@37.0789,-8.1183,17z","⛰ Family Golf Park")</f>
        <v>⛰ Family Golf Park</v>
      </c>
    </row>
    <row r="64" spans="1:9" ht="110" customHeight="1" x14ac:dyDescent="0.35">
      <c r="A64" s="336">
        <v>60</v>
      </c>
      <c r="B64" s="242" t="s">
        <v>6471</v>
      </c>
      <c r="C64" s="243" t="s">
        <v>767</v>
      </c>
      <c r="D64" s="242" t="str">
        <f>HYPERLINK("https://toursandtracks.pt","toursandtracks.pt")</f>
        <v>toursandtracks.pt</v>
      </c>
      <c r="E64" s="242" t="s">
        <v>6472</v>
      </c>
      <c r="F64" s="242" t="s">
        <v>2186</v>
      </c>
      <c r="G64" s="244"/>
      <c r="H64" s="305" t="s">
        <v>6377</v>
      </c>
      <c r="I64" s="258" t="str">
        <f>HYPERLINK("https://www.google.com/maps/search/Tours%20%26%20Tracks%20Sul%20Portugal/@37.0905,-8.2458,17z","⛰ Tours &amp; Tracks")</f>
        <v>⛰ Tours &amp; Tracks</v>
      </c>
    </row>
    <row r="65" spans="1:9" ht="110" customHeight="1" x14ac:dyDescent="0.35">
      <c r="A65" s="338">
        <v>61</v>
      </c>
      <c r="B65" s="239" t="s">
        <v>6473</v>
      </c>
      <c r="C65" s="240" t="s">
        <v>792</v>
      </c>
      <c r="D65" s="239" t="str">
        <f>HYPERLINK("https://toboga.pt","toboga.pt")</f>
        <v>toboga.pt</v>
      </c>
      <c r="E65" s="239" t="s">
        <v>6299</v>
      </c>
      <c r="F65" s="239" t="s">
        <v>1864</v>
      </c>
      <c r="G65" s="241"/>
      <c r="H65" s="304" t="s">
        <v>6474</v>
      </c>
      <c r="I65" s="257" t="str">
        <f>HYPERLINK("https://www.google.com/maps/search/Tobog%C3%A3%20%E2%80%94%20Canyoning%20Ger%C3%AAs%20Norte%20Portugal/@41.8464,-8.4189,17z","⛰ Tobogã — Canyoning Gerês")</f>
        <v>⛰ Tobogã — Canyoning Gerês</v>
      </c>
    </row>
    <row r="66" spans="1:9" ht="110" customHeight="1" x14ac:dyDescent="0.35">
      <c r="A66" s="336">
        <v>62</v>
      </c>
      <c r="B66" s="242" t="s">
        <v>6475</v>
      </c>
      <c r="C66" s="243" t="s">
        <v>792</v>
      </c>
      <c r="D66" s="242" t="str">
        <f>HYPERLINK("http://www.portoaventura.com","portoaventura.com")</f>
        <v>portoaventura.com</v>
      </c>
      <c r="E66" s="242" t="s">
        <v>6311</v>
      </c>
      <c r="F66" s="242" t="s">
        <v>6476</v>
      </c>
      <c r="G66" s="244"/>
      <c r="H66" s="305" t="s">
        <v>6312</v>
      </c>
      <c r="I66" s="258" t="str">
        <f>HYPERLINK("https://www.google.com/maps/search/Porto%20Aventura%20%28Matosinhos%29%20Norte%20Portugal/@41.1736,-8.6865,17z","⛰ Porto Aventura (Matosinhos)")</f>
        <v>⛰ Porto Aventura (Matosinhos)</v>
      </c>
    </row>
    <row r="67" spans="1:9" ht="110" customHeight="1" x14ac:dyDescent="0.35">
      <c r="A67" s="338">
        <v>63</v>
      </c>
      <c r="B67" s="239" t="s">
        <v>6477</v>
      </c>
      <c r="C67" s="240" t="s">
        <v>792</v>
      </c>
      <c r="D67" s="239" t="str">
        <f>HYPERLINK("https://pertodogeres.pt","pertodogeres.pt")</f>
        <v>pertodogeres.pt</v>
      </c>
      <c r="E67" s="239" t="s">
        <v>6321</v>
      </c>
      <c r="F67" s="239" t="s">
        <v>6322</v>
      </c>
      <c r="G67" s="241"/>
      <c r="H67" s="304" t="s">
        <v>6323</v>
      </c>
      <c r="I67" s="257" t="str">
        <f>HYPERLINK("https://www.google.com/maps/search/Perto%20do%20Ger%C3%AAs%20Norte%20Portugal/@41.6517,-8.1758,17z","⛰ Perto do Gerês")</f>
        <v>⛰ Perto do Gerês</v>
      </c>
    </row>
    <row r="68" spans="1:9" ht="110" customHeight="1" x14ac:dyDescent="0.35">
      <c r="A68" s="336">
        <v>64</v>
      </c>
      <c r="B68" s="242" t="s">
        <v>1469</v>
      </c>
      <c r="C68" s="243" t="s">
        <v>792</v>
      </c>
      <c r="D68" s="242" t="str">
        <f>HYPERLINK("https://visitgeres.com","visitgeres.com")</f>
        <v>visitgeres.com</v>
      </c>
      <c r="E68" s="242" t="s">
        <v>5484</v>
      </c>
      <c r="F68" s="242" t="s">
        <v>6345</v>
      </c>
      <c r="G68" s="244"/>
      <c r="H68" s="305" t="s">
        <v>6346</v>
      </c>
      <c r="I68" s="258" t="str">
        <f>HYPERLINK("https://www.google.com/maps/search/Cascata%20do%20Arado%20Norte%20Portugal/@41.7242,-8.1299,17z","⛰ Cascata do Arado")</f>
        <v>⛰ Cascata do Arado</v>
      </c>
    </row>
    <row r="69" spans="1:9" ht="110" customHeight="1" x14ac:dyDescent="0.35">
      <c r="A69" s="338">
        <v>65</v>
      </c>
      <c r="B69" s="239" t="s">
        <v>6478</v>
      </c>
      <c r="C69" s="240" t="s">
        <v>853</v>
      </c>
      <c r="D69" s="239" t="str">
        <f>HYPERLINK("https://natural.pt","natural.pt")</f>
        <v>natural.pt</v>
      </c>
      <c r="E69" s="239" t="s">
        <v>5484</v>
      </c>
      <c r="F69" s="239" t="s">
        <v>6081</v>
      </c>
      <c r="G69" s="241"/>
      <c r="H69" s="304" t="s">
        <v>6419</v>
      </c>
      <c r="I69" s="257" t="str">
        <f>HYPERLINK("https://www.google.com/maps/search/Pulo%20do%20Lobo%20%E2%80%94%20M%C3%A9rtola%20Sul%20Portugal/@37.8025,-7.6358,17z","⛰ Pulo do Lobo — Mértola")</f>
        <v>⛰ Pulo do Lobo — Mértola</v>
      </c>
    </row>
    <row r="70" spans="1:9" ht="110" customHeight="1" x14ac:dyDescent="0.35">
      <c r="A70" s="336">
        <v>66</v>
      </c>
      <c r="B70" s="242" t="s">
        <v>6479</v>
      </c>
      <c r="C70" s="243" t="s">
        <v>853</v>
      </c>
      <c r="D70" s="242" t="str">
        <f>HYPERLINK("https://www.amieiramarina.com","amieiramarina.com")</f>
        <v>amieiramarina.com</v>
      </c>
      <c r="E70" s="242" t="s">
        <v>6394</v>
      </c>
      <c r="F70" s="242" t="s">
        <v>6480</v>
      </c>
      <c r="G70" s="244"/>
      <c r="H70" s="305" t="s">
        <v>6481</v>
      </c>
      <c r="I70" s="258" t="str">
        <f>HYPERLINK("https://www.google.com/maps/search/Amieira%20Marina%20Sul%20Portugal/@38.2775,-7.5358,17z","⛰ Amieira Marina")</f>
        <v>⛰ Amieira Marina</v>
      </c>
    </row>
    <row r="71" spans="1:9" ht="110" customHeight="1" x14ac:dyDescent="0.35">
      <c r="A71" s="338">
        <v>67</v>
      </c>
      <c r="B71" s="239" t="s">
        <v>6482</v>
      </c>
      <c r="C71" s="240" t="s">
        <v>767</v>
      </c>
      <c r="D71" s="239" t="str">
        <f>HYPERLINK("https://autodromodoalgarve.com","autodromodoalgarve.com")</f>
        <v>autodromodoalgarve.com</v>
      </c>
      <c r="E71" s="239" t="s">
        <v>6398</v>
      </c>
      <c r="F71" s="239" t="s">
        <v>2205</v>
      </c>
      <c r="G71" s="241"/>
      <c r="H71" s="304" t="s">
        <v>6399</v>
      </c>
      <c r="I71" s="257" t="str">
        <f>HYPERLINK("https://www.google.com/maps/search/Aut%C3%B3dromo%20Internacional%20do%20Algarve%20Sul%20Portugal/@37.2311,-8.6258,17z","⛰ Autódromo Internacional do …")</f>
        <v>⛰ Autódromo Internacional do …</v>
      </c>
    </row>
    <row r="72" spans="1:9" ht="22" customHeight="1" x14ac:dyDescent="0.35">
      <c r="A72" s="1475" t="s">
        <v>6483</v>
      </c>
      <c r="B72" s="1313"/>
      <c r="C72" s="1313"/>
      <c r="D72" s="1313"/>
      <c r="E72" s="1313"/>
      <c r="F72" s="1313"/>
      <c r="G72" s="1313"/>
      <c r="H72" s="1313"/>
      <c r="I72" s="1313"/>
    </row>
    <row r="73" spans="1:9" ht="110" customHeight="1" x14ac:dyDescent="0.35">
      <c r="A73" s="358">
        <v>1</v>
      </c>
      <c r="B73" s="259" t="s">
        <v>6484</v>
      </c>
      <c r="C73" s="260" t="s">
        <v>836</v>
      </c>
      <c r="D73" s="259" t="str">
        <f>HYPERLINK("https://grutasmiradaire.com","grutasmiradaire.com")</f>
        <v>grutasmiradaire.com</v>
      </c>
      <c r="E73" s="259" t="s">
        <v>6485</v>
      </c>
      <c r="F73" s="259" t="s">
        <v>6486</v>
      </c>
      <c r="G73" s="261"/>
      <c r="H73" s="305" t="s">
        <v>6487</v>
      </c>
      <c r="I73" s="286" t="str">
        <f>HYPERLINK("https://www.google.com/maps/search/Grutas%20de%20Mira%20de%20Aire%20Centro%20Portugal/@39.5401,-8.7042,17z","⛰ Grutas de Mira de Aire")</f>
        <v>⛰ Grutas de Mira de Aire</v>
      </c>
    </row>
    <row r="74" spans="1:9" ht="110" customHeight="1" x14ac:dyDescent="0.35">
      <c r="A74" s="352">
        <v>2</v>
      </c>
      <c r="B74" s="262" t="s">
        <v>6488</v>
      </c>
      <c r="C74" s="263" t="s">
        <v>836</v>
      </c>
      <c r="D74" s="262" t="str">
        <f>HYPERLINK("https://skygarden.pt","skygarden.pt")</f>
        <v>skygarden.pt</v>
      </c>
      <c r="E74" s="262" t="s">
        <v>6489</v>
      </c>
      <c r="F74" s="262" t="s">
        <v>6490</v>
      </c>
      <c r="G74" s="264"/>
      <c r="H74" s="304" t="s">
        <v>6491</v>
      </c>
      <c r="I74" s="287" t="str">
        <f>HYPERLINK("https://www.google.com/maps/search/Sky%20Garden%20Coimbra%20Centro%20Portugal/@40.2057,-8.4217,17z","⛰ Sky Garden Coimbra")</f>
        <v>⛰ Sky Garden Coimbra</v>
      </c>
    </row>
    <row r="75" spans="1:9" ht="110" customHeight="1" x14ac:dyDescent="0.35">
      <c r="A75" s="358">
        <v>3</v>
      </c>
      <c r="B75" s="259" t="s">
        <v>6492</v>
      </c>
      <c r="C75" s="260" t="s">
        <v>836</v>
      </c>
      <c r="D75" s="259" t="str">
        <f>HYPERLINK("https://passadicosdomondego.pt","passadicosdomondego.pt")</f>
        <v>passadicosdomondego.pt</v>
      </c>
      <c r="E75" s="259" t="s">
        <v>6493</v>
      </c>
      <c r="F75" s="259" t="s">
        <v>3660</v>
      </c>
      <c r="G75" s="261"/>
      <c r="H75" s="305" t="s">
        <v>6494</v>
      </c>
      <c r="I75" s="286" t="str">
        <f>HYPERLINK("https://www.google.com/maps/search/Passadi%C3%A7os%20do%20Mondego%20Centro%20Portugal/@40.5408,-7.3486,17z","⛰ Passadiços do Mondego")</f>
        <v>⛰ Passadiços do Mondego</v>
      </c>
    </row>
    <row r="76" spans="1:9" ht="110" customHeight="1" x14ac:dyDescent="0.35">
      <c r="A76" s="352">
        <v>4</v>
      </c>
      <c r="B76" s="262" t="s">
        <v>6495</v>
      </c>
      <c r="C76" s="263" t="s">
        <v>836</v>
      </c>
      <c r="D76" s="262" t="str">
        <f>HYPERLINK("https://parquedosmonges.com","parquedosmonges.com")</f>
        <v>parquedosmonges.com</v>
      </c>
      <c r="E76" s="262" t="s">
        <v>6496</v>
      </c>
      <c r="F76" s="262" t="s">
        <v>6497</v>
      </c>
      <c r="G76" s="264"/>
      <c r="H76" s="304" t="s">
        <v>6498</v>
      </c>
      <c r="I76" s="287" t="str">
        <f>HYPERLINK("https://www.google.com/maps/search/Parque%20dos%20Monges%20Centro%20Portugal/@39.5397,-8.9664,17z","⛰ Parque dos Monges")</f>
        <v>⛰ Parque dos Monges</v>
      </c>
    </row>
    <row r="77" spans="1:9" ht="110" customHeight="1" x14ac:dyDescent="0.35">
      <c r="A77" s="358">
        <v>5</v>
      </c>
      <c r="B77" s="259" t="s">
        <v>6499</v>
      </c>
      <c r="C77" s="260" t="s">
        <v>836</v>
      </c>
      <c r="D77" s="259" t="str">
        <f>HYPERLINK("https://opioneirodomondego.com","opioneirodomondego.com")</f>
        <v>opioneirodomondego.com</v>
      </c>
      <c r="E77" s="259" t="s">
        <v>6500</v>
      </c>
      <c r="F77" s="259" t="s">
        <v>6501</v>
      </c>
      <c r="G77" s="261"/>
      <c r="H77" s="305" t="s">
        <v>6502</v>
      </c>
      <c r="I77" s="286" t="str">
        <f>HYPERLINK("https://www.google.com/maps/search/O%20Pioneiro%20%28Canoagem%29%20Centro%20Portugal/@40.2694,-8.2789,17z","⛰ O Pioneiro (Canoagem)")</f>
        <v>⛰ O Pioneiro (Canoagem)</v>
      </c>
    </row>
    <row r="78" spans="1:9" ht="110" customHeight="1" x14ac:dyDescent="0.35">
      <c r="A78" s="352">
        <v>6</v>
      </c>
      <c r="B78" s="262" t="s">
        <v>6503</v>
      </c>
      <c r="C78" s="263" t="s">
        <v>836</v>
      </c>
      <c r="D78" s="262" t="str">
        <f>HYPERLINK("https://skiserradaestrela.com","skiserradaestrela.com")</f>
        <v>skiserradaestrela.com</v>
      </c>
      <c r="E78" s="262" t="s">
        <v>6504</v>
      </c>
      <c r="F78" s="262" t="s">
        <v>6505</v>
      </c>
      <c r="G78" s="264"/>
      <c r="H78" s="304" t="s">
        <v>6506</v>
      </c>
      <c r="I78" s="287" t="str">
        <f>HYPERLINK("https://www.google.com/maps/search/Est%C3%A2ncia%20de%20Ski%20Estrela%20Centro%20Portugal/@40.3218,-7.6129,17z","⛰ Estância de Ski Estrela")</f>
        <v>⛰ Estância de Ski Estrela</v>
      </c>
    </row>
    <row r="79" spans="1:9" ht="110" customHeight="1" x14ac:dyDescent="0.35">
      <c r="A79" s="358">
        <v>7</v>
      </c>
      <c r="B79" s="259" t="s">
        <v>6507</v>
      </c>
      <c r="C79" s="260" t="s">
        <v>836</v>
      </c>
      <c r="D79" s="259" t="str">
        <f>HYPERLINK("https://fmb.pt","fmb.pt")</f>
        <v>fmb.pt</v>
      </c>
      <c r="E79" s="259" t="s">
        <v>6508</v>
      </c>
      <c r="F79" s="259" t="s">
        <v>6509</v>
      </c>
      <c r="G79" s="261"/>
      <c r="H79" s="305" t="s">
        <v>6510</v>
      </c>
      <c r="I79" s="286" t="str">
        <f>HYPERLINK("https://www.google.com/maps/search/Mata%20do%20Bu%C3%A7aco%20Centro%20Portugal/@40.3756,-8.3653,17z","⛰ Mata do Buçaco")</f>
        <v>⛰ Mata do Buçaco</v>
      </c>
    </row>
    <row r="80" spans="1:9" ht="110" customHeight="1" x14ac:dyDescent="0.35">
      <c r="A80" s="352">
        <v>8</v>
      </c>
      <c r="B80" s="262" t="s">
        <v>6511</v>
      </c>
      <c r="C80" s="263" t="s">
        <v>836</v>
      </c>
      <c r="D80" s="262" t="str">
        <f>HYPERLINK("https://cm-viladerei.pt","cm-viladerei.pt")</f>
        <v>cm-viladerei.pt</v>
      </c>
      <c r="E80" s="262" t="s">
        <v>6512</v>
      </c>
      <c r="F80" s="262" t="s">
        <v>6255</v>
      </c>
      <c r="G80" s="264"/>
      <c r="H80" s="304" t="s">
        <v>6513</v>
      </c>
      <c r="I80" s="287" t="str">
        <f>HYPERLINK("https://www.google.com/maps/search/Penedo%20Furado%20%28Vila%20de%20Rei%29%20Centro%20Portugal/@39.6247,-8.1633,17z","⛰ Penedo Furado (Vila de Rei)")</f>
        <v>⛰ Penedo Furado (Vila de Rei)</v>
      </c>
    </row>
    <row r="81" spans="1:9" ht="110" customHeight="1" x14ac:dyDescent="0.35">
      <c r="A81" s="358">
        <v>9</v>
      </c>
      <c r="B81" s="259" t="s">
        <v>6514</v>
      </c>
      <c r="C81" s="260" t="s">
        <v>836</v>
      </c>
      <c r="D81" s="259" t="str">
        <f>HYPERLINK("https://ohainazare.com","ohainazare.com")</f>
        <v>ohainazare.com</v>
      </c>
      <c r="E81" s="259" t="s">
        <v>6515</v>
      </c>
      <c r="F81" s="259" t="s">
        <v>6516</v>
      </c>
      <c r="G81" s="261"/>
      <c r="H81" s="305" t="s">
        <v>6517</v>
      </c>
      <c r="I81" s="286" t="str">
        <f>HYPERLINK("https://www.google.com/maps/search/Ohai%20Nazar%C3%A9%20Resort%20Centro%20Portugal/@39.6172,-9.0645,17z","⛰ Ohai Nazaré Resort")</f>
        <v>⛰ Ohai Nazaré Resort</v>
      </c>
    </row>
    <row r="82" spans="1:9" ht="110" customHeight="1" x14ac:dyDescent="0.35">
      <c r="A82" s="352">
        <v>10</v>
      </c>
      <c r="B82" s="262" t="s">
        <v>6518</v>
      </c>
      <c r="C82" s="263" t="s">
        <v>836</v>
      </c>
      <c r="D82" s="262" t="str">
        <f>HYPERLINK("https://penadaguaventura.pt","penadaguaventura.pt")</f>
        <v>penadaguaventura.pt</v>
      </c>
      <c r="E82" s="262" t="s">
        <v>6519</v>
      </c>
      <c r="F82" s="262" t="s">
        <v>6520</v>
      </c>
      <c r="G82" s="264"/>
      <c r="H82" s="304" t="s">
        <v>6521</v>
      </c>
      <c r="I82" s="287" t="str">
        <f>HYPERLINK("https://www.google.com/maps/search/Pena%20d%27%C3%81gua%20Aventura%20Centro%20Portugal/@40.2831,-7.5034,17z","⛰ Pena d'Água Aventura")</f>
        <v>⛰ Pena d'Água Aventura</v>
      </c>
    </row>
    <row r="83" spans="1:9" ht="110" customHeight="1" x14ac:dyDescent="0.35">
      <c r="A83" s="358">
        <v>11</v>
      </c>
      <c r="B83" s="259" t="s">
        <v>6522</v>
      </c>
      <c r="C83" s="260" t="s">
        <v>836</v>
      </c>
      <c r="D83" s="259" t="str">
        <f>HYPERLINK("https://grutasdamoeda.com","grutasdamoeda.com")</f>
        <v>grutasdamoeda.com</v>
      </c>
      <c r="E83" s="259" t="s">
        <v>6523</v>
      </c>
      <c r="F83" s="259" t="s">
        <v>6524</v>
      </c>
      <c r="G83" s="261"/>
      <c r="H83" s="305" t="s">
        <v>6525</v>
      </c>
      <c r="I83" s="286" t="str">
        <f>HYPERLINK("https://www.google.com/maps/search/Grutas%20da%20Moeda%20Centro%20Portugal/@39.6256,-8.7067,17z","⛰ Grutas da Moeda")</f>
        <v>⛰ Grutas da Moeda</v>
      </c>
    </row>
    <row r="84" spans="1:9" ht="110" customHeight="1" x14ac:dyDescent="0.35">
      <c r="A84" s="352">
        <v>12</v>
      </c>
      <c r="B84" s="262" t="s">
        <v>6526</v>
      </c>
      <c r="C84" s="263" t="s">
        <v>836</v>
      </c>
      <c r="D84" s="262" t="str">
        <f>HYPERLINK("https://municipio-portodemos.pt","municipio-portodemos.pt")</f>
        <v>municipio-portodemos.pt</v>
      </c>
      <c r="E84" s="262" t="s">
        <v>6527</v>
      </c>
      <c r="F84" s="262" t="s">
        <v>6528</v>
      </c>
      <c r="G84" s="264"/>
      <c r="H84" s="304" t="s">
        <v>6529</v>
      </c>
      <c r="I84" s="287" t="str">
        <f>HYPERLINK("https://www.google.com/maps/search/Grutas%20de%20Santo%20Ant%C3%B3nio%20Centro%20Portugal/@39.5085,-8.7523,17z","⛰ Grutas de Santo António")</f>
        <v>⛰ Grutas de Santo António</v>
      </c>
    </row>
    <row r="85" spans="1:9" ht="110" customHeight="1" x14ac:dyDescent="0.35">
      <c r="A85" s="358">
        <v>13</v>
      </c>
      <c r="B85" s="259" t="s">
        <v>6530</v>
      </c>
      <c r="C85" s="260" t="s">
        <v>836</v>
      </c>
      <c r="D85" s="259" t="str">
        <f>HYPERLINK("https://adfp.pt","adfp.pt")</f>
        <v>adfp.pt</v>
      </c>
      <c r="E85" s="259" t="s">
        <v>6531</v>
      </c>
      <c r="F85" s="259" t="s">
        <v>6532</v>
      </c>
      <c r="G85" s="261"/>
      <c r="H85" s="305" t="s">
        <v>6533</v>
      </c>
      <c r="I85" s="286" t="str">
        <f>HYPERLINK("https://www.google.com/maps/search/Parque%20Biol%C3%B3gico%20Lous%C3%A3%20Centro%20Portugal/@40.1417,-8.2714,17z","⛰ Parque Biológico Lousã")</f>
        <v>⛰ Parque Biológico Lousã</v>
      </c>
    </row>
    <row r="86" spans="1:9" ht="110" customHeight="1" x14ac:dyDescent="0.35">
      <c r="A86" s="352">
        <v>14</v>
      </c>
      <c r="B86" s="262" t="s">
        <v>6534</v>
      </c>
      <c r="C86" s="263" t="s">
        <v>836</v>
      </c>
      <c r="D86" s="262" t="str">
        <f>HYPERLINK("https://visitoleiros.pt","visitoleiros.pt")</f>
        <v>visitoleiros.pt</v>
      </c>
      <c r="E86" s="262" t="s">
        <v>6535</v>
      </c>
      <c r="F86" s="262" t="s">
        <v>6536</v>
      </c>
      <c r="G86" s="264"/>
      <c r="H86" s="304" t="s">
        <v>6537</v>
      </c>
      <c r="I86" s="287" t="str">
        <f>HYPERLINK("https://www.google.com/maps/search/Passadi%C3%A7os%20do%20Orvalho%20Centro%20Portugal/@40.0305,-7.7885,17z","⛰ Passadiços do Orvalho")</f>
        <v>⛰ Passadiços do Orvalho</v>
      </c>
    </row>
    <row r="87" spans="1:9" ht="110" customHeight="1" x14ac:dyDescent="0.35">
      <c r="A87" s="358">
        <v>15</v>
      </c>
      <c r="B87" s="259" t="s">
        <v>6538</v>
      </c>
      <c r="C87" s="260" t="s">
        <v>836</v>
      </c>
      <c r="D87" s="259" t="str">
        <f>HYPERLINK("https://vela2000.com","vela2000.com")</f>
        <v>vela2000.com</v>
      </c>
      <c r="E87" s="259" t="s">
        <v>6539</v>
      </c>
      <c r="F87" s="259" t="s">
        <v>6540</v>
      </c>
      <c r="G87" s="261"/>
      <c r="H87" s="305" t="s">
        <v>6541</v>
      </c>
      <c r="I87" s="286" t="str">
        <f>HYPERLINK("https://www.google.com/maps/search/Vela%202000%20%28Castelo%20do%20Bode%29%20Centro%20Portugal/@39.5492,-8.3045,17z","⛰ Vela 2000 (Castelo do Bode)")</f>
        <v>⛰ Vela 2000 (Castelo do Bode)</v>
      </c>
    </row>
    <row r="88" spans="1:9" ht="110" customHeight="1" x14ac:dyDescent="0.35">
      <c r="A88" s="352">
        <v>16</v>
      </c>
      <c r="B88" s="262" t="s">
        <v>6542</v>
      </c>
      <c r="C88" s="263" t="s">
        <v>836</v>
      </c>
      <c r="D88" s="262" t="str">
        <f>HYPERLINK("https://transserrano.com","transserrano.com")</f>
        <v>transserrano.com</v>
      </c>
      <c r="E88" s="262" t="s">
        <v>6543</v>
      </c>
      <c r="F88" s="262" t="s">
        <v>2481</v>
      </c>
      <c r="G88" s="264"/>
      <c r="H88" s="304" t="s">
        <v>6544</v>
      </c>
      <c r="I88" s="287" t="str">
        <f>HYPERLINK("https://www.google.com/maps/search/Transserrano%20%28G%C3%B3is%29%20Centro%20Portugal/@40.1539,-8.1105,17z","⛰ Transserrano (Góis)")</f>
        <v>⛰ Transserrano (Góis)</v>
      </c>
    </row>
    <row r="89" spans="1:9" ht="110" customHeight="1" x14ac:dyDescent="0.35">
      <c r="A89" s="358">
        <v>17</v>
      </c>
      <c r="B89" s="259" t="s">
        <v>6545</v>
      </c>
      <c r="C89" s="260" t="s">
        <v>836</v>
      </c>
      <c r="D89" s="259" t="str">
        <f>HYPERLINK("https://turismoriomaior.pt","turismoriomaior.pt")</f>
        <v>turismoriomaior.pt</v>
      </c>
      <c r="E89" s="259" t="s">
        <v>6546</v>
      </c>
      <c r="F89" s="259" t="s">
        <v>5941</v>
      </c>
      <c r="G89" s="261"/>
      <c r="H89" s="305" t="s">
        <v>6547</v>
      </c>
      <c r="I89" s="286" t="str">
        <f>HYPERLINK("https://www.google.com/maps/search/Salinas%20de%20Rio%20Maior%20Centro%20Portugal/@39.3621,-8.9463,17z","⛰ Salinas de Rio Maior")</f>
        <v>⛰ Salinas de Rio Maior</v>
      </c>
    </row>
    <row r="90" spans="1:9" ht="110" customHeight="1" x14ac:dyDescent="0.35">
      <c r="A90" s="352">
        <v>18</v>
      </c>
      <c r="B90" s="262" t="s">
        <v>1711</v>
      </c>
      <c r="C90" s="263" t="s">
        <v>836</v>
      </c>
      <c r="D90" s="262" t="str">
        <f>HYPERLINK("https://naturtejo.com","naturtejo.com")</f>
        <v>naturtejo.com</v>
      </c>
      <c r="E90" s="262" t="s">
        <v>5509</v>
      </c>
      <c r="F90" s="262" t="s">
        <v>1713</v>
      </c>
      <c r="G90" s="264"/>
      <c r="H90" s="304" t="s">
        <v>6548</v>
      </c>
      <c r="I90" s="287" t="str">
        <f>HYPERLINK("https://www.google.com/maps/search/Naturtejo%20Geopark%20UNESCO%20Centro%20Portugal/@39.8247,-7.4912,17z","⛰ Naturtejo Geopark UNESCO")</f>
        <v>⛰ Naturtejo Geopark UNESCO</v>
      </c>
    </row>
    <row r="91" spans="1:9" ht="110" customHeight="1" x14ac:dyDescent="0.35">
      <c r="A91" s="358">
        <v>19</v>
      </c>
      <c r="B91" s="259" t="s">
        <v>6549</v>
      </c>
      <c r="C91" s="260" t="s">
        <v>836</v>
      </c>
      <c r="D91" s="259" t="str">
        <f>HYPERLINK("https://sportagua.com.pt","sportagua.com.pt")</f>
        <v>sportagua.com.pt</v>
      </c>
      <c r="E91" s="259" t="s">
        <v>6550</v>
      </c>
      <c r="F91" s="259" t="s">
        <v>6551</v>
      </c>
      <c r="G91" s="261"/>
      <c r="H91" s="305" t="s">
        <v>6552</v>
      </c>
      <c r="I91" s="286" t="str">
        <f>HYPERLINK("https://www.google.com/maps/search/Sport%C3%A1gua%20%28Peniche%29%20Centro%20Portugal/@39.3639,-9.3685,17z","⛰ Sportágua (Peniche)")</f>
        <v>⛰ Sportágua (Peniche)</v>
      </c>
    </row>
    <row r="92" spans="1:9" ht="110" customHeight="1" x14ac:dyDescent="0.35">
      <c r="A92" s="352">
        <v>20</v>
      </c>
      <c r="B92" s="262" t="s">
        <v>6553</v>
      </c>
      <c r="C92" s="263" t="s">
        <v>836</v>
      </c>
      <c r="D92" s="262" t="str">
        <f>HYPERLINK("https://promar-ecohotel.pt","promar-ecohotel.pt")</f>
        <v>promar-ecohotel.pt</v>
      </c>
      <c r="E92" s="262" t="s">
        <v>6554</v>
      </c>
      <c r="F92" s="262" t="s">
        <v>6555</v>
      </c>
      <c r="G92" s="264"/>
      <c r="H92" s="304" t="s">
        <v>6556</v>
      </c>
      <c r="I92" s="287" t="str">
        <f>HYPERLINK("https://www.google.com/maps/search/Promar%20Porto%20Novo%20Centro%20Portugal/@39.1814,-9.3551,17z","⛰ Promar Porto Novo")</f>
        <v>⛰ Promar Porto Novo</v>
      </c>
    </row>
    <row r="93" spans="1:9" ht="110" customHeight="1" x14ac:dyDescent="0.35">
      <c r="A93" s="358">
        <v>21</v>
      </c>
      <c r="B93" s="259" t="s">
        <v>1475</v>
      </c>
      <c r="C93" s="260" t="s">
        <v>836</v>
      </c>
      <c r="D93" s="259" t="str">
        <f>HYPERLINK("https://visitarganil.pt","visitarganil.pt")</f>
        <v>visitarganil.pt</v>
      </c>
      <c r="E93" s="259" t="s">
        <v>6557</v>
      </c>
      <c r="F93" s="259" t="s">
        <v>6558</v>
      </c>
      <c r="G93" s="261"/>
      <c r="H93" s="305" t="s">
        <v>6559</v>
      </c>
      <c r="I93" s="286" t="str">
        <f>HYPERLINK("https://www.google.com/maps/search/Fraga%20da%20Pena%20Centro%20Portugal/@40.1842,-7.9351,17z","⛰ Fraga da Pena")</f>
        <v>⛰ Fraga da Pena</v>
      </c>
    </row>
    <row r="94" spans="1:9" ht="110" customHeight="1" x14ac:dyDescent="0.35">
      <c r="A94" s="352">
        <v>22</v>
      </c>
      <c r="B94" s="262" t="s">
        <v>6560</v>
      </c>
      <c r="C94" s="263" t="s">
        <v>836</v>
      </c>
      <c r="D94" s="262" t="str">
        <f>HYPERLINK("https://aldeiasdoxisto.pt","aldeiasdoxisto.pt")</f>
        <v>aldeiasdoxisto.pt</v>
      </c>
      <c r="E94" s="262" t="s">
        <v>6561</v>
      </c>
      <c r="F94" s="262" t="s">
        <v>5487</v>
      </c>
      <c r="G94" s="264"/>
      <c r="H94" s="304" t="s">
        <v>6562</v>
      </c>
      <c r="I94" s="287" t="str">
        <f>HYPERLINK("https://www.google.com/maps/search/Aldeia%20do%20Talasnal%20Centro%20Portugal/@40.1044,-8.2289,17z","⛰ Aldeia do Talasnal")</f>
        <v>⛰ Aldeia do Talasnal</v>
      </c>
    </row>
    <row r="95" spans="1:9" ht="110" customHeight="1" x14ac:dyDescent="0.35">
      <c r="A95" s="358">
        <v>23</v>
      </c>
      <c r="B95" s="259" t="s">
        <v>6563</v>
      </c>
      <c r="C95" s="260" t="s">
        <v>836</v>
      </c>
      <c r="D95" s="259" t="str">
        <f>HYPERLINK("https://exploratorio.pt","exploratorio.pt")</f>
        <v>exploratorio.pt</v>
      </c>
      <c r="E95" s="259" t="s">
        <v>6564</v>
      </c>
      <c r="F95" s="259" t="s">
        <v>5497</v>
      </c>
      <c r="G95" s="261"/>
      <c r="H95" s="305" t="s">
        <v>6491</v>
      </c>
      <c r="I95" s="286" t="str">
        <f>HYPERLINK("https://www.google.com/maps/search/Borbolet%C3%A1rio%20de%20Ceira%20Centro%20Portugal/@40.1785,-8.4021,17z","⛰ Borboletário de Ceira")</f>
        <v>⛰ Borboletário de Ceira</v>
      </c>
    </row>
    <row r="96" spans="1:9" ht="110" customHeight="1" x14ac:dyDescent="0.35">
      <c r="A96" s="352">
        <v>24</v>
      </c>
      <c r="B96" s="262" t="s">
        <v>6565</v>
      </c>
      <c r="C96" s="263" t="s">
        <v>836</v>
      </c>
      <c r="D96" s="262" t="str">
        <f>HYPERLINK("https://constancia.cienciaviva.pt","constancia.cienciaviva.pt")</f>
        <v>constancia.cienciaviva.pt</v>
      </c>
      <c r="E96" s="262" t="s">
        <v>6566</v>
      </c>
      <c r="F96" s="262" t="s">
        <v>6238</v>
      </c>
      <c r="G96" s="264"/>
      <c r="H96" s="304" t="s">
        <v>6567</v>
      </c>
      <c r="I96" s="287" t="str">
        <f>HYPERLINK("https://www.google.com/maps/search/Ci%C3%AAncia%20Viva%20Const%C3%A2ncia%20Centro%20Portugal/@39.4795,-8.3414,17z","⛰ Ciência Viva Constância")</f>
        <v>⛰ Ciência Viva Constância</v>
      </c>
    </row>
    <row r="97" spans="1:9" ht="110" customHeight="1" x14ac:dyDescent="0.35">
      <c r="A97" s="358">
        <v>25</v>
      </c>
      <c r="B97" s="259" t="s">
        <v>6568</v>
      </c>
      <c r="C97" s="260" t="s">
        <v>836</v>
      </c>
      <c r="D97" s="259" t="str">
        <f>HYPERLINK("https://inature.pt","inature.pt")</f>
        <v>inature.pt</v>
      </c>
      <c r="E97" s="259" t="s">
        <v>6569</v>
      </c>
      <c r="F97" s="259" t="s">
        <v>6570</v>
      </c>
      <c r="G97" s="261"/>
      <c r="H97" s="305" t="s">
        <v>6571</v>
      </c>
      <c r="I97" s="286" t="str">
        <f>HYPERLINK("https://www.google.com/maps/search/Reserva%20da%20Malcata%20Centro%20Portugal/@40.2721,-6.9535,17z","⛰ Reserva da Malcata")</f>
        <v>⛰ Reserva da Malcata</v>
      </c>
    </row>
    <row r="98" spans="1:9" ht="110" customHeight="1" x14ac:dyDescent="0.35">
      <c r="A98" s="352">
        <v>26</v>
      </c>
      <c r="B98" s="262" t="s">
        <v>6572</v>
      </c>
      <c r="C98" s="263" t="s">
        <v>836</v>
      </c>
      <c r="D98" s="262" t="str">
        <f>HYPERLINK("https://turismodocentro.pt","turismodocentro.pt")</f>
        <v>turismodocentro.pt</v>
      </c>
      <c r="E98" s="262" t="s">
        <v>6573</v>
      </c>
      <c r="F98" s="262" t="s">
        <v>2459</v>
      </c>
      <c r="G98" s="264"/>
      <c r="H98" s="304" t="s">
        <v>6574</v>
      </c>
      <c r="I98" s="287" t="str">
        <f>HYPERLINK("https://www.google.com/maps/search/Praia%20Fluvial%20de%20Loriga%20Centro%20Portugal/@40.3283,-7.6806,17z","⛰ Praia Fluvial de Loriga")</f>
        <v>⛰ Praia Fluvial de Loriga</v>
      </c>
    </row>
    <row r="99" spans="1:9" ht="110" customHeight="1" x14ac:dyDescent="0.35">
      <c r="A99" s="358">
        <v>27</v>
      </c>
      <c r="B99" s="259" t="s">
        <v>6575</v>
      </c>
      <c r="C99" s="260" t="s">
        <v>836</v>
      </c>
      <c r="D99" s="259" t="str">
        <f>HYPERLINK("https://adventurepark.pt","adventurepark.pt")</f>
        <v>adventurepark.pt</v>
      </c>
      <c r="E99" s="259" t="s">
        <v>6576</v>
      </c>
      <c r="F99" s="259" t="s">
        <v>6577</v>
      </c>
      <c r="G99" s="261"/>
      <c r="H99" s="305" t="s">
        <v>6578</v>
      </c>
      <c r="I99" s="286" t="str">
        <f>HYPERLINK("https://www.google.com/maps/search/Adventure%20Park%20Leiria%20Centro%20Portugal/@39.7121,-8.9322,17z","⛰ Adventure Park Leiria")</f>
        <v>⛰ Adventure Park Leiria</v>
      </c>
    </row>
    <row r="100" spans="1:9" ht="110" customHeight="1" x14ac:dyDescent="0.35">
      <c r="A100" s="352">
        <v>28</v>
      </c>
      <c r="B100" s="262" t="s">
        <v>6579</v>
      </c>
      <c r="C100" s="263" t="s">
        <v>836</v>
      </c>
      <c r="D100" s="262" t="str">
        <f>HYPERLINK("https://opioneirodomondego.com","opioneirodomondego.com")</f>
        <v>opioneirodomondego.com</v>
      </c>
      <c r="E100" s="262" t="s">
        <v>6500</v>
      </c>
      <c r="F100" s="262" t="s">
        <v>6501</v>
      </c>
      <c r="G100" s="264"/>
      <c r="H100" s="304" t="s">
        <v>6502</v>
      </c>
      <c r="I100" s="287" t="str">
        <f>HYPERLINK("https://www.google.com/maps/search/O%20Pioneiro%20%E2%80%94%20Canoagem%20Mondego%20Centro%20Portugal/@40.2694,-8.2789,17z","⛰ O Pioneiro — Canoagem Mondego")</f>
        <v>⛰ O Pioneiro — Canoagem Mondego</v>
      </c>
    </row>
    <row r="101" spans="1:9" ht="110" customHeight="1" x14ac:dyDescent="0.35">
      <c r="A101" s="358">
        <v>29</v>
      </c>
      <c r="B101" s="259" t="s">
        <v>6580</v>
      </c>
      <c r="C101" s="260" t="s">
        <v>836</v>
      </c>
      <c r="D101" s="259" t="str">
        <f>HYPERLINK("https://www.cm-viladerei.pt","cm-viladerei.pt")</f>
        <v>cm-viladerei.pt</v>
      </c>
      <c r="E101" s="259" t="s">
        <v>6512</v>
      </c>
      <c r="F101" s="259" t="s">
        <v>6255</v>
      </c>
      <c r="G101" s="261"/>
      <c r="H101" s="305" t="s">
        <v>6513</v>
      </c>
      <c r="I101" s="286" t="str">
        <f>HYPERLINK("https://www.google.com/maps/search/Penedo%20Furado%20Centro%20Portugal/@39.6247,-8.1633,17z","⛰ Penedo Furado")</f>
        <v>⛰ Penedo Furado</v>
      </c>
    </row>
    <row r="102" spans="1:9" ht="110" customHeight="1" x14ac:dyDescent="0.35">
      <c r="A102" s="352">
        <v>30</v>
      </c>
      <c r="B102" s="262" t="s">
        <v>6581</v>
      </c>
      <c r="C102" s="263" t="s">
        <v>836</v>
      </c>
      <c r="D102" s="262" t="str">
        <f>HYPERLINK("https://www.municipio-portodemos.pt","municipio-portodemos.pt")</f>
        <v>municipio-portodemos.pt</v>
      </c>
      <c r="E102" s="262" t="s">
        <v>6527</v>
      </c>
      <c r="F102" s="262" t="s">
        <v>6528</v>
      </c>
      <c r="G102" s="264"/>
      <c r="H102" s="304" t="s">
        <v>6529</v>
      </c>
      <c r="I102" s="287" t="str">
        <f>HYPERLINK("https://www.google.com/maps/search/Grutas%20de%20Santo%20Ant%C3%B3nio%20%28Porto%20de%20M%C3%B3s%29%20Centro%20Portugal/@39.5085,-8.7523,17z","⛰ Grutas de Santo António (Po…")</f>
        <v>⛰ Grutas de Santo António (Po…</v>
      </c>
    </row>
    <row r="103" spans="1:9" ht="110" customHeight="1" x14ac:dyDescent="0.35">
      <c r="A103" s="358">
        <v>31</v>
      </c>
      <c r="B103" s="259" t="s">
        <v>6582</v>
      </c>
      <c r="C103" s="260" t="s">
        <v>836</v>
      </c>
      <c r="D103" s="259" t="str">
        <f>HYPERLINK("https://www.adfp.pt","adfp.pt")</f>
        <v>adfp.pt</v>
      </c>
      <c r="E103" s="259" t="s">
        <v>6531</v>
      </c>
      <c r="F103" s="259" t="s">
        <v>6532</v>
      </c>
      <c r="G103" s="261"/>
      <c r="H103" s="305" t="s">
        <v>6533</v>
      </c>
      <c r="I103" s="286" t="str">
        <f>HYPERLINK("https://www.google.com/maps/search/Parque%20Biol%C3%B3gico%20da%20Lous%C3%A3%20Centro%20Portugal/@40.1417,-8.2714,17z","⛰ Parque Biológico da Lousã")</f>
        <v>⛰ Parque Biológico da Lousã</v>
      </c>
    </row>
    <row r="104" spans="1:9" ht="110" customHeight="1" x14ac:dyDescent="0.35">
      <c r="A104" s="352">
        <v>32</v>
      </c>
      <c r="B104" s="262" t="s">
        <v>6583</v>
      </c>
      <c r="C104" s="263" t="s">
        <v>836</v>
      </c>
      <c r="D104" s="262" t="str">
        <f>HYPERLINK("https://www.vela2000.com","vela2000.com")</f>
        <v>vela2000.com</v>
      </c>
      <c r="E104" s="262" t="s">
        <v>6539</v>
      </c>
      <c r="F104" s="262" t="s">
        <v>6540</v>
      </c>
      <c r="G104" s="264"/>
      <c r="H104" s="304" t="s">
        <v>6541</v>
      </c>
      <c r="I104" s="287" t="str">
        <f>HYPERLINK("https://www.google.com/maps/search/Vela%202000%20%E2%80%94%20Castelo%20do%20Bode%20Centro%20Portugal/@39.5492,-8.3045,17z","⛰ Vela 2000 — Castelo do Bode")</f>
        <v>⛰ Vela 2000 — Castelo do Bode</v>
      </c>
    </row>
    <row r="105" spans="1:9" ht="110" customHeight="1" x14ac:dyDescent="0.35">
      <c r="A105" s="358">
        <v>33</v>
      </c>
      <c r="B105" s="259" t="s">
        <v>6584</v>
      </c>
      <c r="C105" s="260" t="s">
        <v>836</v>
      </c>
      <c r="D105" s="259" t="str">
        <f>HYPERLINK("https://www.transserrano.com","transserrano.com")</f>
        <v>transserrano.com</v>
      </c>
      <c r="E105" s="259" t="s">
        <v>6543</v>
      </c>
      <c r="F105" s="259" t="s">
        <v>2481</v>
      </c>
      <c r="G105" s="261"/>
      <c r="H105" s="305" t="s">
        <v>6544</v>
      </c>
      <c r="I105" s="286" t="str">
        <f>HYPERLINK("https://www.google.com/maps/search/Transserrano%20Centro%20Portugal/@40.1539,-8.1105,17z","⛰ Transserrano")</f>
        <v>⛰ Transserrano</v>
      </c>
    </row>
    <row r="106" spans="1:9" ht="110" customHeight="1" x14ac:dyDescent="0.35">
      <c r="A106" s="352">
        <v>34</v>
      </c>
      <c r="B106" s="262" t="s">
        <v>6585</v>
      </c>
      <c r="C106" s="263" t="s">
        <v>836</v>
      </c>
      <c r="D106" s="262" t="str">
        <f>HYPERLINK("https://www.haliotis.pt","haliotis.pt")</f>
        <v>haliotis.pt</v>
      </c>
      <c r="E106" s="262" t="s">
        <v>6586</v>
      </c>
      <c r="F106" s="262" t="s">
        <v>6551</v>
      </c>
      <c r="G106" s="264"/>
      <c r="H106" s="304" t="s">
        <v>6552</v>
      </c>
      <c r="I106" s="287" t="str">
        <f>HYPERLINK("https://www.google.com/maps/search/Haliotis%20%E2%80%94%20Mergulho%20Peniche%20Centro%20Portugal/@39.3551,-9.3792,17z","⛰ Haliotis — Mergulho Peniche")</f>
        <v>⛰ Haliotis — Mergulho Peniche</v>
      </c>
    </row>
    <row r="107" spans="1:9" ht="110" customHeight="1" x14ac:dyDescent="0.35">
      <c r="A107" s="358">
        <v>35</v>
      </c>
      <c r="B107" s="259" t="s">
        <v>6587</v>
      </c>
      <c r="C107" s="260" t="s">
        <v>836</v>
      </c>
      <c r="D107" s="259" t="str">
        <f>HYPERLINK("http://sportagua.com.pt","sportagua.com.pt")</f>
        <v>sportagua.com.pt</v>
      </c>
      <c r="E107" s="259" t="s">
        <v>6550</v>
      </c>
      <c r="F107" s="259" t="s">
        <v>6551</v>
      </c>
      <c r="G107" s="261"/>
      <c r="H107" s="305" t="s">
        <v>6552</v>
      </c>
      <c r="I107" s="286" t="str">
        <f>HYPERLINK("https://www.google.com/maps/search/Sportagua%20Peniche%20Centro%20Portugal/@39.3639,-9.3685,17z","⛰ Sportagua Peniche")</f>
        <v>⛰ Sportagua Peniche</v>
      </c>
    </row>
    <row r="108" spans="1:9" ht="110" customHeight="1" x14ac:dyDescent="0.35">
      <c r="A108" s="352">
        <v>36</v>
      </c>
      <c r="B108" s="262" t="s">
        <v>6588</v>
      </c>
      <c r="C108" s="263" t="s">
        <v>836</v>
      </c>
      <c r="D108" s="262" t="str">
        <f>HYPERLINK("https://aldeiasdoxisto.pt","aldeiasdoxisto.pt")</f>
        <v>aldeiasdoxisto.pt</v>
      </c>
      <c r="E108" s="262" t="s">
        <v>6561</v>
      </c>
      <c r="F108" s="262" t="s">
        <v>5487</v>
      </c>
      <c r="G108" s="264"/>
      <c r="H108" s="304" t="s">
        <v>6562</v>
      </c>
      <c r="I108" s="287" t="str">
        <f>HYPERLINK("https://www.google.com/maps/search/Aldeia%20do%20Talasnal%20%E2%80%94%20Xisto%20Centro%20Portugal/@40.1044,-8.2289,17z","⛰ Aldeia do Talasnal — Xisto")</f>
        <v>⛰ Aldeia do Talasnal — Xisto</v>
      </c>
    </row>
    <row r="109" spans="1:9" ht="110" customHeight="1" x14ac:dyDescent="0.35">
      <c r="A109" s="358">
        <v>37</v>
      </c>
      <c r="B109" s="259" t="s">
        <v>6589</v>
      </c>
      <c r="C109" s="260" t="s">
        <v>836</v>
      </c>
      <c r="D109" s="259" t="str">
        <f>HYPERLINK("https://www.skiserradaestrela.com","skiserradaestrela.com")</f>
        <v>skiserradaestrela.com</v>
      </c>
      <c r="E109" s="259" t="s">
        <v>6504</v>
      </c>
      <c r="F109" s="259" t="s">
        <v>6505</v>
      </c>
      <c r="G109" s="261"/>
      <c r="H109" s="305" t="s">
        <v>6506</v>
      </c>
      <c r="I109" s="286" t="str">
        <f>HYPERLINK("https://www.google.com/maps/search/Est%C3%A2ncia%20de%20Ski%20Serra%20da%20Estrela%20Centro%20Portugal/@40.3218,-7.6129,17z","⛰ Estância de Ski Serra da Es…")</f>
        <v>⛰ Estância de Ski Serra da Es…</v>
      </c>
    </row>
    <row r="110" spans="1:9" ht="110" customHeight="1" x14ac:dyDescent="0.35">
      <c r="A110" s="352">
        <v>38</v>
      </c>
      <c r="B110" s="262" t="s">
        <v>6590</v>
      </c>
      <c r="C110" s="263" t="s">
        <v>836</v>
      </c>
      <c r="D110" s="262" t="str">
        <f>HYPERLINK("https://www.naturtejo.com","naturtejo.com")</f>
        <v>naturtejo.com</v>
      </c>
      <c r="E110" s="262" t="s">
        <v>5509</v>
      </c>
      <c r="F110" s="262" t="s">
        <v>1713</v>
      </c>
      <c r="G110" s="264"/>
      <c r="H110" s="304" t="s">
        <v>6548</v>
      </c>
      <c r="I110" s="287" t="str">
        <f>HYPERLINK("https://www.google.com/maps/search/Naturtejo%20Geopark%20Centro%20Portugal/@39.8247,-7.4912,17z","⛰ Naturtejo Geopark")</f>
        <v>⛰ Naturtejo Geopark</v>
      </c>
    </row>
    <row r="111" spans="1:9" ht="22" customHeight="1" x14ac:dyDescent="0.35">
      <c r="A111" s="1480" t="s">
        <v>3002</v>
      </c>
      <c r="B111" s="1313"/>
      <c r="C111" s="1313"/>
      <c r="D111" s="1313"/>
      <c r="E111" s="1313"/>
      <c r="F111" s="1313"/>
      <c r="G111" s="1313"/>
      <c r="H111" s="1313"/>
      <c r="I111" s="1313"/>
    </row>
    <row r="112" spans="1:9" ht="110" customHeight="1" x14ac:dyDescent="0.35">
      <c r="A112" s="360">
        <v>1</v>
      </c>
      <c r="B112" s="245" t="s">
        <v>6591</v>
      </c>
      <c r="C112" s="246" t="s">
        <v>913</v>
      </c>
      <c r="D112" s="245" t="str">
        <f>HYPERLINK("https://dinoparque.pt","dinoparque.pt")</f>
        <v>dinoparque.pt</v>
      </c>
      <c r="E112" s="245" t="s">
        <v>6592</v>
      </c>
      <c r="F112" s="245" t="s">
        <v>6593</v>
      </c>
      <c r="G112" s="247"/>
      <c r="H112" s="305" t="s">
        <v>6594</v>
      </c>
      <c r="I112" s="265" t="str">
        <f>HYPERLINK("https://www.google.com/maps/search/Dino%20Parque%20Lourinh%C3%A3%20Lisboa%20Portugal/@39.2785,-9.2891,17z","⛰ Dino Parque Lourinhã")</f>
        <v>⛰ Dino Parque Lourinhã</v>
      </c>
    </row>
    <row r="113" spans="1:9" ht="110" customHeight="1" x14ac:dyDescent="0.35">
      <c r="A113" s="340">
        <v>2</v>
      </c>
      <c r="B113" s="248" t="s">
        <v>6595</v>
      </c>
      <c r="C113" s="249" t="s">
        <v>913</v>
      </c>
      <c r="D113" s="248" t="str">
        <f>HYPERLINK("https://feelingberlengas.pt","feelingberlengas.pt")</f>
        <v>feelingberlengas.pt</v>
      </c>
      <c r="E113" s="248" t="s">
        <v>6596</v>
      </c>
      <c r="F113" s="248" t="s">
        <v>6597</v>
      </c>
      <c r="G113" s="250"/>
      <c r="H113" s="304" t="s">
        <v>6598</v>
      </c>
      <c r="I113" s="266" t="str">
        <f>HYPERLINK("https://www.google.com/maps/search/Feeling%20Berlengas%20Lisboa%20Portugal/@39.3547,-9.3789,17z","⛰ Feeling Berlengas")</f>
        <v>⛰ Feeling Berlengas</v>
      </c>
    </row>
    <row r="114" spans="1:9" ht="110" customHeight="1" x14ac:dyDescent="0.35">
      <c r="A114" s="360">
        <v>3</v>
      </c>
      <c r="B114" s="245" t="s">
        <v>6599</v>
      </c>
      <c r="C114" s="246" t="s">
        <v>913</v>
      </c>
      <c r="D114" s="245" t="str">
        <f>HYPERLINK("https://haliotis.pt","haliotis.pt")</f>
        <v>haliotis.pt</v>
      </c>
      <c r="E114" s="245" t="s">
        <v>6586</v>
      </c>
      <c r="F114" s="245" t="s">
        <v>6551</v>
      </c>
      <c r="G114" s="247"/>
      <c r="H114" s="305" t="s">
        <v>6600</v>
      </c>
      <c r="I114" s="265" t="str">
        <f>HYPERLINK("https://www.google.com/maps/search/Haliotis%20Peniche%20Lisboa%20Portugal/@39.3551,-9.3792,17z","⛰ Haliotis Peniche")</f>
        <v>⛰ Haliotis Peniche</v>
      </c>
    </row>
    <row r="115" spans="1:9" ht="22" customHeight="1" x14ac:dyDescent="0.35">
      <c r="A115" s="1369" t="s">
        <v>6601</v>
      </c>
      <c r="B115" s="1313"/>
      <c r="C115" s="1313"/>
      <c r="D115" s="1313"/>
      <c r="E115" s="1313"/>
      <c r="F115" s="1313"/>
      <c r="G115" s="1313"/>
      <c r="H115" s="1313"/>
      <c r="I115" s="1313"/>
    </row>
    <row r="116" spans="1:9" ht="110" customHeight="1" x14ac:dyDescent="0.35">
      <c r="A116" s="344">
        <v>1</v>
      </c>
      <c r="B116" s="281" t="s">
        <v>6602</v>
      </c>
      <c r="C116" s="282" t="s">
        <v>522</v>
      </c>
      <c r="D116" s="281" t="str">
        <f>HYPERLINK("https://parqueterranostra.com","parqueterranostra.com")</f>
        <v>parqueterranostra.com</v>
      </c>
      <c r="E116" s="281" t="s">
        <v>6603</v>
      </c>
      <c r="F116" s="281" t="s">
        <v>6604</v>
      </c>
      <c r="G116" s="283"/>
      <c r="H116" s="304" t="s">
        <v>6605</v>
      </c>
      <c r="I116" s="290" t="str">
        <f>HYPERLINK("https://www.google.com/maps/search/Terra%20Nostra%20%28Furnas%29%20A%C3%A7ores%20Portugal/@37.7731,-25.3311,17z","⛰ Terra Nostra (Furnas)")</f>
        <v>⛰ Terra Nostra (Furnas)</v>
      </c>
    </row>
    <row r="117" spans="1:9" ht="110" customHeight="1" x14ac:dyDescent="0.35">
      <c r="A117" s="342">
        <v>2</v>
      </c>
      <c r="B117" s="284" t="s">
        <v>6606</v>
      </c>
      <c r="C117" s="367" t="s">
        <v>522</v>
      </c>
      <c r="D117" s="284" t="str">
        <f>HYPERLINK("https://montanheiros.com","montanheiros.com")</f>
        <v>montanheiros.com</v>
      </c>
      <c r="E117" s="284" t="s">
        <v>6607</v>
      </c>
      <c r="F117" s="284" t="s">
        <v>1065</v>
      </c>
      <c r="G117" s="285"/>
      <c r="H117" s="305" t="s">
        <v>6608</v>
      </c>
      <c r="I117" s="364" t="str">
        <f>HYPERLINK("https://www.google.com/maps/search/Algar%20do%20Carv%C3%A3o%20A%C3%A7ores%20Portugal/@38.7289,-27.215,17z","⛰ Algar do Carvão")</f>
        <v>⛰ Algar do Carvão</v>
      </c>
    </row>
    <row r="118" spans="1:9" ht="110" customHeight="1" x14ac:dyDescent="0.35">
      <c r="A118" s="344">
        <v>3</v>
      </c>
      <c r="B118" s="281" t="s">
        <v>6041</v>
      </c>
      <c r="C118" s="282" t="s">
        <v>522</v>
      </c>
      <c r="D118" s="283" t="str">
        <f>HYPERLINK("https://parquesnaturais.azores.gov.pt","parquesnaturais.azores.gov.pt")</f>
        <v>parquesnaturais.azores.gov.pt</v>
      </c>
      <c r="E118" s="281" t="s">
        <v>6609</v>
      </c>
      <c r="F118" s="281" t="s">
        <v>2252</v>
      </c>
      <c r="G118" s="283"/>
      <c r="H118" s="304" t="s">
        <v>6610</v>
      </c>
      <c r="I118" s="290" t="str">
        <f>HYPERLINK("https://www.google.com/maps/search/Montanha%20do%20Pico%20A%C3%A7ores%20Portugal/@38.4686,-28.4831,17z","⛰ Montanha do Pico")</f>
        <v>⛰ Montanha do Pico</v>
      </c>
    </row>
    <row r="119" spans="1:9" ht="110" customHeight="1" x14ac:dyDescent="0.35">
      <c r="A119" s="342">
        <v>4</v>
      </c>
      <c r="B119" s="284" t="s">
        <v>6611</v>
      </c>
      <c r="C119" s="367" t="s">
        <v>522</v>
      </c>
      <c r="D119" s="285" t="str">
        <f>HYPERLINK("https://parquesnaturais.azores.gov.pt","parquesnaturais.azores.gov.pt")</f>
        <v>parquesnaturais.azores.gov.pt</v>
      </c>
      <c r="E119" s="284" t="s">
        <v>6612</v>
      </c>
      <c r="F119" s="284" t="s">
        <v>6024</v>
      </c>
      <c r="G119" s="285"/>
      <c r="H119" s="305" t="s">
        <v>6613</v>
      </c>
      <c r="I119" s="364" t="str">
        <f>HYPERLINK("https://www.google.com/maps/search/Caldeira%20Velha%20A%C3%A7ores%20Portugal/@37.7819,-25.5011,17z","⛰ Caldeira Velha")</f>
        <v>⛰ Caldeira Velha</v>
      </c>
    </row>
    <row r="120" spans="1:9" ht="110" customHeight="1" x14ac:dyDescent="0.35">
      <c r="A120" s="344">
        <v>5</v>
      </c>
      <c r="B120" s="281" t="s">
        <v>6614</v>
      </c>
      <c r="C120" s="282" t="s">
        <v>522</v>
      </c>
      <c r="D120" s="281" t="str">
        <f>HYPERLINK("https://picosdeaventura.com","picosdeaventura.com")</f>
        <v>picosdeaventura.com</v>
      </c>
      <c r="E120" s="281" t="s">
        <v>6615</v>
      </c>
      <c r="F120" s="281" t="s">
        <v>1086</v>
      </c>
      <c r="G120" s="283"/>
      <c r="H120" s="304" t="s">
        <v>6616</v>
      </c>
      <c r="I120" s="290" t="str">
        <f>HYPERLINK("https://www.google.com/maps/search/Picos%20de%20Aventura%20A%C3%A7ores%20Portugal/@37.7394,-25.6625,17z","⛰ Picos de Aventura")</f>
        <v>⛰ Picos de Aventura</v>
      </c>
    </row>
    <row r="121" spans="1:9" ht="110" customHeight="1" x14ac:dyDescent="0.35">
      <c r="A121" s="342">
        <v>6</v>
      </c>
      <c r="B121" s="284" t="s">
        <v>6617</v>
      </c>
      <c r="C121" s="367" t="s">
        <v>522</v>
      </c>
      <c r="D121" s="285" t="str">
        <f>HYPERLINK("https://parquesnaturais.azores.gov.pt","parquesnaturais.azores.gov.pt")</f>
        <v>parquesnaturais.azores.gov.pt</v>
      </c>
      <c r="E121" s="284" t="s">
        <v>6618</v>
      </c>
      <c r="F121" s="284" t="s">
        <v>6619</v>
      </c>
      <c r="G121" s="285"/>
      <c r="H121" s="305" t="s">
        <v>6620</v>
      </c>
      <c r="I121" s="364" t="str">
        <f>HYPERLINK("https://www.google.com/maps/search/Vulc%C3%A3o%20dos%20Capelinhos%20A%C3%A7ores%20Portugal/@38.5975,-28.8292,17z","⛰ Vulcão dos Capelinhos")</f>
        <v>⛰ Vulcão dos Capelinhos</v>
      </c>
    </row>
    <row r="122" spans="1:9" ht="110" customHeight="1" x14ac:dyDescent="0.35">
      <c r="A122" s="344">
        <v>7</v>
      </c>
      <c r="B122" s="281" t="s">
        <v>5792</v>
      </c>
      <c r="C122" s="282" t="s">
        <v>522</v>
      </c>
      <c r="D122" s="281" t="str">
        <f>HYPERLINK("https://azores.gov.pt","azores.gov.pt")</f>
        <v>azores.gov.pt</v>
      </c>
      <c r="E122" s="281" t="s">
        <v>6621</v>
      </c>
      <c r="F122" s="281" t="s">
        <v>6622</v>
      </c>
      <c r="G122" s="283"/>
      <c r="H122" s="304" t="s">
        <v>6610</v>
      </c>
      <c r="I122" s="290" t="str">
        <f>HYPERLINK("https://www.google.com/maps/search/Gruta%20das%20Torres%20A%C3%A7ores%20Portugal/@38.4908,-28.5014,17z","⛰ Gruta das Torres")</f>
        <v>⛰ Gruta das Torres</v>
      </c>
    </row>
    <row r="123" spans="1:9" ht="110" customHeight="1" x14ac:dyDescent="0.35">
      <c r="A123" s="342">
        <v>8</v>
      </c>
      <c r="B123" s="284" t="s">
        <v>6623</v>
      </c>
      <c r="C123" s="367" t="s">
        <v>522</v>
      </c>
      <c r="D123" s="284" t="str">
        <f>HYPERLINK("https://visitazores.com","visitazores.com")</f>
        <v>visitazores.com</v>
      </c>
      <c r="E123" s="284" t="s">
        <v>6344</v>
      </c>
      <c r="F123" s="284" t="s">
        <v>2833</v>
      </c>
      <c r="G123" s="285"/>
      <c r="H123" s="305" t="s">
        <v>6624</v>
      </c>
      <c r="I123" s="364" t="str">
        <f>HYPERLINK("https://www.google.com/maps/search/Po%C3%A7o%20da%20Alagoinha%20A%C3%A7ores%20Portugal/@39.4319,-31.2225,17z","⛰ Poço da Alagoinha")</f>
        <v>⛰ Poço da Alagoinha</v>
      </c>
    </row>
    <row r="124" spans="1:9" ht="110" customHeight="1" x14ac:dyDescent="0.35">
      <c r="A124" s="344">
        <v>9</v>
      </c>
      <c r="B124" s="281" t="s">
        <v>6625</v>
      </c>
      <c r="C124" s="282" t="s">
        <v>522</v>
      </c>
      <c r="D124" s="281" t="str">
        <f>HYPERLINK("https://grutadocarvao.com","grutadocarvao.com")</f>
        <v>grutadocarvao.com</v>
      </c>
      <c r="E124" s="281" t="s">
        <v>6626</v>
      </c>
      <c r="F124" s="281" t="s">
        <v>1086</v>
      </c>
      <c r="G124" s="283"/>
      <c r="H124" s="304" t="s">
        <v>6616</v>
      </c>
      <c r="I124" s="290" t="str">
        <f>HYPERLINK("https://www.google.com/maps/search/Gruta%20do%20Carv%C3%A3o%20A%C3%A7ores%20Portugal/@37.7478,-25.6881,17z","⛰ Gruta do Carvão")</f>
        <v>⛰ Gruta do Carvão</v>
      </c>
    </row>
    <row r="125" spans="1:9" ht="110" customHeight="1" x14ac:dyDescent="0.35">
      <c r="A125" s="342">
        <v>10</v>
      </c>
      <c r="B125" s="284" t="s">
        <v>6627</v>
      </c>
      <c r="C125" s="367" t="s">
        <v>522</v>
      </c>
      <c r="D125" s="284" t="str">
        <f>HYPERLINK("https://cmnordeste.pt","cmnordeste.pt")</f>
        <v>cmnordeste.pt</v>
      </c>
      <c r="E125" s="284" t="s">
        <v>6344</v>
      </c>
      <c r="F125" s="284" t="s">
        <v>5789</v>
      </c>
      <c r="G125" s="285"/>
      <c r="H125" s="305" t="s">
        <v>6605</v>
      </c>
      <c r="I125" s="364" t="str">
        <f>HYPERLINK("https://www.google.com/maps/search/Ribeira%20dos%20Caldeir%C3%B5es%20A%C3%A7ores%20Portugal/@37.8422,-25.2669,17z","⛰ Ribeira dos Caldeirões")</f>
        <v>⛰ Ribeira dos Caldeirões</v>
      </c>
    </row>
    <row r="126" spans="1:9" ht="110" customHeight="1" x14ac:dyDescent="0.35">
      <c r="A126" s="344">
        <v>11</v>
      </c>
      <c r="B126" s="281" t="s">
        <v>6628</v>
      </c>
      <c r="C126" s="282" t="s">
        <v>522</v>
      </c>
      <c r="D126" s="281" t="str">
        <f>HYPERLINK("https://natural.pt","natural.pt")</f>
        <v>natural.pt</v>
      </c>
      <c r="E126" s="281" t="s">
        <v>6344</v>
      </c>
      <c r="F126" s="281" t="s">
        <v>6629</v>
      </c>
      <c r="G126" s="283"/>
      <c r="H126" s="304" t="s">
        <v>6605</v>
      </c>
      <c r="I126" s="290" t="str">
        <f>HYPERLINK("https://www.google.com/maps/search/Lagoa%20do%20Fogo%20A%C3%A7ores%20Portugal/@37.7647,-25.4858,17z","⛰ Lagoa do Fogo")</f>
        <v>⛰ Lagoa do Fogo</v>
      </c>
    </row>
    <row r="127" spans="1:9" ht="110" customHeight="1" x14ac:dyDescent="0.35">
      <c r="A127" s="342">
        <v>12</v>
      </c>
      <c r="B127" s="284" t="s">
        <v>6630</v>
      </c>
      <c r="C127" s="367" t="s">
        <v>522</v>
      </c>
      <c r="D127" s="284" t="str">
        <f>HYPERLINK("https://visitazores.com","visitazores.com")</f>
        <v>visitazores.com</v>
      </c>
      <c r="E127" s="284" t="s">
        <v>6344</v>
      </c>
      <c r="F127" s="284" t="s">
        <v>6631</v>
      </c>
      <c r="G127" s="285"/>
      <c r="H127" s="305" t="s">
        <v>6632</v>
      </c>
      <c r="I127" s="364" t="str">
        <f>HYPERLINK("https://www.google.com/maps/search/Salto%20do%20Prego%20A%C3%A7ores%20Portugal/@37.7431,-25.1919,17z","⛰ Salto do Prego")</f>
        <v>⛰ Salto do Prego</v>
      </c>
    </row>
    <row r="128" spans="1:9" ht="110" customHeight="1" x14ac:dyDescent="0.35">
      <c r="A128" s="344">
        <v>13</v>
      </c>
      <c r="B128" s="281" t="s">
        <v>6633</v>
      </c>
      <c r="C128" s="282" t="s">
        <v>522</v>
      </c>
      <c r="D128" s="281" t="str">
        <f>HYPERLINK("https://montanheiros.com","montanheiros.com")</f>
        <v>montanheiros.com</v>
      </c>
      <c r="E128" s="281" t="s">
        <v>6344</v>
      </c>
      <c r="F128" s="281" t="s">
        <v>5796</v>
      </c>
      <c r="G128" s="283"/>
      <c r="H128" s="304" t="s">
        <v>6634</v>
      </c>
      <c r="I128" s="290" t="str">
        <f>HYPERLINK("https://www.google.com/maps/search/Gruta%20do%20Natal%20A%C3%A7ores%20Portugal/@38.7408,-27.2689,17z","⛰ Gruta do Natal")</f>
        <v>⛰ Gruta do Natal</v>
      </c>
    </row>
    <row r="129" spans="1:9" ht="110" customHeight="1" x14ac:dyDescent="0.35">
      <c r="A129" s="342">
        <v>14</v>
      </c>
      <c r="B129" s="284" t="s">
        <v>6635</v>
      </c>
      <c r="C129" s="367" t="s">
        <v>522</v>
      </c>
      <c r="D129" s="284" t="str">
        <f>HYPERLINK("https://visitazores.com","visitazores.com")</f>
        <v>visitazores.com</v>
      </c>
      <c r="E129" s="284" t="s">
        <v>6344</v>
      </c>
      <c r="F129" s="284" t="s">
        <v>1065</v>
      </c>
      <c r="G129" s="285"/>
      <c r="H129" s="305" t="s">
        <v>6608</v>
      </c>
      <c r="I129" s="364" t="str">
        <f>HYPERLINK("https://www.google.com/maps/search/Monte%20Brasil%20A%C3%A7ores%20Portugal/@38.6461,-27.2214,17z","⛰ Monte Brasil")</f>
        <v>⛰ Monte Brasil</v>
      </c>
    </row>
    <row r="130" spans="1:9" ht="110" customHeight="1" x14ac:dyDescent="0.35">
      <c r="A130" s="344">
        <v>15</v>
      </c>
      <c r="B130" s="281" t="s">
        <v>6636</v>
      </c>
      <c r="C130" s="282" t="s">
        <v>522</v>
      </c>
      <c r="D130" s="281" t="str">
        <f>HYPERLINK("https://oceanemotion.pt","oceanemotion.pt")</f>
        <v>oceanemotion.pt</v>
      </c>
      <c r="E130" s="281" t="s">
        <v>6637</v>
      </c>
      <c r="F130" s="281" t="s">
        <v>5796</v>
      </c>
      <c r="G130" s="283"/>
      <c r="H130" s="304" t="s">
        <v>6634</v>
      </c>
      <c r="I130" s="290" t="str">
        <f>HYPERLINK("https://www.google.com/maps/search/OceanEmotion%20A%C3%A7ores%20Portugal/@38.6539,-27.2158,17z","⛰ OceanEmotion")</f>
        <v>⛰ OceanEmotion</v>
      </c>
    </row>
    <row r="131" spans="1:9" ht="110" customHeight="1" x14ac:dyDescent="0.35">
      <c r="A131" s="342">
        <v>16</v>
      </c>
      <c r="B131" s="284" t="s">
        <v>6638</v>
      </c>
      <c r="C131" s="367" t="s">
        <v>522</v>
      </c>
      <c r="D131" s="284" t="str">
        <f>HYPERLINK("https://espacotalassa.com","espacotalassa.com")</f>
        <v>espacotalassa.com</v>
      </c>
      <c r="E131" s="284" t="s">
        <v>6639</v>
      </c>
      <c r="F131" s="284" t="s">
        <v>5326</v>
      </c>
      <c r="G131" s="285"/>
      <c r="H131" s="305" t="s">
        <v>6640</v>
      </c>
      <c r="I131" s="364" t="str">
        <f>HYPERLINK("https://www.google.com/maps/search/Espa%C3%A7o%20Talassa%20%28Cet%C3%A1ceos%29%20A%C3%A7ores%20Portugal/@38.3969,-28.2514,17z","⛰ Espaço Talassa (Cetáceos)")</f>
        <v>⛰ Espaço Talassa (Cetáceos)</v>
      </c>
    </row>
    <row r="132" spans="1:9" ht="110" customHeight="1" x14ac:dyDescent="0.35">
      <c r="A132" s="344">
        <v>17</v>
      </c>
      <c r="B132" s="281" t="s">
        <v>6641</v>
      </c>
      <c r="C132" s="282" t="s">
        <v>522</v>
      </c>
      <c r="D132" s="281" t="str">
        <f>HYPERLINK("https://visitazores.com","visitazores.com")</f>
        <v>visitazores.com</v>
      </c>
      <c r="E132" s="281" t="s">
        <v>6344</v>
      </c>
      <c r="F132" s="281" t="s">
        <v>6642</v>
      </c>
      <c r="G132" s="283"/>
      <c r="H132" s="304" t="s">
        <v>6643</v>
      </c>
      <c r="I132" s="290" t="str">
        <f>HYPERLINK("https://www.google.com/maps/search/Faj%C3%A3%20de%20Santo%20Cristo%20A%C3%A7ores%20Portugal/@38.6289,-27.9308,17z","⛰ Fajã de Santo Cristo")</f>
        <v>⛰ Fajã de Santo Cristo</v>
      </c>
    </row>
    <row r="133" spans="1:9" ht="110" customHeight="1" x14ac:dyDescent="0.35">
      <c r="A133" s="342">
        <v>18</v>
      </c>
      <c r="B133" s="284" t="s">
        <v>6644</v>
      </c>
      <c r="C133" s="367" t="s">
        <v>522</v>
      </c>
      <c r="D133" s="284" t="str">
        <f>HYPERLINK("https://aventurasdailha.com","aventurasdailha.com")</f>
        <v>aventurasdailha.com</v>
      </c>
      <c r="E133" s="284" t="s">
        <v>6645</v>
      </c>
      <c r="F133" s="284" t="s">
        <v>6642</v>
      </c>
      <c r="G133" s="285"/>
      <c r="H133" s="305" t="s">
        <v>6643</v>
      </c>
      <c r="I133" s="364" t="str">
        <f>HYPERLINK("https://www.google.com/maps/search/Aventuras%20da%20Ilha%20A%C3%A7ores%20Portugal/@38.6783,-28.2047,17z","⛰ Aventuras da Ilha")</f>
        <v>⛰ Aventuras da Ilha</v>
      </c>
    </row>
    <row r="134" spans="1:9" ht="110" customHeight="1" x14ac:dyDescent="0.35">
      <c r="A134" s="344">
        <v>19</v>
      </c>
      <c r="B134" s="281" t="s">
        <v>6646</v>
      </c>
      <c r="C134" s="282" t="s">
        <v>522</v>
      </c>
      <c r="D134" s="281" t="str">
        <f>HYPERLINK("https://petercafesport.com","petercafesport.com")</f>
        <v>petercafesport.com</v>
      </c>
      <c r="E134" s="281" t="s">
        <v>6647</v>
      </c>
      <c r="F134" s="281" t="s">
        <v>3690</v>
      </c>
      <c r="G134" s="283"/>
      <c r="H134" s="304" t="s">
        <v>6620</v>
      </c>
      <c r="I134" s="290" t="str">
        <f>HYPERLINK("https://www.google.com/maps/search/Peter%20Caf%C3%A9%20Sport%20A%C3%A7ores%20Portugal/@38.5322,-28.6283,17z","⛰ Peter Café Sport")</f>
        <v>⛰ Peter Café Sport</v>
      </c>
    </row>
    <row r="135" spans="1:9" ht="110" customHeight="1" x14ac:dyDescent="0.35">
      <c r="A135" s="342">
        <v>20</v>
      </c>
      <c r="B135" s="284" t="s">
        <v>6648</v>
      </c>
      <c r="C135" s="367" t="s">
        <v>522</v>
      </c>
      <c r="D135" s="284" t="str">
        <f>HYPERLINK("https://visitazores.com","visitazores.com")</f>
        <v>visitazores.com</v>
      </c>
      <c r="E135" s="284" t="s">
        <v>6344</v>
      </c>
      <c r="F135" s="284" t="s">
        <v>6649</v>
      </c>
      <c r="G135" s="285"/>
      <c r="H135" s="305" t="s">
        <v>6624</v>
      </c>
      <c r="I135" s="364" t="str">
        <f>HYPERLINK("https://www.google.com/maps/search/Po%C3%A7o%20do%20Bacalhau%20A%C3%A7ores%20Portugal/@39.4589,-31.2589,17z","⛰ Poço do Bacalhau")</f>
        <v>⛰ Poço do Bacalhau</v>
      </c>
    </row>
    <row r="136" spans="1:9" ht="110" customHeight="1" x14ac:dyDescent="0.35">
      <c r="A136" s="344">
        <v>21</v>
      </c>
      <c r="B136" s="281" t="s">
        <v>6650</v>
      </c>
      <c r="C136" s="282" t="s">
        <v>522</v>
      </c>
      <c r="D136" s="281" t="str">
        <f>HYPERLINK("https://extremocidente.pt","extremocidente.pt")</f>
        <v>extremocidente.pt</v>
      </c>
      <c r="E136" s="281" t="s">
        <v>6651</v>
      </c>
      <c r="F136" s="281" t="s">
        <v>2833</v>
      </c>
      <c r="G136" s="283"/>
      <c r="H136" s="304" t="s">
        <v>6624</v>
      </c>
      <c r="I136" s="290" t="str">
        <f>HYPERLINK("https://www.google.com/maps/search/Extremocidente%20A%C3%A7ores%20Portugal/@39.4533,-31.1289,17z","⛰ Extremocidente")</f>
        <v>⛰ Extremocidente</v>
      </c>
    </row>
    <row r="137" spans="1:9" ht="110" customHeight="1" x14ac:dyDescent="0.35">
      <c r="A137" s="342">
        <v>22</v>
      </c>
      <c r="B137" s="284" t="s">
        <v>6652</v>
      </c>
      <c r="C137" s="367" t="s">
        <v>522</v>
      </c>
      <c r="D137" s="284" t="str">
        <f>HYPERLINK("https://visitazores.com","visitazores.com")</f>
        <v>visitazores.com</v>
      </c>
      <c r="E137" s="284" t="s">
        <v>6344</v>
      </c>
      <c r="F137" s="284" t="s">
        <v>6653</v>
      </c>
      <c r="G137" s="285"/>
      <c r="H137" s="305" t="s">
        <v>6654</v>
      </c>
      <c r="I137" s="364" t="str">
        <f>HYPERLINK("https://www.google.com/maps/search/Caldeir%C3%A3o%20do%20Corvo%20A%C3%A7ores%20Portugal/@39.7114,-31.1108,17z","⛰ Caldeirão do Corvo")</f>
        <v>⛰ Caldeirão do Corvo</v>
      </c>
    </row>
    <row r="138" spans="1:9" ht="110" customHeight="1" x14ac:dyDescent="0.35">
      <c r="A138" s="344">
        <v>23</v>
      </c>
      <c r="B138" s="281" t="s">
        <v>6655</v>
      </c>
      <c r="C138" s="282" t="s">
        <v>522</v>
      </c>
      <c r="D138" s="281" t="str">
        <f>HYPERLINK("https://visitazores.com","visitazores.com")</f>
        <v>visitazores.com</v>
      </c>
      <c r="E138" s="281" t="s">
        <v>6344</v>
      </c>
      <c r="F138" s="281" t="s">
        <v>6656</v>
      </c>
      <c r="G138" s="283"/>
      <c r="H138" s="304" t="s">
        <v>6657</v>
      </c>
      <c r="I138" s="290" t="str">
        <f>HYPERLINK("https://www.google.com/maps/search/Ba%C3%ADa%20da%20Maia%20%28S.%20Maria%29%20A%C3%A7ores%20Portugal/@36.9431,-25.0111,17z","⛰ Baía da Maia (S. Maria)")</f>
        <v>⛰ Baía da Maia (S. Maria)</v>
      </c>
    </row>
    <row r="139" spans="1:9" ht="110" customHeight="1" x14ac:dyDescent="0.35">
      <c r="A139" s="342">
        <v>24</v>
      </c>
      <c r="B139" s="284" t="s">
        <v>6658</v>
      </c>
      <c r="C139" s="367" t="s">
        <v>522</v>
      </c>
      <c r="D139" s="284" t="str">
        <f>HYPERLINK("https://dalbertotours.com","dalbertotours.com")</f>
        <v>dalbertotours.com</v>
      </c>
      <c r="E139" s="284" t="s">
        <v>6659</v>
      </c>
      <c r="F139" s="284" t="s">
        <v>6656</v>
      </c>
      <c r="G139" s="285"/>
      <c r="H139" s="305" t="s">
        <v>6657</v>
      </c>
      <c r="I139" s="364" t="str">
        <f>HYPERLINK("https://www.google.com/maps/search/Dalberto%20Tours%20%28S.%20Maria%29%20A%C3%A7ores%20Portugal/@36.9458,-25.1439,17z","⛰ Dalberto Tours (S. Maria)")</f>
        <v>⛰ Dalberto Tours (S. Maria)</v>
      </c>
    </row>
    <row r="140" spans="1:9" ht="110" customHeight="1" x14ac:dyDescent="0.35">
      <c r="A140" s="344">
        <v>25</v>
      </c>
      <c r="B140" s="281" t="s">
        <v>6660</v>
      </c>
      <c r="C140" s="282" t="s">
        <v>522</v>
      </c>
      <c r="D140" s="281" t="str">
        <f>HYPERLINK("https://azorespark.pt","azorespark.pt")</f>
        <v>azorespark.pt</v>
      </c>
      <c r="E140" s="281" t="s">
        <v>6661</v>
      </c>
      <c r="F140" s="281" t="s">
        <v>6629</v>
      </c>
      <c r="G140" s="283"/>
      <c r="H140" s="304" t="s">
        <v>6605</v>
      </c>
      <c r="I140" s="290" t="str">
        <f>HYPERLINK("https://www.google.com/maps/search/Azores%20Park%20A%C3%A7ores%20Portugal/@37.785,-25.7511,17z","⛰ Azores Park")</f>
        <v>⛰ Azores Park</v>
      </c>
    </row>
    <row r="141" spans="1:9" ht="110" customHeight="1" x14ac:dyDescent="0.35">
      <c r="A141" s="342">
        <v>26</v>
      </c>
      <c r="B141" s="284" t="s">
        <v>6662</v>
      </c>
      <c r="C141" s="367" t="s">
        <v>522</v>
      </c>
      <c r="D141" s="284" t="str">
        <f>HYPERLINK("https://montanheiros.com","montanheiros.com")</f>
        <v>montanheiros.com</v>
      </c>
      <c r="E141" s="284" t="s">
        <v>6344</v>
      </c>
      <c r="F141" s="284" t="s">
        <v>5796</v>
      </c>
      <c r="G141" s="285"/>
      <c r="H141" s="305" t="s">
        <v>6634</v>
      </c>
      <c r="I141" s="364" t="str">
        <f>HYPERLINK("https://www.google.com/maps/search/Furnas%20do%20Enxofre%20A%C3%A7ores%20Portugal/@38.7297,-27.2289,17z","⛰ Furnas do Enxofre")</f>
        <v>⛰ Furnas do Enxofre</v>
      </c>
    </row>
    <row r="142" spans="1:9" ht="110" customHeight="1" x14ac:dyDescent="0.35">
      <c r="A142" s="344">
        <v>27</v>
      </c>
      <c r="B142" s="281" t="s">
        <v>895</v>
      </c>
      <c r="C142" s="282" t="s">
        <v>522</v>
      </c>
      <c r="D142" s="281" t="str">
        <f>HYPERLINK("https://visitazores.com","visitazores.com")</f>
        <v>visitazores.com</v>
      </c>
      <c r="E142" s="281" t="s">
        <v>6344</v>
      </c>
      <c r="F142" s="281" t="s">
        <v>3690</v>
      </c>
      <c r="G142" s="283"/>
      <c r="H142" s="304" t="s">
        <v>6620</v>
      </c>
      <c r="I142" s="290" t="str">
        <f>HYPERLINK("https://www.google.com/maps/search/Caldeira%20do%20Faial%20A%C3%A7ores%20Portugal/@38.5831,-28.7114,17z","⛰ Caldeira do Faial")</f>
        <v>⛰ Caldeira do Faial</v>
      </c>
    </row>
    <row r="143" spans="1:9" ht="110" customHeight="1" x14ac:dyDescent="0.35">
      <c r="A143" s="342">
        <v>28</v>
      </c>
      <c r="B143" s="284" t="s">
        <v>6663</v>
      </c>
      <c r="C143" s="367" t="s">
        <v>522</v>
      </c>
      <c r="D143" s="284" t="str">
        <f>HYPERLINK("https://cellabar.pt","cellabar.pt")</f>
        <v>cellabar.pt</v>
      </c>
      <c r="E143" s="284" t="s">
        <v>6664</v>
      </c>
      <c r="F143" s="284" t="s">
        <v>2252</v>
      </c>
      <c r="G143" s="285"/>
      <c r="H143" s="305" t="s">
        <v>6610</v>
      </c>
      <c r="I143" s="364" t="str">
        <f>HYPERLINK("https://www.google.com/maps/search/Cella%20Bar%20A%C3%A7ores%20Portugal/@38.5369,-28.5322,17z","⛰ Cella Bar")</f>
        <v>⛰ Cella Bar</v>
      </c>
    </row>
    <row r="144" spans="1:9" ht="110" customHeight="1" x14ac:dyDescent="0.35">
      <c r="A144" s="344">
        <v>29</v>
      </c>
      <c r="B144" s="281" t="s">
        <v>6665</v>
      </c>
      <c r="C144" s="282" t="s">
        <v>522</v>
      </c>
      <c r="D144" s="281" t="str">
        <f>HYPERLINK("https://azores.gov.pt","azores.gov.pt")</f>
        <v>azores.gov.pt</v>
      </c>
      <c r="E144" s="281" t="s">
        <v>6666</v>
      </c>
      <c r="F144" s="281" t="s">
        <v>6629</v>
      </c>
      <c r="G144" s="283"/>
      <c r="H144" s="304" t="s">
        <v>6605</v>
      </c>
      <c r="I144" s="290" t="str">
        <f>HYPERLINK("https://www.google.com/maps/search/Pinhal%20da%20Paz%20A%C3%A7ores%20Portugal/@37.7958,-25.6358,17z","⛰ Pinhal da Paz")</f>
        <v>⛰ Pinhal da Paz</v>
      </c>
    </row>
    <row r="145" spans="1:9" ht="110" customHeight="1" x14ac:dyDescent="0.35">
      <c r="A145" s="342">
        <v>30</v>
      </c>
      <c r="B145" s="284" t="s">
        <v>6667</v>
      </c>
      <c r="C145" s="367" t="s">
        <v>522</v>
      </c>
      <c r="D145" s="284" t="str">
        <f>HYPERLINK("https://futurismo.pt","futurismo.pt")</f>
        <v>futurismo.pt</v>
      </c>
      <c r="E145" s="284" t="s">
        <v>6668</v>
      </c>
      <c r="F145" s="284" t="s">
        <v>6046</v>
      </c>
      <c r="G145" s="285"/>
      <c r="H145" s="305" t="s">
        <v>6605</v>
      </c>
      <c r="I145" s="364" t="str">
        <f>HYPERLINK("https://www.google.com/maps/search/Futurismo%20%28Sete%20Cidades%29%20A%C3%A7ores%20Portugal/@37.8631,-25.7875,17z","⛰ Futurismo (Sete Cidades)")</f>
        <v>⛰ Futurismo (Sete Cidades)</v>
      </c>
    </row>
    <row r="146" spans="1:9" ht="110" customHeight="1" x14ac:dyDescent="0.35">
      <c r="A146" s="344">
        <v>31</v>
      </c>
      <c r="B146" s="281" t="s">
        <v>6669</v>
      </c>
      <c r="C146" s="282" t="s">
        <v>522</v>
      </c>
      <c r="D146" s="281" t="str">
        <f>HYPERLINK("http://www.grutadocarvao.com","grutadocarvao.com")</f>
        <v>grutadocarvao.com</v>
      </c>
      <c r="E146" s="281" t="s">
        <v>6626</v>
      </c>
      <c r="F146" s="281" t="s">
        <v>6670</v>
      </c>
      <c r="G146" s="283"/>
      <c r="H146" s="304" t="s">
        <v>6605</v>
      </c>
      <c r="I146" s="290" t="str">
        <f>HYPERLINK("https://www.google.com/maps/search/Gruta%20do%20Carv%C3%A3o%20%28S.%20Miguel%29%20A%C3%A7ores%20Portugal/@37.7478,-25.6881,17z","⛰ Gruta do Carvão (S. Miguel)")</f>
        <v>⛰ Gruta do Carvão (S. Miguel)</v>
      </c>
    </row>
    <row r="147" spans="1:9" ht="110" customHeight="1" x14ac:dyDescent="0.35">
      <c r="A147" s="342">
        <v>32</v>
      </c>
      <c r="B147" s="284" t="s">
        <v>6671</v>
      </c>
      <c r="C147" s="367" t="s">
        <v>522</v>
      </c>
      <c r="D147" s="284" t="str">
        <f>HYPERLINK("http://www.montanheiros.com","montanheiros.com")</f>
        <v>montanheiros.com</v>
      </c>
      <c r="E147" s="284" t="s">
        <v>5484</v>
      </c>
      <c r="F147" s="284" t="s">
        <v>5796</v>
      </c>
      <c r="G147" s="285"/>
      <c r="H147" s="305" t="s">
        <v>6634</v>
      </c>
      <c r="I147" s="364" t="str">
        <f>HYPERLINK("https://www.google.com/maps/search/Gruta%20do%20Natal%20%28Terceira%29%20A%C3%A7ores%20Portugal/@38.7408,-27.2689,17z","⛰ Gruta do Natal (Terceira)")</f>
        <v>⛰ Gruta do Natal (Terceira)</v>
      </c>
    </row>
    <row r="148" spans="1:9" ht="110" customHeight="1" x14ac:dyDescent="0.35">
      <c r="A148" s="344">
        <v>33</v>
      </c>
      <c r="B148" s="281" t="s">
        <v>6672</v>
      </c>
      <c r="C148" s="282" t="s">
        <v>522</v>
      </c>
      <c r="D148" s="281" t="str">
        <f>HYPERLINK("https://www.oceanemotion.pt","oceanemotion.pt")</f>
        <v>oceanemotion.pt</v>
      </c>
      <c r="E148" s="281" t="s">
        <v>6637</v>
      </c>
      <c r="F148" s="281" t="s">
        <v>2841</v>
      </c>
      <c r="G148" s="283"/>
      <c r="H148" s="304" t="s">
        <v>6673</v>
      </c>
      <c r="I148" s="290" t="str">
        <f>HYPERLINK("https://www.google.com/maps/search/OceanEmotion%20%28Terceira%29%20A%C3%A7ores%20Portugal/@38.6539,-27.2158,17z","⛰ OceanEmotion (Terceira)")</f>
        <v>⛰ OceanEmotion (Terceira)</v>
      </c>
    </row>
    <row r="149" spans="1:9" ht="110" customHeight="1" x14ac:dyDescent="0.35">
      <c r="A149" s="342">
        <v>34</v>
      </c>
      <c r="B149" s="284" t="s">
        <v>6674</v>
      </c>
      <c r="C149" s="367" t="s">
        <v>522</v>
      </c>
      <c r="D149" s="284" t="str">
        <f>HYPERLINK("https://aventurasdailha.com","aventurasdailha.com")</f>
        <v>aventurasdailha.com</v>
      </c>
      <c r="E149" s="284" t="s">
        <v>6645</v>
      </c>
      <c r="F149" s="284" t="s">
        <v>6642</v>
      </c>
      <c r="G149" s="285"/>
      <c r="H149" s="305" t="s">
        <v>6643</v>
      </c>
      <c r="I149" s="364" t="str">
        <f>HYPERLINK("https://www.google.com/maps/search/Aventuras%20da%20Ilha%20%28S.%20Jorge%29%20A%C3%A7ores%20Portugal/@38.6783,-28.2047,17z","⛰ Aventuras da Ilha (S. Jorge)")</f>
        <v>⛰ Aventuras da Ilha (S. Jorge)</v>
      </c>
    </row>
    <row r="150" spans="1:9" ht="110" customHeight="1" x14ac:dyDescent="0.35">
      <c r="A150" s="344">
        <v>35</v>
      </c>
      <c r="B150" s="281" t="s">
        <v>6675</v>
      </c>
      <c r="C150" s="282" t="s">
        <v>522</v>
      </c>
      <c r="D150" s="281" t="str">
        <f>HYPERLINK("https://www.petercafesport.com","petercafesport.com")</f>
        <v>petercafesport.com</v>
      </c>
      <c r="E150" s="281" t="s">
        <v>6647</v>
      </c>
      <c r="F150" s="281" t="s">
        <v>3690</v>
      </c>
      <c r="G150" s="283"/>
      <c r="H150" s="304" t="s">
        <v>6620</v>
      </c>
      <c r="I150" s="290" t="str">
        <f>HYPERLINK("https://www.google.com/maps/search/Peter%20Caf%C3%A9%20Sport%20%28Faial%29%20A%C3%A7ores%20Portugal/@38.5322,-28.6283,17z","⛰ Peter Café Sport (Faial)")</f>
        <v>⛰ Peter Café Sport (Faial)</v>
      </c>
    </row>
    <row r="151" spans="1:9" ht="110" customHeight="1" x14ac:dyDescent="0.35">
      <c r="A151" s="342">
        <v>36</v>
      </c>
      <c r="B151" s="284" t="s">
        <v>6676</v>
      </c>
      <c r="C151" s="367" t="s">
        <v>522</v>
      </c>
      <c r="D151" s="284" t="str">
        <f>HYPERLINK("https://www.visitazores.com","visitazores.com")</f>
        <v>visitazores.com</v>
      </c>
      <c r="E151" s="284" t="s">
        <v>5484</v>
      </c>
      <c r="F151" s="284" t="s">
        <v>6649</v>
      </c>
      <c r="G151" s="285"/>
      <c r="H151" s="305" t="s">
        <v>6624</v>
      </c>
      <c r="I151" s="364" t="str">
        <f>HYPERLINK("https://www.google.com/maps/search/Po%C3%A7o%20do%20Bacalhau%20%28Flores%29%20A%C3%A7ores%20Portugal/@39.4589,-31.2589,17z","⛰ Poço do Bacalhau (Flores)")</f>
        <v>⛰ Poço do Bacalhau (Flores)</v>
      </c>
    </row>
    <row r="152" spans="1:9" ht="110" customHeight="1" x14ac:dyDescent="0.35">
      <c r="A152" s="344">
        <v>37</v>
      </c>
      <c r="B152" s="281" t="s">
        <v>6677</v>
      </c>
      <c r="C152" s="282" t="s">
        <v>522</v>
      </c>
      <c r="D152" s="281" t="str">
        <f>HYPERLINK("https://extremocidente.pt","extremocidente.pt")</f>
        <v>extremocidente.pt</v>
      </c>
      <c r="E152" s="281" t="s">
        <v>6651</v>
      </c>
      <c r="F152" s="281" t="s">
        <v>2833</v>
      </c>
      <c r="G152" s="283"/>
      <c r="H152" s="304" t="s">
        <v>6624</v>
      </c>
      <c r="I152" s="290" t="str">
        <f>HYPERLINK("https://www.google.com/maps/search/Extremocidente%20%28Flores%29%20A%C3%A7ores%20Portugal/@39.4533,-31.1289,17z","⛰ Extremocidente (Flores)")</f>
        <v>⛰ Extremocidente (Flores)</v>
      </c>
    </row>
    <row r="153" spans="1:9" ht="110" customHeight="1" x14ac:dyDescent="0.35">
      <c r="A153" s="342">
        <v>38</v>
      </c>
      <c r="B153" s="284" t="s">
        <v>6678</v>
      </c>
      <c r="C153" s="367" t="s">
        <v>522</v>
      </c>
      <c r="D153" s="284" t="str">
        <f>HYPERLINK("https://www.espacotalassa.com","espacotalassa.com")</f>
        <v>espacotalassa.com</v>
      </c>
      <c r="E153" s="284" t="s">
        <v>6639</v>
      </c>
      <c r="F153" s="284" t="s">
        <v>5326</v>
      </c>
      <c r="G153" s="285"/>
      <c r="H153" s="305" t="s">
        <v>6640</v>
      </c>
      <c r="I153" s="364" t="str">
        <f>HYPERLINK("https://www.google.com/maps/search/Espa%C3%A7o%20Talassa%20A%C3%A7ores%20Portugal/@38.3969,-28.2514,17z","⛰ Espaço Talassa")</f>
        <v>⛰ Espaço Talassa</v>
      </c>
    </row>
    <row r="154" spans="1:9" ht="22" customHeight="1" x14ac:dyDescent="0.35">
      <c r="A154" s="1370" t="s">
        <v>6679</v>
      </c>
      <c r="B154" s="1313"/>
      <c r="C154" s="1313"/>
      <c r="D154" s="1313"/>
      <c r="E154" s="1313"/>
      <c r="F154" s="1313"/>
      <c r="G154" s="1313"/>
      <c r="H154" s="1313"/>
      <c r="I154" s="1313"/>
    </row>
    <row r="155" spans="1:9" ht="110" customHeight="1" x14ac:dyDescent="0.35">
      <c r="A155" s="350">
        <v>1</v>
      </c>
      <c r="B155" s="251" t="s">
        <v>6680</v>
      </c>
      <c r="C155" s="252" t="s">
        <v>524</v>
      </c>
      <c r="D155" s="251" t="str">
        <f>HYPERLINK("https://parquetematico.pt","parquetematico.pt")</f>
        <v>parquetematico.pt</v>
      </c>
      <c r="E155" s="251" t="s">
        <v>6681</v>
      </c>
      <c r="F155" s="251" t="s">
        <v>5988</v>
      </c>
      <c r="G155" s="253"/>
      <c r="H155" s="304" t="s">
        <v>6682</v>
      </c>
      <c r="I155" s="291" t="str">
        <f>HYPERLINK("https://www.google.com/maps/search/Parque%20Tem%C3%A1tico%20da%20Madeira%20Portugal/@32.8058,-16.8839,17z","⛰ Parque Temático da Madeira")</f>
        <v>⛰ Parque Temático da Madeira</v>
      </c>
    </row>
    <row r="156" spans="1:9" ht="110" customHeight="1" x14ac:dyDescent="0.35">
      <c r="A156" s="356">
        <v>2</v>
      </c>
      <c r="B156" s="254" t="s">
        <v>6683</v>
      </c>
      <c r="C156" s="255" t="s">
        <v>524</v>
      </c>
      <c r="D156" s="254" t="str">
        <f>HYPERLINK("https://ifcn.madeira.gov.pt","ifcn.madeira.gov.pt")</f>
        <v>ifcn.madeira.gov.pt</v>
      </c>
      <c r="E156" s="254" t="s">
        <v>6684</v>
      </c>
      <c r="F156" s="254" t="s">
        <v>5988</v>
      </c>
      <c r="G156" s="256"/>
      <c r="H156" s="305" t="s">
        <v>6682</v>
      </c>
      <c r="I156" s="366" t="str">
        <f>HYPERLINK("https://www.google.com/maps/search/Parque%20Florestal%20das%20Queimadas%20Madeira%20Portugal/@32.7833,-16.9056,17z","⛰ Parque Florestal das Queima…")</f>
        <v>⛰ Parque Florestal das Queima…</v>
      </c>
    </row>
    <row r="157" spans="1:9" ht="110" customHeight="1" x14ac:dyDescent="0.35">
      <c r="A157" s="350">
        <v>3</v>
      </c>
      <c r="B157" s="251" t="s">
        <v>6685</v>
      </c>
      <c r="C157" s="252" t="s">
        <v>524</v>
      </c>
      <c r="D157" s="251" t="str">
        <f>HYPERLINK("https://epicmadeira.com","epicmadeira.com")</f>
        <v>epicmadeira.com</v>
      </c>
      <c r="E157" s="251" t="s">
        <v>6686</v>
      </c>
      <c r="F157" s="251" t="s">
        <v>2219</v>
      </c>
      <c r="G157" s="253"/>
      <c r="H157" s="304" t="s">
        <v>6687</v>
      </c>
      <c r="I157" s="291" t="str">
        <f>HYPERLINK("https://www.google.com/maps/search/EPIC%20Madeira%20%28BTT%20/%20Levadas%29%20Portugal/@32.6744,-16.9039,17z","⛰ EPIC Madeira (BTT / Levadas)")</f>
        <v>⛰ EPIC Madeira (BTT / Levadas)</v>
      </c>
    </row>
    <row r="158" spans="1:9" ht="110" customHeight="1" x14ac:dyDescent="0.35">
      <c r="A158" s="356">
        <v>4</v>
      </c>
      <c r="B158" s="254" t="s">
        <v>6688</v>
      </c>
      <c r="C158" s="255" t="s">
        <v>524</v>
      </c>
      <c r="D158" s="254" t="str">
        <f>HYPERLINK("https://facebook.com","facebook.com")</f>
        <v>facebook.com</v>
      </c>
      <c r="E158" s="254" t="s">
        <v>6689</v>
      </c>
      <c r="F158" s="254" t="s">
        <v>6690</v>
      </c>
      <c r="G158" s="256"/>
      <c r="H158" s="305" t="s">
        <v>6691</v>
      </c>
      <c r="I158" s="366" t="str">
        <f>HYPERLINK("https://www.google.com/maps/search/Aquaparque%20da%20Madeira%20Portugal/@32.6864,-16.7914,17z","⛰ Aquaparque da Madeira")</f>
        <v>⛰ Aquaparque da Madeira</v>
      </c>
    </row>
    <row r="159" spans="1:9" ht="110" customHeight="1" x14ac:dyDescent="0.35">
      <c r="A159" s="350">
        <v>5</v>
      </c>
      <c r="B159" s="251" t="s">
        <v>6692</v>
      </c>
      <c r="C159" s="252" t="s">
        <v>524</v>
      </c>
      <c r="D159" s="251" t="str">
        <f>HYPERLINK("https://visitportugal.com","visitportugal.com")</f>
        <v>visitportugal.com</v>
      </c>
      <c r="E159" s="251" t="s">
        <v>6344</v>
      </c>
      <c r="F159" s="251" t="s">
        <v>6693</v>
      </c>
      <c r="G159" s="253"/>
      <c r="H159" s="304" t="s">
        <v>6694</v>
      </c>
      <c r="I159" s="291" t="str">
        <f>HYPERLINK("https://www.google.com/maps/search/Levada%20das%2025%20Fontes%20Madeira%20Portugal/@32.755,-17.134,17z","⛰ Levada das 25 Fontes")</f>
        <v>⛰ Levada das 25 Fontes</v>
      </c>
    </row>
    <row r="160" spans="1:9" ht="110" customHeight="1" x14ac:dyDescent="0.35">
      <c r="A160" s="356">
        <v>6</v>
      </c>
      <c r="B160" s="254" t="s">
        <v>6695</v>
      </c>
      <c r="C160" s="255" t="s">
        <v>524</v>
      </c>
      <c r="D160" s="254" t="str">
        <f>HYPERLINK("https://cm-portomuniz.pt","cm-portomuniz.pt")</f>
        <v>cm-portomuniz.pt</v>
      </c>
      <c r="E160" s="254" t="s">
        <v>6344</v>
      </c>
      <c r="F160" s="254" t="s">
        <v>5999</v>
      </c>
      <c r="G160" s="256"/>
      <c r="H160" s="305" t="s">
        <v>6696</v>
      </c>
      <c r="I160" s="366" t="str">
        <f>HYPERLINK("https://www.google.com/maps/search/Piscinas%20Naturais%20Porto%20Moniz%20Madeira%20Portugal/@32.867,-17.168,17z","⛰ Piscinas Naturais Porto Moniz")</f>
        <v>⛰ Piscinas Naturais Porto Moniz</v>
      </c>
    </row>
    <row r="161" spans="1:9" ht="110" customHeight="1" x14ac:dyDescent="0.35">
      <c r="A161" s="350">
        <v>7</v>
      </c>
      <c r="B161" s="251" t="s">
        <v>6697</v>
      </c>
      <c r="C161" s="252" t="s">
        <v>524</v>
      </c>
      <c r="D161" s="251" t="str">
        <f>HYPERLINK("https://www.grutassvicente.com","grutassvicente.com")</f>
        <v>grutassvicente.com</v>
      </c>
      <c r="E161" s="251" t="s">
        <v>6698</v>
      </c>
      <c r="F161" s="251" t="s">
        <v>6699</v>
      </c>
      <c r="G161" s="253"/>
      <c r="H161" s="304" t="s">
        <v>6700</v>
      </c>
      <c r="I161" s="291" t="str">
        <f>HYPERLINK("https://www.google.com/maps/search/Grutas%20de%20S%C3%A3o%20Vicente%20Madeira%20Portugal/@32.7981,-17.0425,17z","⛰ Grutas de São Vicente")</f>
        <v>⛰ Grutas de São Vicente</v>
      </c>
    </row>
    <row r="162" spans="1:9" ht="110" customHeight="1" x14ac:dyDescent="0.35">
      <c r="A162" s="356">
        <v>8</v>
      </c>
      <c r="B162" s="254" t="s">
        <v>6701</v>
      </c>
      <c r="C162" s="255" t="s">
        <v>524</v>
      </c>
      <c r="D162" s="254" t="str">
        <f>HYPERLINK("https://fajadospadres.com","fajadospadres.com")</f>
        <v>fajadospadres.com</v>
      </c>
      <c r="E162" s="254" t="s">
        <v>6702</v>
      </c>
      <c r="F162" s="254" t="s">
        <v>6703</v>
      </c>
      <c r="G162" s="256"/>
      <c r="H162" s="305" t="s">
        <v>6700</v>
      </c>
      <c r="I162" s="366" t="str">
        <f>HYPERLINK("https://www.google.com/maps/search/Faj%C3%A3%20dos%20Padres%20Madeira%20Portugal/@32.6569,-17.0208,17z","⛰ Fajã dos Padres")</f>
        <v>⛰ Fajã dos Padres</v>
      </c>
    </row>
    <row r="163" spans="1:9" ht="110" customHeight="1" x14ac:dyDescent="0.35">
      <c r="A163" s="350">
        <v>9</v>
      </c>
      <c r="B163" s="251" t="s">
        <v>6704</v>
      </c>
      <c r="C163" s="252" t="s">
        <v>524</v>
      </c>
      <c r="D163" s="251" t="str">
        <f>HYPERLINK("https://visitmadeira.com","visitmadeira.com")</f>
        <v>visitmadeira.com</v>
      </c>
      <c r="E163" s="251" t="s">
        <v>5484</v>
      </c>
      <c r="F163" s="251" t="s">
        <v>6705</v>
      </c>
      <c r="G163" s="253"/>
      <c r="H163" s="304" t="s">
        <v>6700</v>
      </c>
      <c r="I163" s="291" t="str">
        <f>HYPERLINK("https://www.google.com/maps/search/Fanal%20%E2%80%94%20Laurissilva%20Madeira%20Portugal/@32.8089,-17.1408,17z","⛰ Fanal — Laurissilva")</f>
        <v>⛰ Fanal — Laurissilva</v>
      </c>
    </row>
    <row r="164" spans="1:9" ht="110" customHeight="1" x14ac:dyDescent="0.35">
      <c r="A164" s="356">
        <v>10</v>
      </c>
      <c r="B164" s="254" t="s">
        <v>6706</v>
      </c>
      <c r="C164" s="255" t="s">
        <v>524</v>
      </c>
      <c r="D164" s="254" t="str">
        <f>HYPERLINK("https://www.portosantotours.pt","portosantotours.pt")</f>
        <v>portosantotours.pt</v>
      </c>
      <c r="E164" s="254" t="s">
        <v>6707</v>
      </c>
      <c r="F164" s="254" t="s">
        <v>6708</v>
      </c>
      <c r="G164" s="256"/>
      <c r="H164" s="305" t="s">
        <v>6700</v>
      </c>
      <c r="I164" s="366" t="str">
        <f>HYPERLINK("https://www.google.com/maps/search/Porto%20Santo%20Tours%20Madeira%20Portugal/@33.0594,-16.3358,17z","⛰ Porto Santo Tours")</f>
        <v>⛰ Porto Santo Tours</v>
      </c>
    </row>
    <row r="165" spans="1:9" ht="110" customHeight="1" x14ac:dyDescent="0.35">
      <c r="A165" s="350">
        <v>11</v>
      </c>
      <c r="B165" s="251" t="s">
        <v>6709</v>
      </c>
      <c r="C165" s="252" t="s">
        <v>524</v>
      </c>
      <c r="D165" s="251" t="str">
        <f>HYPERLINK("https://www.facebook.com","facebook.com")</f>
        <v>facebook.com</v>
      </c>
      <c r="E165" s="251" t="s">
        <v>5484</v>
      </c>
      <c r="F165" s="251" t="s">
        <v>6710</v>
      </c>
      <c r="G165" s="253"/>
      <c r="H165" s="304" t="s">
        <v>6700</v>
      </c>
      <c r="I165" s="291" t="str">
        <f>HYPERLINK("https://www.google.com/maps/search/Aquaparque%20Madeira%20Portugal/@32.68,-16.7914,17z","⛰ Aquaparque Madeira")</f>
        <v>⛰ Aquaparque Madeira</v>
      </c>
    </row>
    <row r="166" spans="1:9" ht="110" customHeight="1" x14ac:dyDescent="0.35">
      <c r="A166" s="356">
        <v>12</v>
      </c>
      <c r="B166" s="254" t="s">
        <v>6711</v>
      </c>
      <c r="C166" s="255" t="s">
        <v>524</v>
      </c>
      <c r="D166" s="254" t="str">
        <f>HYPERLINK("https://vmtmadeira.com","vmtmadeira.com")</f>
        <v>vmtmadeira.com</v>
      </c>
      <c r="E166" s="254" t="s">
        <v>6712</v>
      </c>
      <c r="F166" s="254" t="s">
        <v>6713</v>
      </c>
      <c r="G166" s="256"/>
      <c r="H166" s="305" t="s">
        <v>6700</v>
      </c>
      <c r="I166" s="366" t="str">
        <f>HYPERLINK("https://www.google.com/maps/search/VMT%20Catamar%C3%A3%20%E2%80%94%20Funchal%20Madeira%20Portugal/@32.6467,-16.9094,17z","⛰ VMT Catamarã — Funchal")</f>
        <v>⛰ VMT Catamarã — Funchal</v>
      </c>
    </row>
    <row r="167" spans="1:9" ht="110" customHeight="1" x14ac:dyDescent="0.35">
      <c r="A167" s="350">
        <v>13</v>
      </c>
      <c r="B167" s="251" t="s">
        <v>6714</v>
      </c>
      <c r="C167" s="252" t="s">
        <v>524</v>
      </c>
      <c r="D167" s="251" t="str">
        <f>HYPERLINK("https://visitmadeira.com","visitmadeira.com")</f>
        <v>visitmadeira.com</v>
      </c>
      <c r="E167" s="251" t="s">
        <v>5484</v>
      </c>
      <c r="F167" s="251" t="s">
        <v>1742</v>
      </c>
      <c r="G167" s="253"/>
      <c r="H167" s="304" t="s">
        <v>6700</v>
      </c>
      <c r="I167" s="291" t="str">
        <f>HYPERLINK("https://www.google.com/maps/search/Cabo%20Gir%C3%A3o%20%E2%80%94%20Skywalk%20Madeira%20Portugal/@32.6564,-17.0044,17z","⛰ Cabo Girão — Skywalk")</f>
        <v>⛰ Cabo Girão — Skywalk</v>
      </c>
    </row>
    <row r="168" spans="1:9" ht="110" customHeight="1" x14ac:dyDescent="0.35">
      <c r="A168" s="356">
        <v>14</v>
      </c>
      <c r="B168" s="254" t="s">
        <v>6715</v>
      </c>
      <c r="C168" s="255" t="s">
        <v>524</v>
      </c>
      <c r="D168" s="256" t="str">
        <f>HYPERLINK("https://www.madeira-adventure-kingdom.com","madeira-adventure-kingdom.com")</f>
        <v>madeira-adventure-kingdom.com</v>
      </c>
      <c r="E168" s="254" t="s">
        <v>6716</v>
      </c>
      <c r="F168" s="254" t="s">
        <v>2219</v>
      </c>
      <c r="G168" s="256"/>
      <c r="H168" s="305" t="s">
        <v>6717</v>
      </c>
      <c r="I168" s="366" t="str">
        <f>HYPERLINK("https://www.google.com/maps/search/Madeira%20Adventure%20Kingdom%20Portugal/@32.6517,-16.9242,17z","⛰ Madeira Adventure Kingdom")</f>
        <v>⛰ Madeira Adventure Kingdom</v>
      </c>
    </row>
    <row r="169" spans="1:9" ht="110" customHeight="1" x14ac:dyDescent="0.35">
      <c r="A169" s="350">
        <v>15</v>
      </c>
      <c r="B169" s="251" t="s">
        <v>6718</v>
      </c>
      <c r="C169" s="252" t="s">
        <v>524</v>
      </c>
      <c r="D169" s="251" t="str">
        <f>HYPERLINK("https://madeirasidecartours.com","madeirasidecartours.com")</f>
        <v>madeirasidecartours.com</v>
      </c>
      <c r="E169" s="251" t="s">
        <v>6719</v>
      </c>
      <c r="F169" s="251" t="s">
        <v>2219</v>
      </c>
      <c r="G169" s="253"/>
      <c r="H169" s="304" t="s">
        <v>6717</v>
      </c>
      <c r="I169" s="291" t="str">
        <f>HYPERLINK("https://www.google.com/maps/search/Madeira%20Sidecar%20Tours%20Portugal/@32.645,-16.9083,17z","⛰ Madeira Sidecar Tours")</f>
        <v>⛰ Madeira Sidecar Tours</v>
      </c>
    </row>
    <row r="170" spans="1:9" ht="110" customHeight="1" x14ac:dyDescent="0.35">
      <c r="A170" s="356">
        <v>16</v>
      </c>
      <c r="B170" s="254" t="s">
        <v>6720</v>
      </c>
      <c r="C170" s="255" t="s">
        <v>524</v>
      </c>
      <c r="D170" s="254" t="str">
        <f>HYPERLINK("https://www.paraglidingmadeira.com","paraglidingmadeira.com")</f>
        <v>paraglidingmadeira.com</v>
      </c>
      <c r="E170" s="254" t="s">
        <v>6721</v>
      </c>
      <c r="F170" s="254" t="s">
        <v>6722</v>
      </c>
      <c r="G170" s="256"/>
      <c r="H170" s="305" t="s">
        <v>6723</v>
      </c>
      <c r="I170" s="366" t="str">
        <f>HYPERLINK("https://www.google.com/maps/search/Madeira%20Paragliding%20Portugal/@32.7167,-17.15,17z","⛰ Madeira Paragliding")</f>
        <v>⛰ Madeira Paragliding</v>
      </c>
    </row>
    <row r="171" spans="1:9" ht="110" customHeight="1" x14ac:dyDescent="0.35">
      <c r="A171" s="350">
        <v>17</v>
      </c>
      <c r="B171" s="251" t="s">
        <v>6724</v>
      </c>
      <c r="C171" s="252" t="s">
        <v>524</v>
      </c>
      <c r="D171" s="251" t="str">
        <f>HYPERLINK("https://visitmadeira.com","visitmadeira.com")</f>
        <v>visitmadeira.com</v>
      </c>
      <c r="E171" s="251" t="s">
        <v>6725</v>
      </c>
      <c r="F171" s="251" t="s">
        <v>6726</v>
      </c>
      <c r="G171" s="253"/>
      <c r="H171" s="304" t="s">
        <v>6700</v>
      </c>
      <c r="I171" s="291" t="str">
        <f>HYPERLINK("https://www.google.com/maps/search/Posto%20Florestal%20Ribeiro%20Frio%20Madeira%20Portugal/@32.735,-16.8864,17z","⛰ Posto Florestal Ribeiro Frio")</f>
        <v>⛰ Posto Florestal Ribeiro Frio</v>
      </c>
    </row>
    <row r="172" spans="1:9" ht="110" customHeight="1" x14ac:dyDescent="0.35">
      <c r="A172" s="356">
        <v>18</v>
      </c>
      <c r="B172" s="254" t="s">
        <v>6727</v>
      </c>
      <c r="C172" s="255" t="s">
        <v>524</v>
      </c>
      <c r="D172" s="254" t="str">
        <f>HYPERLINK("https://visitmadeira.com","visitmadeira.com")</f>
        <v>visitmadeira.com</v>
      </c>
      <c r="E172" s="254" t="s">
        <v>5484</v>
      </c>
      <c r="F172" s="254" t="s">
        <v>6728</v>
      </c>
      <c r="G172" s="256"/>
      <c r="H172" s="305" t="s">
        <v>6700</v>
      </c>
      <c r="I172" s="366" t="str">
        <f>HYPERLINK("https://www.google.com/maps/search/Ponta%20de%20S%C3%A3o%20Louren%C3%A7o%20Madeira%20Portugal/@32.7433,-16.7011,17z","⛰ Ponta de São Lourenço")</f>
        <v>⛰ Ponta de São Lourenço</v>
      </c>
    </row>
    <row r="173" spans="1:9" ht="110" customHeight="1" x14ac:dyDescent="0.35">
      <c r="A173" s="350">
        <v>19</v>
      </c>
      <c r="B173" s="251" t="s">
        <v>6729</v>
      </c>
      <c r="C173" s="252" t="s">
        <v>524</v>
      </c>
      <c r="D173" s="251" t="str">
        <f>HYPERLINK("https://visitmadeira.com","visitmadeira.com")</f>
        <v>visitmadeira.com</v>
      </c>
      <c r="E173" s="251" t="s">
        <v>5484</v>
      </c>
      <c r="F173" s="251" t="s">
        <v>779</v>
      </c>
      <c r="G173" s="253"/>
      <c r="H173" s="304" t="s">
        <v>6700</v>
      </c>
      <c r="I173" s="291" t="str">
        <f>HYPERLINK("https://www.google.com/maps/search/Pico%20do%20Areeiro%20Madeira%20Portugal/@32.7356,-16.9289,17z","⛰ Pico do Areeiro")</f>
        <v>⛰ Pico do Areeiro</v>
      </c>
    </row>
    <row r="174" spans="1:9" ht="110" customHeight="1" x14ac:dyDescent="0.35">
      <c r="A174" s="356">
        <v>20</v>
      </c>
      <c r="B174" s="254" t="s">
        <v>6730</v>
      </c>
      <c r="C174" s="255" t="s">
        <v>524</v>
      </c>
      <c r="D174" s="254" t="str">
        <f>HYPERLINK("https://www.lobosonda.com","lobosonda.com")</f>
        <v>lobosonda.com</v>
      </c>
      <c r="E174" s="254" t="s">
        <v>6731</v>
      </c>
      <c r="F174" s="254" t="s">
        <v>6732</v>
      </c>
      <c r="G174" s="256"/>
      <c r="H174" s="305" t="s">
        <v>6733</v>
      </c>
      <c r="I174" s="366" t="str">
        <f>HYPERLINK("https://www.google.com/maps/search/Lobosonda%20%28Calheta%29%20Madeira%20Portugal/@32.7194,-17.1775,17z","⛰ Lobosonda (Calheta)")</f>
        <v>⛰ Lobosonda (Calheta)</v>
      </c>
    </row>
    <row r="175" spans="1:9" ht="110" customHeight="1" x14ac:dyDescent="0.35">
      <c r="A175" s="350">
        <v>21</v>
      </c>
      <c r="B175" s="251" t="s">
        <v>6734</v>
      </c>
      <c r="C175" s="252" t="s">
        <v>524</v>
      </c>
      <c r="D175" s="251" t="str">
        <f>HYPERLINK("https://ifcn.madeira.gov.pt","ifcn.madeira.gov.pt")</f>
        <v>ifcn.madeira.gov.pt</v>
      </c>
      <c r="E175" s="251" t="s">
        <v>6684</v>
      </c>
      <c r="F175" s="251" t="s">
        <v>5988</v>
      </c>
      <c r="G175" s="253"/>
      <c r="H175" s="304" t="s">
        <v>6682</v>
      </c>
      <c r="I175" s="291" t="str">
        <f>HYPERLINK("https://www.google.com/maps/search/Queimadas%20Madeira%20Portugal/@32.7833,-16.9056,17z","⛰ Queimadas")</f>
        <v>⛰ Queimadas</v>
      </c>
    </row>
    <row r="176" spans="1:9" ht="110" customHeight="1" x14ac:dyDescent="0.35">
      <c r="A176" s="356">
        <v>22</v>
      </c>
      <c r="B176" s="254" t="s">
        <v>6735</v>
      </c>
      <c r="C176" s="255" t="s">
        <v>524</v>
      </c>
      <c r="D176" s="254" t="str">
        <f>HYPERLINK("https://www.epicmadeira.com","epicmadeira.com")</f>
        <v>epicmadeira.com</v>
      </c>
      <c r="E176" s="254" t="s">
        <v>6686</v>
      </c>
      <c r="F176" s="254" t="s">
        <v>2219</v>
      </c>
      <c r="G176" s="256"/>
      <c r="H176" s="305" t="s">
        <v>6717</v>
      </c>
      <c r="I176" s="366" t="str">
        <f>HYPERLINK("https://www.google.com/maps/search/EPIC%20Madeira%20Portugal/@32.6744,-16.9039,17z","⛰ EPIC Madeira")</f>
        <v>⛰ EPIC Madeira</v>
      </c>
    </row>
    <row r="178" spans="1:9" x14ac:dyDescent="0.35">
      <c r="A178" s="1353" t="s">
        <v>6736</v>
      </c>
      <c r="B178" s="1354"/>
      <c r="C178" s="1354"/>
      <c r="D178" s="1354"/>
      <c r="E178" s="1354"/>
      <c r="F178" s="1354"/>
      <c r="G178" s="1354"/>
      <c r="H178" s="1354"/>
      <c r="I178" s="1354"/>
    </row>
  </sheetData>
  <mergeCells count="8">
    <mergeCell ref="A2:I2"/>
    <mergeCell ref="A115:I115"/>
    <mergeCell ref="A178:I178"/>
    <mergeCell ref="A111:I111"/>
    <mergeCell ref="A1:I1"/>
    <mergeCell ref="A154:I154"/>
    <mergeCell ref="A4:I4"/>
    <mergeCell ref="A72:I7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13"/>
  <sheetViews>
    <sheetView workbookViewId="0">
      <pane ySplit="3" topLeftCell="A104" activePane="bottomLeft" state="frozen"/>
      <selection pane="bottomLeft" activeCell="J99" sqref="J99"/>
    </sheetView>
  </sheetViews>
  <sheetFormatPr defaultRowHeight="14.5" x14ac:dyDescent="0.35"/>
  <cols>
    <col min="1" max="1" width="4" customWidth="1"/>
    <col min="2" max="2" width="36" customWidth="1"/>
    <col min="3" max="3" width="12" customWidth="1"/>
    <col min="4" max="4" width="30" customWidth="1"/>
    <col min="5" max="5" width="16" customWidth="1"/>
    <col min="6" max="6" width="28" customWidth="1"/>
    <col min="7" max="7" width="14" customWidth="1"/>
    <col min="8" max="8" width="52" customWidth="1"/>
    <col min="9" max="9" width="26" customWidth="1"/>
  </cols>
  <sheetData>
    <row r="1" spans="1:9" ht="32" customHeight="1" x14ac:dyDescent="0.35">
      <c r="A1" s="1476" t="s">
        <v>6737</v>
      </c>
      <c r="B1" s="1313"/>
      <c r="C1" s="1313"/>
      <c r="D1" s="1313"/>
      <c r="E1" s="1313"/>
      <c r="F1" s="1313"/>
      <c r="G1" s="1313"/>
      <c r="H1" s="1313"/>
      <c r="I1" s="1313"/>
    </row>
    <row r="2" spans="1:9" ht="16" customHeight="1" x14ac:dyDescent="0.35">
      <c r="A2" s="1365" t="s">
        <v>6738</v>
      </c>
      <c r="B2" s="1313"/>
      <c r="C2" s="1313"/>
      <c r="D2" s="1313"/>
      <c r="E2" s="1313"/>
      <c r="F2" s="1313"/>
      <c r="G2" s="1313"/>
      <c r="H2" s="1313"/>
      <c r="I2" s="1313"/>
    </row>
    <row r="3" spans="1:9" ht="24" customHeight="1" x14ac:dyDescent="0.35">
      <c r="A3" s="238" t="s">
        <v>141</v>
      </c>
      <c r="B3" s="238" t="s">
        <v>6270</v>
      </c>
      <c r="C3" s="238" t="s">
        <v>619</v>
      </c>
      <c r="D3" s="238" t="s">
        <v>3698</v>
      </c>
      <c r="E3" s="238" t="s">
        <v>906</v>
      </c>
      <c r="F3" s="238" t="s">
        <v>788</v>
      </c>
      <c r="G3" s="238" t="s">
        <v>789</v>
      </c>
      <c r="H3" s="303" t="s">
        <v>8</v>
      </c>
      <c r="I3" s="238" t="s">
        <v>18460</v>
      </c>
    </row>
    <row r="4" spans="1:9" ht="22" customHeight="1" x14ac:dyDescent="0.35">
      <c r="A4" s="1479" t="s">
        <v>6740</v>
      </c>
      <c r="B4" s="1313"/>
      <c r="C4" s="1313"/>
      <c r="D4" s="1313"/>
      <c r="E4" s="1313"/>
      <c r="F4" s="1313"/>
      <c r="G4" s="1313"/>
      <c r="H4" s="1313"/>
      <c r="I4" s="1313"/>
    </row>
    <row r="5" spans="1:9" ht="110" customHeight="1" x14ac:dyDescent="0.35">
      <c r="A5" s="338">
        <v>1</v>
      </c>
      <c r="B5" s="239" t="s">
        <v>1332</v>
      </c>
      <c r="C5" s="240" t="s">
        <v>792</v>
      </c>
      <c r="D5" s="239" t="s">
        <v>1718</v>
      </c>
      <c r="E5" s="239" t="s">
        <v>6741</v>
      </c>
      <c r="F5" s="239" t="s">
        <v>6742</v>
      </c>
      <c r="G5" s="241" t="str">
        <f>HYPERLINK("https://www.google.com/maps/search/Parque%20Nacional%20Peneda-Ger%C3%AAs%20Norte%20Portugal/@41.738,-8.151,17z","🌿 Parque Nacional Peneda-Gerês")</f>
        <v>🌿 Parque Nacional Peneda-Gerês</v>
      </c>
      <c r="H5" s="304" t="s">
        <v>6743</v>
      </c>
      <c r="I5" s="604" t="str">
        <f>HYPERLINK("https://maps.google.com/?q=Parque%20Nacional%20Peneda-Ger%C3%AAs%20Birdwatching%20Portugal","🦅 Parque Nacional Peneda-Gerês")</f>
        <v>🦅 Parque Nacional Peneda-Gerês</v>
      </c>
    </row>
    <row r="6" spans="1:9" ht="110" customHeight="1" x14ac:dyDescent="0.35">
      <c r="A6" s="336">
        <v>2</v>
      </c>
      <c r="B6" s="242" t="s">
        <v>1669</v>
      </c>
      <c r="C6" s="243" t="s">
        <v>792</v>
      </c>
      <c r="D6" s="242" t="s">
        <v>1718</v>
      </c>
      <c r="E6" s="242" t="s">
        <v>6744</v>
      </c>
      <c r="F6" s="242" t="s">
        <v>6742</v>
      </c>
      <c r="G6" s="244" t="str">
        <f>HYPERLINK("https://www.google.com/maps/search/Parque%20Natural%20de%20Montesinho%20Norte%20Portugal/@41.9392,-6.6148,17z","🌿 Parque Natural de Montesinho")</f>
        <v>🌿 Parque Natural de Montesinho</v>
      </c>
      <c r="H6" s="305" t="s">
        <v>6745</v>
      </c>
      <c r="I6" s="605" t="str">
        <f>HYPERLINK("https://maps.google.com/?q=Parque%20Natural%20de%20Montesinho%20Birdwatching%20Portugal","🦅 Parque Natural de Montesinho")</f>
        <v>🦅 Parque Natural de Montesinho</v>
      </c>
    </row>
    <row r="7" spans="1:9" ht="110" customHeight="1" x14ac:dyDescent="0.35">
      <c r="A7" s="338">
        <v>3</v>
      </c>
      <c r="B7" s="239" t="s">
        <v>6746</v>
      </c>
      <c r="C7" s="240" t="s">
        <v>792</v>
      </c>
      <c r="D7" s="239" t="s">
        <v>1718</v>
      </c>
      <c r="E7" s="239" t="s">
        <v>6747</v>
      </c>
      <c r="F7" s="239" t="s">
        <v>6742</v>
      </c>
      <c r="G7" s="241" t="str">
        <f>HYPERLINK("https://www.google.com/maps/search/Douro%20Internacional%20%28Abutres%29%20Norte%20Portugal/@41.4935,-6.2721,17z","🌿 Douro Internacional (Abutres)")</f>
        <v>🌿 Douro Internacional (Abutres)</v>
      </c>
      <c r="H7" s="304" t="s">
        <v>6748</v>
      </c>
      <c r="I7" s="604" t="str">
        <f>HYPERLINK("https://maps.google.com/?q=Douro%20Internacional%20(Abutres)%20Birdwatching%20Portugal","🦅 Douro Internacional (Abutres")</f>
        <v>🦅 Douro Internacional (Abutres</v>
      </c>
    </row>
    <row r="8" spans="1:9" ht="110" customHeight="1" x14ac:dyDescent="0.35">
      <c r="A8" s="336">
        <v>4</v>
      </c>
      <c r="B8" s="242" t="s">
        <v>6749</v>
      </c>
      <c r="C8" s="243" t="s">
        <v>792</v>
      </c>
      <c r="D8" s="242" t="s">
        <v>1718</v>
      </c>
      <c r="E8" s="242" t="s">
        <v>2333</v>
      </c>
      <c r="F8" s="242" t="s">
        <v>6742</v>
      </c>
      <c r="G8" s="244" t="str">
        <f>HYPERLINK("https://www.google.com/maps/search/Estu%C3%A1rio%20do%20Rio%20Minho%20Norte%20Portugal/@41.8754,-8.8413,17z","🌿 Estuário do Rio Minho")</f>
        <v>🌿 Estuário do Rio Minho</v>
      </c>
      <c r="H8" s="305" t="s">
        <v>6750</v>
      </c>
      <c r="I8" s="605" t="str">
        <f>HYPERLINK("https://maps.google.com/?q=Estu%C3%A1rio%20do%20Rio%20Minho%20Birdwatching%20Portugal","🦅 Estuário do Rio Minho")</f>
        <v>🦅 Estuário do Rio Minho</v>
      </c>
    </row>
    <row r="9" spans="1:9" ht="110" customHeight="1" x14ac:dyDescent="0.35">
      <c r="A9" s="338">
        <v>5</v>
      </c>
      <c r="B9" s="239" t="s">
        <v>6751</v>
      </c>
      <c r="C9" s="240" t="s">
        <v>792</v>
      </c>
      <c r="D9" s="239" t="s">
        <v>1718</v>
      </c>
      <c r="E9" s="239" t="s">
        <v>2333</v>
      </c>
      <c r="F9" s="239" t="s">
        <v>6752</v>
      </c>
      <c r="G9" s="241" t="str">
        <f>HYPERLINK("https://www.google.com/maps/search/Parque%20Biol%C3%B3gico%20de%20Gaia%20Norte%20Portugal/@41.0988,-8.5615,17z","🌿 Parque Biológico de Gaia")</f>
        <v>🌿 Parque Biológico de Gaia</v>
      </c>
      <c r="H9" s="304" t="s">
        <v>6750</v>
      </c>
      <c r="I9" s="604" t="str">
        <f>HYPERLINK("https://maps.google.com/?q=Parque%20Biol%C3%B3gico%20de%20Gaia%20Birdwatching%20Portugal","🦅 Parque Biológico de Gaia")</f>
        <v>🦅 Parque Biológico de Gaia</v>
      </c>
    </row>
    <row r="10" spans="1:9" ht="110" customHeight="1" x14ac:dyDescent="0.35">
      <c r="A10" s="336">
        <v>6</v>
      </c>
      <c r="B10" s="242" t="s">
        <v>6334</v>
      </c>
      <c r="C10" s="243" t="s">
        <v>792</v>
      </c>
      <c r="D10" s="242" t="s">
        <v>1718</v>
      </c>
      <c r="E10" s="242" t="s">
        <v>2333</v>
      </c>
      <c r="F10" s="242" t="s">
        <v>6742</v>
      </c>
      <c r="G10" s="244" t="str">
        <f>HYPERLINK("https://www.google.com/maps/search/Lagoas%20de%20Bertiandos%20Norte%20Portugal/@41.7656,-8.6322,17z","🌿 Lagoas de Bertiandos")</f>
        <v>🌿 Lagoas de Bertiandos</v>
      </c>
      <c r="H10" s="305" t="s">
        <v>6750</v>
      </c>
      <c r="I10" s="605" t="str">
        <f>HYPERLINK("https://maps.google.com/?q=Lagoas%20de%20Bertiandos%20Birdwatching%20Portugal","🦅 Lagoas de Bertiandos")</f>
        <v>🦅 Lagoas de Bertiandos</v>
      </c>
    </row>
    <row r="11" spans="1:9" ht="110" customHeight="1" x14ac:dyDescent="0.35">
      <c r="A11" s="338">
        <v>7</v>
      </c>
      <c r="B11" s="239" t="s">
        <v>6753</v>
      </c>
      <c r="C11" s="240" t="s">
        <v>792</v>
      </c>
      <c r="D11" s="239" t="s">
        <v>1718</v>
      </c>
      <c r="E11" s="239" t="s">
        <v>2333</v>
      </c>
      <c r="F11" s="239" t="s">
        <v>6742</v>
      </c>
      <c r="G11" s="241" t="str">
        <f>HYPERLINK("https://www.google.com/maps/search/Reserva%20de%20Mindelo%20Norte%20Portugal/@41.3325,-8.7411,17z","🌿 Reserva de Mindelo")</f>
        <v>🌿 Reserva de Mindelo</v>
      </c>
      <c r="H11" s="304" t="s">
        <v>6750</v>
      </c>
      <c r="I11" s="604" t="str">
        <f>HYPERLINK("https://maps.google.com/?q=Reserva%20de%20Mindelo%20Birdwatching%20Portugal","🦅 Reserva de Mindelo")</f>
        <v>🦅 Reserva de Mindelo</v>
      </c>
    </row>
    <row r="12" spans="1:9" ht="110" customHeight="1" x14ac:dyDescent="0.35">
      <c r="A12" s="336">
        <v>8</v>
      </c>
      <c r="B12" s="242" t="s">
        <v>6754</v>
      </c>
      <c r="C12" s="243" t="s">
        <v>792</v>
      </c>
      <c r="D12" s="242" t="s">
        <v>1718</v>
      </c>
      <c r="E12" s="242" t="s">
        <v>2333</v>
      </c>
      <c r="F12" s="242" t="s">
        <v>6742</v>
      </c>
      <c r="G12" s="244" t="str">
        <f>HYPERLINK("https://www.google.com/maps/search/Albufeira%20do%20Azibo%20Norte%20Portugal/@41.5852,-6.9064,17z","🌿 Albufeira do Azibo")</f>
        <v>🌿 Albufeira do Azibo</v>
      </c>
      <c r="H12" s="305" t="s">
        <v>6750</v>
      </c>
      <c r="I12" s="605" t="str">
        <f>HYPERLINK("https://maps.google.com/?q=Albufeira%20do%20Azibo%20Birdwatching%20Portugal","🦅 Albufeira do Azibo")</f>
        <v>🦅 Albufeira do Azibo</v>
      </c>
    </row>
    <row r="13" spans="1:9" ht="110" customHeight="1" x14ac:dyDescent="0.35">
      <c r="A13" s="338">
        <v>9</v>
      </c>
      <c r="B13" s="239" t="s">
        <v>6755</v>
      </c>
      <c r="C13" s="240" t="s">
        <v>792</v>
      </c>
      <c r="D13" s="239" t="s">
        <v>1718</v>
      </c>
      <c r="E13" s="239" t="s">
        <v>2333</v>
      </c>
      <c r="F13" s="239" t="s">
        <v>6742</v>
      </c>
      <c r="G13" s="241" t="str">
        <f>HYPERLINK("https://www.google.com/maps/search/Corno%20do%20Bico%20Norte%20Portugal/@41.8817,-8.4975,17z","🌿 Corno do Bico")</f>
        <v>🌿 Corno do Bico</v>
      </c>
      <c r="H13" s="304" t="s">
        <v>6750</v>
      </c>
      <c r="I13" s="604" t="str">
        <f>HYPERLINK("https://maps.google.com/?q=Corno%20do%20Bico%20Birdwatching%20Portugal","🦅 Corno do Bico")</f>
        <v>🦅 Corno do Bico</v>
      </c>
    </row>
    <row r="14" spans="1:9" ht="110" customHeight="1" x14ac:dyDescent="0.35">
      <c r="A14" s="336">
        <v>10</v>
      </c>
      <c r="B14" s="242" t="s">
        <v>6756</v>
      </c>
      <c r="C14" s="243" t="s">
        <v>792</v>
      </c>
      <c r="D14" s="242" t="s">
        <v>1718</v>
      </c>
      <c r="E14" s="242" t="s">
        <v>2333</v>
      </c>
      <c r="F14" s="242" t="s">
        <v>6742</v>
      </c>
      <c r="G14" s="244" t="str">
        <f>HYPERLINK("https://www.google.com/maps/search/Ecofluvial%20Rio%20T%C3%A2mega%20Norte%20Portugal/@41.2678,-8.0772,17z","🌿 Ecofluvial Rio Tâmega")</f>
        <v>🌿 Ecofluvial Rio Tâmega</v>
      </c>
      <c r="H14" s="305" t="s">
        <v>6750</v>
      </c>
      <c r="I14" s="605" t="str">
        <f>HYPERLINK("https://maps.google.com/?q=Ecofluvial%20Rio%20T%C3%A2mega%20Birdwatching%20Portugal","🦅 Ecofluvial Rio Tâmega")</f>
        <v>🦅 Ecofluvial Rio Tâmega</v>
      </c>
    </row>
    <row r="15" spans="1:9" ht="110" customHeight="1" x14ac:dyDescent="0.35">
      <c r="A15" s="338">
        <v>11</v>
      </c>
      <c r="B15" s="239" t="s">
        <v>6757</v>
      </c>
      <c r="C15" s="240" t="s">
        <v>792</v>
      </c>
      <c r="D15" s="239" t="s">
        <v>1706</v>
      </c>
      <c r="E15" s="239" t="s">
        <v>2333</v>
      </c>
      <c r="F15" s="239" t="s">
        <v>6752</v>
      </c>
      <c r="G15" s="241" t="str">
        <f>HYPERLINK("https://www.google.com/maps/search/Planet%C3%A1rio%20do%20Porto%20Norte%20Portugal/@41.1504,-8.6358,17z","🌿 Planetário do Porto")</f>
        <v>🌿 Planetário do Porto</v>
      </c>
      <c r="H15" s="304" t="s">
        <v>6758</v>
      </c>
      <c r="I15" s="604" t="str">
        <f>HYPERLINK("https://maps.google.com/?q=Planet%C3%A1rio%20do%20Porto%20Astroturismo%20Portugal","🦅 Planetário do Porto")</f>
        <v>🦅 Planetário do Porto</v>
      </c>
    </row>
    <row r="16" spans="1:9" ht="110" customHeight="1" x14ac:dyDescent="0.35">
      <c r="A16" s="336">
        <v>12</v>
      </c>
      <c r="B16" s="242" t="s">
        <v>6759</v>
      </c>
      <c r="C16" s="243" t="s">
        <v>792</v>
      </c>
      <c r="D16" s="242" t="s">
        <v>1706</v>
      </c>
      <c r="E16" s="242" t="s">
        <v>2333</v>
      </c>
      <c r="F16" s="242" t="s">
        <v>6742</v>
      </c>
      <c r="G16" s="244" t="str">
        <f>HYPERLINK("https://www.google.com/maps/search/Miradouro%20do%20Ujo%20%28Tua%29%20Norte%20Portugal/@41.2584,-7.4147,17z","🌿 Miradouro do Ujo (Tua)")</f>
        <v>🌿 Miradouro do Ujo (Tua)</v>
      </c>
      <c r="H16" s="305" t="s">
        <v>6760</v>
      </c>
      <c r="I16" s="605" t="str">
        <f>HYPERLINK("https://maps.google.com/?q=Miradouro%20do%20Ujo%20(Tua)%20Astroturismo%20Portugal","🦅 Miradouro do Ujo (Tua)")</f>
        <v>🦅 Miradouro do Ujo (Tua)</v>
      </c>
    </row>
    <row r="17" spans="1:9" ht="110" customHeight="1" x14ac:dyDescent="0.35">
      <c r="A17" s="338">
        <v>13</v>
      </c>
      <c r="B17" s="239" t="s">
        <v>6761</v>
      </c>
      <c r="C17" s="240" t="s">
        <v>792</v>
      </c>
      <c r="D17" s="239" t="s">
        <v>1706</v>
      </c>
      <c r="E17" s="239" t="s">
        <v>2333</v>
      </c>
      <c r="F17" s="239" t="s">
        <v>6742</v>
      </c>
      <c r="G17" s="241" t="str">
        <f>HYPERLINK("https://www.google.com/maps/search/Observat%C3%B3rio%20de%20Gualtar%20Norte%20Portugal/@41.5617,-8.3934,17z","🌿 Observatório de Gualtar")</f>
        <v>🌿 Observatório de Gualtar</v>
      </c>
      <c r="H17" s="304" t="s">
        <v>6758</v>
      </c>
      <c r="I17" s="604" t="str">
        <f>HYPERLINK("https://maps.google.com/?q=Observat%C3%B3rio%20de%20Gualtar%20Astroturismo%20Portugal","🦅 Observatório de Gualtar")</f>
        <v>🦅 Observatório de Gualtar</v>
      </c>
    </row>
    <row r="18" spans="1:9" ht="110" customHeight="1" x14ac:dyDescent="0.35">
      <c r="A18" s="336">
        <v>14</v>
      </c>
      <c r="B18" s="242" t="s">
        <v>6762</v>
      </c>
      <c r="C18" s="243" t="s">
        <v>792</v>
      </c>
      <c r="D18" s="242" t="s">
        <v>1706</v>
      </c>
      <c r="E18" s="242" t="s">
        <v>2333</v>
      </c>
      <c r="F18" s="242" t="s">
        <v>6742</v>
      </c>
      <c r="G18" s="244" t="str">
        <f>HYPERLINK("https://www.google.com/maps/search/Santu%C3%A1rio%20Senhora%20da%20Lapa%20Norte%20Portugal/@40.8878,-7.5794,17z","🌿 Santuário Senhora da Lapa")</f>
        <v>🌿 Santuário Senhora da Lapa</v>
      </c>
      <c r="H18" s="305" t="s">
        <v>6758</v>
      </c>
      <c r="I18" s="605" t="str">
        <f>HYPERLINK("https://maps.google.com/?q=Santu%C3%A1rio%20Senhora%20da%20Lapa%20Astroturismo%20Portugal","🦅 Santuário Senhora da Lapa")</f>
        <v>🦅 Santuário Senhora da Lapa</v>
      </c>
    </row>
    <row r="19" spans="1:9" ht="110" customHeight="1" x14ac:dyDescent="0.35">
      <c r="A19" s="338">
        <v>15</v>
      </c>
      <c r="B19" s="239" t="s">
        <v>6763</v>
      </c>
      <c r="C19" s="240" t="s">
        <v>792</v>
      </c>
      <c r="D19" s="239" t="s">
        <v>1706</v>
      </c>
      <c r="E19" s="239" t="s">
        <v>2333</v>
      </c>
      <c r="F19" s="239" t="s">
        <v>6742</v>
      </c>
      <c r="G19" s="241" t="str">
        <f>HYPERLINK("https://www.google.com/maps/search/Miradouro%20S.%20Louren%C3%A7o%20%28Douro%29%20Norte%20Portugal/@41.1989,-7.3186,17z","🌿 Miradouro S. Lourenço (Douro)")</f>
        <v>🌿 Miradouro S. Lourenço (Douro)</v>
      </c>
      <c r="H19" s="304" t="s">
        <v>6760</v>
      </c>
      <c r="I19" s="604" t="str">
        <f>HYPERLINK("https://maps.google.com/?q=Miradouro%20S.%20Louren%C3%A7o%20(Douro)%20Astroturismo%20Portugal","🦅 Miradouro S. Lourenço (Douro")</f>
        <v>🦅 Miradouro S. Lourenço (Douro</v>
      </c>
    </row>
    <row r="20" spans="1:9" ht="110" customHeight="1" x14ac:dyDescent="0.35">
      <c r="A20" s="336">
        <v>16</v>
      </c>
      <c r="B20" s="242" t="s">
        <v>6764</v>
      </c>
      <c r="C20" s="243" t="s">
        <v>792</v>
      </c>
      <c r="D20" s="242" t="s">
        <v>1706</v>
      </c>
      <c r="E20" s="242" t="s">
        <v>2288</v>
      </c>
      <c r="F20" s="242" t="s">
        <v>6742</v>
      </c>
      <c r="G20" s="244" t="str">
        <f>HYPERLINK("https://www.google.com/maps/search/Porta%20do%20Mezio%20%28Ger%C3%AAs%29%20Norte%20Portugal/@41.8845,-8.3128,17z","🌿 Porta do Mezio (Gerês)")</f>
        <v>🌿 Porta do Mezio (Gerês)</v>
      </c>
      <c r="H20" s="305" t="s">
        <v>6765</v>
      </c>
      <c r="I20" s="605" t="str">
        <f>HYPERLINK("https://maps.google.com/?q=Porta%20do%20Mezio%20(Ger%C3%AAs)%20Astroturismo%20Portugal","🦅 Porta do Mezio (Gerês)")</f>
        <v>🦅 Porta do Mezio (Gerês)</v>
      </c>
    </row>
    <row r="21" spans="1:9" ht="110" customHeight="1" x14ac:dyDescent="0.35">
      <c r="A21" s="338">
        <v>17</v>
      </c>
      <c r="B21" s="239" t="s">
        <v>6766</v>
      </c>
      <c r="C21" s="240" t="s">
        <v>792</v>
      </c>
      <c r="D21" s="239" t="s">
        <v>6767</v>
      </c>
      <c r="E21" s="239" t="s">
        <v>2333</v>
      </c>
      <c r="F21" s="239" t="s">
        <v>6768</v>
      </c>
      <c r="G21" s="241" t="str">
        <f>HYPERLINK("https://www.google.com/maps/search/Cais%20da%20Ribeira%20%28Douro%29%20Norte%20Portugal/@41.1406,-8.6131,17z","🌿 Cais da Ribeira (Douro)")</f>
        <v>🌿 Cais da Ribeira (Douro)</v>
      </c>
      <c r="H21" s="304" t="s">
        <v>6769</v>
      </c>
      <c r="I21" s="604" t="str">
        <f>HYPERLINK("https://maps.google.com/?q=Cais%20da%20Ribeira%20(Douro)%20Barco%20Portugal","🦅 Cais da Ribeira (Douro)")</f>
        <v>🦅 Cais da Ribeira (Douro)</v>
      </c>
    </row>
    <row r="22" spans="1:9" ht="110" customHeight="1" x14ac:dyDescent="0.35">
      <c r="A22" s="336">
        <v>18</v>
      </c>
      <c r="B22" s="242" t="s">
        <v>6770</v>
      </c>
      <c r="C22" s="243" t="s">
        <v>792</v>
      </c>
      <c r="D22" s="242" t="s">
        <v>6767</v>
      </c>
      <c r="E22" s="242" t="s">
        <v>2333</v>
      </c>
      <c r="F22" s="242" t="s">
        <v>6771</v>
      </c>
      <c r="G22" s="244" t="str">
        <f>HYPERLINK("https://www.google.com/maps/search/Cais%20da%20R%C3%A9gua%20Norte%20Portugal/@41.1585,-7.7845,17z","🌿 Cais da Régua")</f>
        <v>🌿 Cais da Régua</v>
      </c>
      <c r="H22" s="305" t="s">
        <v>6769</v>
      </c>
      <c r="I22" s="605" t="str">
        <f>HYPERLINK("https://maps.google.com/?q=Cais%20da%20R%C3%A9gua%20Barco%20Portugal","🦅 Cais da Régua")</f>
        <v>🦅 Cais da Régua</v>
      </c>
    </row>
    <row r="23" spans="1:9" ht="110" customHeight="1" x14ac:dyDescent="0.35">
      <c r="A23" s="338">
        <v>19</v>
      </c>
      <c r="B23" s="239" t="s">
        <v>6772</v>
      </c>
      <c r="C23" s="240" t="s">
        <v>792</v>
      </c>
      <c r="D23" s="239" t="s">
        <v>6767</v>
      </c>
      <c r="E23" s="239" t="s">
        <v>2333</v>
      </c>
      <c r="F23" s="239" t="s">
        <v>6773</v>
      </c>
      <c r="G23" s="241" t="str">
        <f>HYPERLINK("https://www.google.com/maps/search/Porto%20de%20Viana%20do%20Castelo%20Norte%20Portugal/@41.6888,-8.8354,17z","🌿 Porto de Viana do Castelo")</f>
        <v>🌿 Porto de Viana do Castelo</v>
      </c>
      <c r="H23" s="304" t="s">
        <v>6769</v>
      </c>
      <c r="I23" s="604" t="str">
        <f>HYPERLINK("https://maps.google.com/?q=Porto%20de%20Viana%20do%20Castelo%20Barco%20Portugal","🦅 Porto de Viana do Castelo")</f>
        <v>🦅 Porto de Viana do Castelo</v>
      </c>
    </row>
    <row r="24" spans="1:9" ht="110" customHeight="1" x14ac:dyDescent="0.35">
      <c r="A24" s="336">
        <v>20</v>
      </c>
      <c r="B24" s="242" t="s">
        <v>6774</v>
      </c>
      <c r="C24" s="243" t="s">
        <v>792</v>
      </c>
      <c r="D24" s="242" t="s">
        <v>6767</v>
      </c>
      <c r="E24" s="242" t="s">
        <v>2333</v>
      </c>
      <c r="F24" s="242" t="s">
        <v>6775</v>
      </c>
      <c r="G24" s="244" t="str">
        <f>HYPERLINK("https://www.google.com/maps/search/Cais%20do%20Pinh%C3%A3o%20Norte%20Portugal/@41.1895,-7.5451,17z","🌿 Cais do Pinhão")</f>
        <v>🌿 Cais do Pinhão</v>
      </c>
      <c r="H24" s="305" t="s">
        <v>6769</v>
      </c>
      <c r="I24" s="605" t="str">
        <f>HYPERLINK("https://maps.google.com/?q=Cais%20do%20Pinh%C3%A3o%20Barco%20Portugal","🦅 Cais do Pinhão")</f>
        <v>🦅 Cais do Pinhão</v>
      </c>
    </row>
    <row r="25" spans="1:9" ht="110" customHeight="1" x14ac:dyDescent="0.35">
      <c r="A25" s="338">
        <v>21</v>
      </c>
      <c r="B25" s="239" t="s">
        <v>6776</v>
      </c>
      <c r="C25" s="240" t="s">
        <v>792</v>
      </c>
      <c r="D25" s="239" t="s">
        <v>6767</v>
      </c>
      <c r="E25" s="239" t="s">
        <v>2333</v>
      </c>
      <c r="F25" s="239" t="s">
        <v>6777</v>
      </c>
      <c r="G25" s="241" t="str">
        <f>HYPERLINK("https://www.google.com/maps/search/Eco-Barco%20Baixo%20Sabor%20Norte%20Portugal/@41.2281,-7.0542,17z","🌿 Eco-Barco Baixo Sabor")</f>
        <v>🌿 Eco-Barco Baixo Sabor</v>
      </c>
      <c r="H25" s="304" t="s">
        <v>6769</v>
      </c>
      <c r="I25" s="604" t="str">
        <f>HYPERLINK("https://maps.google.com/?q=Eco-Barco%20Baixo%20Sabor%20Barco%20Portugal","🦅 Eco-Barco Baixo Sabor")</f>
        <v>🦅 Eco-Barco Baixo Sabor</v>
      </c>
    </row>
    <row r="26" spans="1:9" ht="110" customHeight="1" x14ac:dyDescent="0.35">
      <c r="A26" s="336">
        <v>22</v>
      </c>
      <c r="B26" s="242" t="s">
        <v>6778</v>
      </c>
      <c r="C26" s="243" t="s">
        <v>792</v>
      </c>
      <c r="D26" s="242" t="s">
        <v>6767</v>
      </c>
      <c r="E26" s="242" t="s">
        <v>2333</v>
      </c>
      <c r="F26" s="242" t="s">
        <v>6779</v>
      </c>
      <c r="G26" s="244" t="str">
        <f>HYPERLINK("https://www.google.com/maps/search/Barco%20Rio%20de%20Onor%20Norte%20Portugal/@41.9385,-6.6139,17z","🌿 Barco Rio de Onor")</f>
        <v>🌿 Barco Rio de Onor</v>
      </c>
      <c r="H26" s="305" t="s">
        <v>6769</v>
      </c>
      <c r="I26" s="605" t="str">
        <f>HYPERLINK("https://maps.google.com/?q=Barco%20Rio%20de%20Onor%20Barco%20Portugal","🦅 Barco Rio de Onor")</f>
        <v>🦅 Barco Rio de Onor</v>
      </c>
    </row>
    <row r="27" spans="1:9" ht="110" customHeight="1" x14ac:dyDescent="0.35">
      <c r="A27" s="338">
        <v>23</v>
      </c>
      <c r="B27" s="239" t="s">
        <v>6272</v>
      </c>
      <c r="C27" s="240" t="s">
        <v>792</v>
      </c>
      <c r="D27" s="239" t="s">
        <v>6780</v>
      </c>
      <c r="E27" s="239" t="s">
        <v>2333</v>
      </c>
      <c r="F27" s="239" t="s">
        <v>6781</v>
      </c>
      <c r="G27" s="241" t="str">
        <f>HYPERLINK("https://www.google.com/maps/search/Pena%20Aventura%20Park%20Norte%20Portugal/@41.5175,-7.7947,17z","🌿 Pena Aventura Park")</f>
        <v>🌿 Pena Aventura Park</v>
      </c>
      <c r="H27" s="304" t="s">
        <v>6782</v>
      </c>
      <c r="I27" s="604" t="str">
        <f>HYPERLINK("https://maps.google.com/?q=Pena%20Aventura%20Park%20Aventura%20Portugal","🦅 Pena Aventura Park")</f>
        <v>🦅 Pena Aventura Park</v>
      </c>
    </row>
    <row r="28" spans="1:9" ht="110" customHeight="1" x14ac:dyDescent="0.35">
      <c r="A28" s="336">
        <v>24</v>
      </c>
      <c r="B28" s="242" t="s">
        <v>6280</v>
      </c>
      <c r="C28" s="243" t="s">
        <v>792</v>
      </c>
      <c r="D28" s="242" t="s">
        <v>6780</v>
      </c>
      <c r="E28" s="242" t="s">
        <v>2333</v>
      </c>
      <c r="F28" s="242" t="s">
        <v>6783</v>
      </c>
      <c r="G28" s="244" t="str">
        <f>HYPERLINK("https://www.google.com/maps/search/Passadi%C3%A7os%20do%20Paiva%20Norte%20Portugal/@40.9525,-8.1764,17z","🌿 Passadiços do Paiva")</f>
        <v>🌿 Passadiços do Paiva</v>
      </c>
      <c r="H28" s="305" t="s">
        <v>6782</v>
      </c>
      <c r="I28" s="605" t="str">
        <f>HYPERLINK("https://maps.google.com/?q=Passadi%C3%A7os%20do%20Paiva%20Aventura%20Portugal","🦅 Passadiços do Paiva")</f>
        <v>🦅 Passadiços do Paiva</v>
      </c>
    </row>
    <row r="29" spans="1:9" ht="110" customHeight="1" x14ac:dyDescent="0.35">
      <c r="A29" s="338">
        <v>25</v>
      </c>
      <c r="B29" s="239" t="s">
        <v>6347</v>
      </c>
      <c r="C29" s="240" t="s">
        <v>792</v>
      </c>
      <c r="D29" s="239" t="s">
        <v>6780</v>
      </c>
      <c r="E29" s="239" t="s">
        <v>2333</v>
      </c>
      <c r="F29" s="239" t="s">
        <v>6742</v>
      </c>
      <c r="G29" s="241" t="str">
        <f>HYPERLINK("https://www.google.com/maps/search/Fisgas%20do%20Ermelo%20Norte%20Portugal/@41.3735,-7.8872,17z","🌿 Fisgas do Ermelo")</f>
        <v>🌿 Fisgas do Ermelo</v>
      </c>
      <c r="H29" s="304" t="s">
        <v>6782</v>
      </c>
      <c r="I29" s="604" t="str">
        <f>HYPERLINK("https://maps.google.com/?q=Fisgas%20do%20Ermelo%20Aventura%20Portugal","🦅 Fisgas do Ermelo")</f>
        <v>🦅 Fisgas do Ermelo</v>
      </c>
    </row>
    <row r="30" spans="1:9" ht="22" customHeight="1" x14ac:dyDescent="0.35">
      <c r="A30" s="1475" t="s">
        <v>6784</v>
      </c>
      <c r="B30" s="1313"/>
      <c r="C30" s="1313"/>
      <c r="D30" s="1313"/>
      <c r="E30" s="1313"/>
      <c r="F30" s="1313"/>
      <c r="G30" s="1313"/>
      <c r="H30" s="1313"/>
      <c r="I30" s="1313"/>
    </row>
    <row r="31" spans="1:9" ht="110" customHeight="1" x14ac:dyDescent="0.35">
      <c r="A31" s="358">
        <v>1</v>
      </c>
      <c r="B31" s="259" t="s">
        <v>6785</v>
      </c>
      <c r="C31" s="260" t="s">
        <v>836</v>
      </c>
      <c r="D31" s="259" t="s">
        <v>1718</v>
      </c>
      <c r="E31" s="259" t="s">
        <v>6786</v>
      </c>
      <c r="F31" s="259" t="s">
        <v>6742</v>
      </c>
      <c r="G31" s="261" t="str">
        <f>HYPERLINK("https://www.google.com/maps/search/Ria%20de%20Aveiro%20%28Salgueiro%29%20Centro%20Portugal/@40.6433,-8.6563,17z","🌿 Ria de Aveiro (Salgueiro)")</f>
        <v>🌿 Ria de Aveiro (Salgueiro)</v>
      </c>
      <c r="H31" s="305" t="s">
        <v>6787</v>
      </c>
      <c r="I31" s="606" t="str">
        <f>HYPERLINK("https://maps.google.com/?q=Ria%20de%20Aveiro%20(Salgueiro)%20Birdwatching%20Portugal","🦅 Ria de Aveiro (Salgueiro)")</f>
        <v>🦅 Ria de Aveiro (Salgueiro)</v>
      </c>
    </row>
    <row r="32" spans="1:9" ht="110" customHeight="1" x14ac:dyDescent="0.35">
      <c r="A32" s="352">
        <v>2</v>
      </c>
      <c r="B32" s="262" t="s">
        <v>6788</v>
      </c>
      <c r="C32" s="263" t="s">
        <v>836</v>
      </c>
      <c r="D32" s="262" t="s">
        <v>1718</v>
      </c>
      <c r="E32" s="262" t="s">
        <v>2465</v>
      </c>
      <c r="F32" s="262" t="s">
        <v>6742</v>
      </c>
      <c r="G32" s="264" t="str">
        <f>HYPERLINK("https://www.google.com/maps/search/Estu%C3%A1rio%20do%20Mondego%20Centro%20Portugal/@40.1345,-8.8242,17z","🌿 Estuário do Mondego")</f>
        <v>🌿 Estuário do Mondego</v>
      </c>
      <c r="H32" s="304" t="s">
        <v>6789</v>
      </c>
      <c r="I32" s="607" t="str">
        <f>HYPERLINK("https://maps.google.com/?q=Estu%C3%A1rio%20do%20Mondego%20Birdwatching%20Portugal","🦅 Estuário do Mondego")</f>
        <v>🦅 Estuário do Mondego</v>
      </c>
    </row>
    <row r="33" spans="1:9" ht="110" customHeight="1" x14ac:dyDescent="0.35">
      <c r="A33" s="358">
        <v>3</v>
      </c>
      <c r="B33" s="259" t="s">
        <v>5702</v>
      </c>
      <c r="C33" s="260" t="s">
        <v>836</v>
      </c>
      <c r="D33" s="259" t="s">
        <v>1718</v>
      </c>
      <c r="E33" s="259" t="s">
        <v>5497</v>
      </c>
      <c r="F33" s="259" t="s">
        <v>6742</v>
      </c>
      <c r="G33" s="261" t="str">
        <f>HYPERLINK("https://www.google.com/maps/search/Paul%20de%20Arzila%20Centro%20Portugal/@40.1664,-8.5413,17z","🌿 Paul de Arzila")</f>
        <v>🌿 Paul de Arzila</v>
      </c>
      <c r="H33" s="305" t="s">
        <v>6790</v>
      </c>
      <c r="I33" s="606" t="str">
        <f>HYPERLINK("https://maps.google.com/?q=Paul%20de%20Arzila%20Birdwatching%20Portugal","🦅 Paul de Arzila")</f>
        <v>🦅 Paul de Arzila</v>
      </c>
    </row>
    <row r="34" spans="1:9" ht="110" customHeight="1" x14ac:dyDescent="0.35">
      <c r="A34" s="352">
        <v>4</v>
      </c>
      <c r="B34" s="262" t="s">
        <v>5647</v>
      </c>
      <c r="C34" s="263" t="s">
        <v>836</v>
      </c>
      <c r="D34" s="262" t="s">
        <v>1718</v>
      </c>
      <c r="E34" s="262" t="s">
        <v>6791</v>
      </c>
      <c r="F34" s="262" t="s">
        <v>6742</v>
      </c>
      <c r="G34" s="264" t="str">
        <f>HYPERLINK("https://www.google.com/maps/search/Tejo%20Internacional%20Centro%20Portugal/@39.6942,-7.4583,17z","🌿 Tejo Internacional")</f>
        <v>🌿 Tejo Internacional</v>
      </c>
      <c r="H34" s="304" t="s">
        <v>6792</v>
      </c>
      <c r="I34" s="607" t="str">
        <f>HYPERLINK("https://maps.google.com/?q=Tejo%20Internacional%20Birdwatching%20Portugal","🦅 Tejo Internacional")</f>
        <v>🦅 Tejo Internacional</v>
      </c>
    </row>
    <row r="35" spans="1:9" ht="110" customHeight="1" x14ac:dyDescent="0.35">
      <c r="A35" s="358">
        <v>5</v>
      </c>
      <c r="B35" s="259" t="s">
        <v>6793</v>
      </c>
      <c r="C35" s="260" t="s">
        <v>836</v>
      </c>
      <c r="D35" s="259" t="s">
        <v>1718</v>
      </c>
      <c r="E35" s="259" t="s">
        <v>2465</v>
      </c>
      <c r="F35" s="259" t="s">
        <v>6742</v>
      </c>
      <c r="G35" s="261" t="str">
        <f>HYPERLINK("https://www.google.com/maps/search/Pateira%20de%20Fermentelos%20Centro%20Portugal/@40.5642,-8.5086,17z","🌿 Pateira de Fermentelos")</f>
        <v>🌿 Pateira de Fermentelos</v>
      </c>
      <c r="H35" s="305" t="s">
        <v>6789</v>
      </c>
      <c r="I35" s="606" t="str">
        <f>HYPERLINK("https://maps.google.com/?q=Pateira%20de%20Fermentelos%20Birdwatching%20Portugal","🦅 Pateira de Fermentelos")</f>
        <v>🦅 Pateira de Fermentelos</v>
      </c>
    </row>
    <row r="36" spans="1:9" ht="110" customHeight="1" x14ac:dyDescent="0.35">
      <c r="A36" s="352">
        <v>6</v>
      </c>
      <c r="B36" s="262" t="s">
        <v>6794</v>
      </c>
      <c r="C36" s="263" t="s">
        <v>836</v>
      </c>
      <c r="D36" s="262" t="s">
        <v>1718</v>
      </c>
      <c r="E36" s="262" t="s">
        <v>1358</v>
      </c>
      <c r="F36" s="262" t="s">
        <v>6742</v>
      </c>
      <c r="G36" s="264" t="str">
        <f>HYPERLINK("https://www.google.com/maps/search/Reserva%20das%20Berlengas%20Centro%20Portugal/@39.4121,-9.5086,17z","🌿 Reserva das Berlengas")</f>
        <v>🌿 Reserva das Berlengas</v>
      </c>
      <c r="H36" s="304" t="s">
        <v>6795</v>
      </c>
      <c r="I36" s="607" t="str">
        <f>HYPERLINK("https://maps.google.com/?q=Reserva%20das%20Berlengas%20Birdwatching%20Portugal","🦅 Reserva das Berlengas")</f>
        <v>🦅 Reserva das Berlengas</v>
      </c>
    </row>
    <row r="37" spans="1:9" ht="110" customHeight="1" x14ac:dyDescent="0.35">
      <c r="A37" s="358">
        <v>7</v>
      </c>
      <c r="B37" s="259" t="s">
        <v>6796</v>
      </c>
      <c r="C37" s="260" t="s">
        <v>836</v>
      </c>
      <c r="D37" s="259" t="s">
        <v>1718</v>
      </c>
      <c r="E37" s="259" t="s">
        <v>2465</v>
      </c>
      <c r="F37" s="259" t="s">
        <v>6742</v>
      </c>
      <c r="G37" s="261" t="str">
        <f>HYPERLINK("https://www.google.com/maps/search/Reserva%20Natural%20da%20Malcata%20Centro%20Portugal/@40.2312,-7.0341,17z","🌿 Reserva Natural da Malcata")</f>
        <v>🌿 Reserva Natural da Malcata</v>
      </c>
      <c r="H37" s="305" t="s">
        <v>6789</v>
      </c>
      <c r="I37" s="606" t="str">
        <f>HYPERLINK("https://maps.google.com/?q=Reserva%20Natural%20da%20Malcata%20Birdwatching%20Portugal","🦅 Reserva Natural da Malcata")</f>
        <v>🦅 Reserva Natural da Malcata</v>
      </c>
    </row>
    <row r="38" spans="1:9" ht="110" customHeight="1" x14ac:dyDescent="0.35">
      <c r="A38" s="352">
        <v>8</v>
      </c>
      <c r="B38" s="262" t="s">
        <v>6797</v>
      </c>
      <c r="C38" s="263" t="s">
        <v>836</v>
      </c>
      <c r="D38" s="262" t="s">
        <v>1718</v>
      </c>
      <c r="E38" s="262" t="s">
        <v>2465</v>
      </c>
      <c r="F38" s="262" t="s">
        <v>6742</v>
      </c>
      <c r="G38" s="264" t="str">
        <f>HYPERLINK("https://www.google.com/maps/search/Paul%20de%20Boquilobo%20Centro%20Portugal/@39.3872,-8.5142,17z","🌿 Paul de Boquilobo")</f>
        <v>🌿 Paul de Boquilobo</v>
      </c>
      <c r="H38" s="304" t="s">
        <v>6789</v>
      </c>
      <c r="I38" s="607" t="str">
        <f>HYPERLINK("https://maps.google.com/?q=Paul%20de%20Boquilobo%20Birdwatching%20Portugal","🦅 Paul de Boquilobo")</f>
        <v>🦅 Paul de Boquilobo</v>
      </c>
    </row>
    <row r="39" spans="1:9" ht="110" customHeight="1" x14ac:dyDescent="0.35">
      <c r="A39" s="358">
        <v>9</v>
      </c>
      <c r="B39" s="259" t="s">
        <v>6798</v>
      </c>
      <c r="C39" s="260" t="s">
        <v>836</v>
      </c>
      <c r="D39" s="259" t="s">
        <v>1718</v>
      </c>
      <c r="E39" s="259" t="s">
        <v>2465</v>
      </c>
      <c r="F39" s="259" t="s">
        <v>6742</v>
      </c>
      <c r="G39" s="261" t="str">
        <f>HYPERLINK("https://www.google.com/maps/search/Serra%20da%20Lous%C3%A3%20%28Veados%29%20Centro%20Portugal/@40.1032,-8.2041,17z","🌿 Serra da Lousã (Veados)")</f>
        <v>🌿 Serra da Lousã (Veados)</v>
      </c>
      <c r="H39" s="305" t="s">
        <v>6799</v>
      </c>
      <c r="I39" s="606" t="str">
        <f>HYPERLINK("https://maps.google.com/?q=Serra%20da%20Lous%C3%A3%20(Veados)%20Birdwatching%20Portugal","🦅 Serra da Lousã (Veados)")</f>
        <v>🦅 Serra da Lousã (Veados)</v>
      </c>
    </row>
    <row r="40" spans="1:9" ht="110" customHeight="1" x14ac:dyDescent="0.35">
      <c r="A40" s="352">
        <v>10</v>
      </c>
      <c r="B40" s="262" t="s">
        <v>6800</v>
      </c>
      <c r="C40" s="263" t="s">
        <v>836</v>
      </c>
      <c r="D40" s="262" t="s">
        <v>1706</v>
      </c>
      <c r="E40" s="262" t="s">
        <v>2465</v>
      </c>
      <c r="F40" s="262" t="s">
        <v>6801</v>
      </c>
      <c r="G40" s="264" t="str">
        <f>HYPERLINK("https://www.google.com/maps/search/Geoscope%20Faj%C3%A3o%20%28Aldeias%20Xisto%29%20Centro%20Portugal/@40.1378,-7.9254,17z","🌿 Geoscope Fajão (Aldeias Xis…")</f>
        <v>🌿 Geoscope Fajão (Aldeias Xis…</v>
      </c>
      <c r="H40" s="304" t="s">
        <v>6802</v>
      </c>
      <c r="I40" s="607" t="str">
        <f>HYPERLINK("https://maps.google.com/?q=Geoscope%20Faj%C3%A3o%20(Aldeias%20Xisto)%20Astroturismo%20Portugal","🦅 Geoscope Fajão (Aldeias Xist")</f>
        <v>🦅 Geoscope Fajão (Aldeias Xist</v>
      </c>
    </row>
    <row r="41" spans="1:9" ht="110" customHeight="1" x14ac:dyDescent="0.35">
      <c r="A41" s="358">
        <v>11</v>
      </c>
      <c r="B41" s="259" t="s">
        <v>6803</v>
      </c>
      <c r="C41" s="260" t="s">
        <v>836</v>
      </c>
      <c r="D41" s="259" t="s">
        <v>1706</v>
      </c>
      <c r="E41" s="259" t="s">
        <v>2465</v>
      </c>
      <c r="F41" s="259" t="s">
        <v>6777</v>
      </c>
      <c r="G41" s="261" t="str">
        <f>HYPERLINK("https://www.google.com/maps/search/Observat%C3%B3rio%20de%20Travancinha%20Centro%20Portugal/@40.4851,-7.8285,17z","🌿 Observatório de Travancinha")</f>
        <v>🌿 Observatório de Travancinha</v>
      </c>
      <c r="H41" s="305" t="s">
        <v>6802</v>
      </c>
      <c r="I41" s="606" t="str">
        <f>HYPERLINK("https://maps.google.com/?q=Observat%C3%B3rio%20de%20Travancinha%20Astroturismo%20Portugal","🦅 Observatório de Travancinha")</f>
        <v>🦅 Observatório de Travancinha</v>
      </c>
    </row>
    <row r="42" spans="1:9" ht="110" customHeight="1" x14ac:dyDescent="0.35">
      <c r="A42" s="352">
        <v>12</v>
      </c>
      <c r="B42" s="262" t="s">
        <v>6804</v>
      </c>
      <c r="C42" s="263" t="s">
        <v>836</v>
      </c>
      <c r="D42" s="262" t="s">
        <v>1706</v>
      </c>
      <c r="E42" s="262" t="s">
        <v>2465</v>
      </c>
      <c r="F42" s="262" t="s">
        <v>6742</v>
      </c>
      <c r="G42" s="264" t="str">
        <f>HYPERLINK("https://www.google.com/maps/search/Centro%20Geod%C3%A9sico%20de%20Vila%20de%20Rei%20Portugal/@39.6948,-8.1306,17z","🌿 Centro Geodésico de Vila de…")</f>
        <v>🌿 Centro Geodésico de Vila de…</v>
      </c>
      <c r="H42" s="304" t="s">
        <v>6802</v>
      </c>
      <c r="I42" s="607" t="str">
        <f>HYPERLINK("https://maps.google.com/?q=Centro%20Geod%C3%A9sico%20de%20Vila%20de%20Rei%20Astroturismo%20Portugal","🦅 Centro Geodésico de Vila de ")</f>
        <v xml:space="preserve">🦅 Centro Geodésico de Vila de </v>
      </c>
    </row>
    <row r="43" spans="1:9" ht="110" customHeight="1" x14ac:dyDescent="0.35">
      <c r="A43" s="358">
        <v>13</v>
      </c>
      <c r="B43" s="259" t="s">
        <v>6805</v>
      </c>
      <c r="C43" s="260" t="s">
        <v>836</v>
      </c>
      <c r="D43" s="259" t="s">
        <v>1706</v>
      </c>
      <c r="E43" s="259" t="s">
        <v>6806</v>
      </c>
      <c r="F43" s="259" t="s">
        <v>6742</v>
      </c>
      <c r="G43" s="261" t="str">
        <f>HYPERLINK("https://www.google.com/maps/search/Torre%20da%20Serra%20da%20Estrela%20Centro%20Portugal/@40.3219,-7.6128,17z","🌿 Torre da Serra da Estrela")</f>
        <v>🌿 Torre da Serra da Estrela</v>
      </c>
      <c r="H43" s="305" t="s">
        <v>6807</v>
      </c>
      <c r="I43" s="606" t="str">
        <f>HYPERLINK("https://maps.google.com/?q=Torre%20da%20Serra%20da%20Estrela%20Astroturismo%20Portugal","🦅 Torre da Serra da Estrela")</f>
        <v>🦅 Torre da Serra da Estrela</v>
      </c>
    </row>
    <row r="44" spans="1:9" ht="110" customHeight="1" x14ac:dyDescent="0.35">
      <c r="A44" s="352">
        <v>14</v>
      </c>
      <c r="B44" s="262" t="s">
        <v>6808</v>
      </c>
      <c r="C44" s="263" t="s">
        <v>836</v>
      </c>
      <c r="D44" s="262" t="s">
        <v>6767</v>
      </c>
      <c r="E44" s="262" t="s">
        <v>2465</v>
      </c>
      <c r="F44" s="262" t="s">
        <v>6809</v>
      </c>
      <c r="G44" s="264" t="str">
        <f>HYPERLINK("https://www.google.com/maps/search/Cais%20dos%20Moliceiros%20%E2%80%94%20Aveiro%20Centro%20Portugal/@40.6445,-8.6542,17z","🌿 Cais dos Moliceiros — Aveiro")</f>
        <v>🌿 Cais dos Moliceiros — Aveiro</v>
      </c>
      <c r="H44" s="304" t="s">
        <v>6810</v>
      </c>
      <c r="I44" s="607" t="str">
        <f>HYPERLINK("https://maps.google.com/?q=Cais%20dos%20Moliceiros%20%E2%80%94%20Aveiro%20Barco%20Portugal","🦅 Cais dos Moliceiros — Aveiro")</f>
        <v>🦅 Cais dos Moliceiros — Aveiro</v>
      </c>
    </row>
    <row r="45" spans="1:9" ht="110" customHeight="1" x14ac:dyDescent="0.35">
      <c r="A45" s="358">
        <v>15</v>
      </c>
      <c r="B45" s="259" t="s">
        <v>6811</v>
      </c>
      <c r="C45" s="260" t="s">
        <v>836</v>
      </c>
      <c r="D45" s="259" t="s">
        <v>6767</v>
      </c>
      <c r="E45" s="259" t="s">
        <v>2465</v>
      </c>
      <c r="F45" s="259" t="s">
        <v>6801</v>
      </c>
      <c r="G45" s="261" t="str">
        <f>HYPERLINK("https://www.google.com/maps/search/Castelo%20do%20Bode%20%28Cais%29%20Centro%20Portugal/@39.5451,-8.2736,17z","🌿 Castelo do Bode (Cais)")</f>
        <v>🌿 Castelo do Bode (Cais)</v>
      </c>
      <c r="H45" s="305" t="s">
        <v>6810</v>
      </c>
      <c r="I45" s="606" t="str">
        <f>HYPERLINK("https://maps.google.com/?q=Castelo%20do%20Bode%20(Cais)%20Barco%20Portugal","🦅 Castelo do Bode (Cais)")</f>
        <v>🦅 Castelo do Bode (Cais)</v>
      </c>
    </row>
    <row r="46" spans="1:9" ht="110" customHeight="1" x14ac:dyDescent="0.35">
      <c r="A46" s="352">
        <v>16</v>
      </c>
      <c r="B46" s="262" t="s">
        <v>6812</v>
      </c>
      <c r="C46" s="263" t="s">
        <v>836</v>
      </c>
      <c r="D46" s="262" t="s">
        <v>6767</v>
      </c>
      <c r="E46" s="262" t="s">
        <v>2465</v>
      </c>
      <c r="F46" s="262" t="s">
        <v>6801</v>
      </c>
      <c r="G46" s="264" t="str">
        <f>HYPERLINK("https://www.google.com/maps/search/Cais%20de%20Dornes%20%28Z%C3%AAzere%29%20Centro%20Portugal/@39.7712,-8.2704,17z","🌿 Cais de Dornes (Zêzere)")</f>
        <v>🌿 Cais de Dornes (Zêzere)</v>
      </c>
      <c r="H46" s="304" t="s">
        <v>6810</v>
      </c>
      <c r="I46" s="607" t="str">
        <f>HYPERLINK("https://maps.google.com/?q=Cais%20de%20Dornes%20(Z%C3%AAzere)%20Barco%20Portugal","🦅 Cais de Dornes (Zêzere)")</f>
        <v>🦅 Cais de Dornes (Zêzere)</v>
      </c>
    </row>
    <row r="47" spans="1:9" ht="110" customHeight="1" x14ac:dyDescent="0.35">
      <c r="A47" s="358">
        <v>17</v>
      </c>
      <c r="B47" s="259" t="s">
        <v>6484</v>
      </c>
      <c r="C47" s="260" t="s">
        <v>836</v>
      </c>
      <c r="D47" s="259" t="s">
        <v>1712</v>
      </c>
      <c r="E47" s="259" t="s">
        <v>2465</v>
      </c>
      <c r="F47" s="259" t="s">
        <v>6813</v>
      </c>
      <c r="G47" s="261" t="str">
        <f>HYPERLINK("https://www.google.com/maps/search/Grutas%20de%20Mira%20de%20Aire%20Centro%20Portugal/@39.5401,-8.7038,17z","🌿 Grutas de Mira de Aire")</f>
        <v>🌿 Grutas de Mira de Aire</v>
      </c>
      <c r="H47" s="305" t="s">
        <v>6814</v>
      </c>
      <c r="I47" s="606" t="str">
        <f>HYPERLINK("https://maps.google.com/?q=Grutas%20de%20Mira%20de%20Aire%20Geologia%20Portugal","🦅 Grutas de Mira de Aire")</f>
        <v>🦅 Grutas de Mira de Aire</v>
      </c>
    </row>
    <row r="48" spans="1:9" ht="110" customHeight="1" x14ac:dyDescent="0.35">
      <c r="A48" s="352">
        <v>18</v>
      </c>
      <c r="B48" s="262" t="s">
        <v>6522</v>
      </c>
      <c r="C48" s="263" t="s">
        <v>836</v>
      </c>
      <c r="D48" s="262" t="s">
        <v>1712</v>
      </c>
      <c r="E48" s="262" t="s">
        <v>2465</v>
      </c>
      <c r="F48" s="262" t="s">
        <v>6815</v>
      </c>
      <c r="G48" s="264" t="str">
        <f>HYPERLINK("https://www.google.com/maps/search/Grutas%20da%20Moeda%20Centro%20Portugal/@39.6241,-8.7082,17z","🌿 Grutas da Moeda")</f>
        <v>🌿 Grutas da Moeda</v>
      </c>
      <c r="H48" s="304" t="s">
        <v>6814</v>
      </c>
      <c r="I48" s="607" t="str">
        <f>HYPERLINK("https://maps.google.com/?q=Grutas%20da%20Moeda%20Geologia%20Portugal","🦅 Grutas da Moeda")</f>
        <v>🦅 Grutas da Moeda</v>
      </c>
    </row>
    <row r="49" spans="1:9" ht="110" customHeight="1" x14ac:dyDescent="0.35">
      <c r="A49" s="358">
        <v>19</v>
      </c>
      <c r="B49" s="259" t="s">
        <v>6492</v>
      </c>
      <c r="C49" s="260" t="s">
        <v>836</v>
      </c>
      <c r="D49" s="259" t="s">
        <v>6780</v>
      </c>
      <c r="E49" s="259" t="s">
        <v>2465</v>
      </c>
      <c r="F49" s="259" t="s">
        <v>6816</v>
      </c>
      <c r="G49" s="261" t="str">
        <f>HYPERLINK("https://www.google.com/maps/search/Passadi%C3%A7os%20do%20Mondego%20Centro%20Portugal/@40.5255,-7.3488,17z","🌿 Passadiços do Mondego")</f>
        <v>🌿 Passadiços do Mondego</v>
      </c>
      <c r="H49" s="305" t="s">
        <v>6817</v>
      </c>
      <c r="I49" s="606" t="str">
        <f>HYPERLINK("https://maps.google.com/?q=Passadi%C3%A7os%20do%20Mondego%20Aventura%20Portugal","🦅 Passadiços do Mondego")</f>
        <v>🦅 Passadiços do Mondego</v>
      </c>
    </row>
    <row r="50" spans="1:9" ht="110" customHeight="1" x14ac:dyDescent="0.35">
      <c r="A50" s="352">
        <v>20</v>
      </c>
      <c r="B50" s="262" t="s">
        <v>6818</v>
      </c>
      <c r="C50" s="263" t="s">
        <v>836</v>
      </c>
      <c r="D50" s="262" t="s">
        <v>6780</v>
      </c>
      <c r="E50" s="262" t="s">
        <v>2465</v>
      </c>
      <c r="F50" s="262" t="s">
        <v>6742</v>
      </c>
      <c r="G50" s="264" t="str">
        <f>HYPERLINK("https://www.google.com/maps/search/Cascatas%20do%20Rio%20Agad%C3%A3o%20Centro%20Portugal/@40.5512,-8.3241,17z","🌿 Cascatas do Rio Agadão")</f>
        <v>🌿 Cascatas do Rio Agadão</v>
      </c>
      <c r="H50" s="304" t="s">
        <v>6817</v>
      </c>
      <c r="I50" s="607" t="str">
        <f>HYPERLINK("https://maps.google.com/?q=Cascatas%20do%20Rio%20Agad%C3%A3o%20Aventura%20Portugal","🦅 Cascatas do Rio Agadão")</f>
        <v>🦅 Cascatas do Rio Agadão</v>
      </c>
    </row>
    <row r="51" spans="1:9" ht="22" customHeight="1" x14ac:dyDescent="0.35">
      <c r="A51" s="1480" t="s">
        <v>6819</v>
      </c>
      <c r="B51" s="1313"/>
      <c r="C51" s="1313"/>
      <c r="D51" s="1313"/>
      <c r="E51" s="1313"/>
      <c r="F51" s="1313"/>
      <c r="G51" s="1313"/>
      <c r="H51" s="1313"/>
      <c r="I51" s="1313"/>
    </row>
    <row r="52" spans="1:9" ht="110" customHeight="1" x14ac:dyDescent="0.35">
      <c r="A52" s="360">
        <v>1</v>
      </c>
      <c r="B52" s="245" t="s">
        <v>6820</v>
      </c>
      <c r="C52" s="246" t="s">
        <v>913</v>
      </c>
      <c r="D52" s="245" t="s">
        <v>1718</v>
      </c>
      <c r="E52" s="245" t="s">
        <v>6821</v>
      </c>
      <c r="F52" s="245" t="s">
        <v>6779</v>
      </c>
      <c r="G52" s="247" t="str">
        <f>HYPERLINK("https://www.google.com/maps/search/Estu%C3%A1rio%20do%20Tejo%20%E2%80%94%20EVOA%20Lisboa%20Portugal/@38.8504,-8.9741,17z","🌿 Estuário do Tejo — EVOA")</f>
        <v>🌿 Estuário do Tejo — EVOA</v>
      </c>
      <c r="H52" s="305" t="s">
        <v>6822</v>
      </c>
      <c r="I52" s="608" t="str">
        <f>HYPERLINK("https://maps.google.com/?q=Estu%C3%A1rio%20do%20Tejo%20%E2%80%94%20EVOA%20Birdwatching%20Portugal","🦅 Estuário do Tejo — EVOA")</f>
        <v>🦅 Estuário do Tejo — EVOA</v>
      </c>
    </row>
    <row r="53" spans="1:9" ht="110" customHeight="1" x14ac:dyDescent="0.35">
      <c r="A53" s="340">
        <v>2</v>
      </c>
      <c r="B53" s="248" t="s">
        <v>6823</v>
      </c>
      <c r="C53" s="249" t="s">
        <v>913</v>
      </c>
      <c r="D53" s="248" t="s">
        <v>1718</v>
      </c>
      <c r="E53" s="248" t="s">
        <v>2559</v>
      </c>
      <c r="F53" s="248" t="s">
        <v>6824</v>
      </c>
      <c r="G53" s="250" t="str">
        <f>HYPERLINK("https://www.google.com/maps/search/Lagoa%20Pequena%20%28Sesimbra%29%20Lisboa%20Portugal/@38.5142,-9.1352,17z","🌿 Lagoa Pequena (Sesimbra)")</f>
        <v>🌿 Lagoa Pequena (Sesimbra)</v>
      </c>
      <c r="H53" s="304" t="s">
        <v>6825</v>
      </c>
      <c r="I53" s="609" t="str">
        <f>HYPERLINK("https://maps.google.com/?q=Lagoa%20Pequena%20(Sesimbra)%20Birdwatching%20Portugal","🦅 Lagoa Pequena (Sesimbra)")</f>
        <v>🦅 Lagoa Pequena (Sesimbra)</v>
      </c>
    </row>
    <row r="54" spans="1:9" ht="110" customHeight="1" x14ac:dyDescent="0.35">
      <c r="A54" s="360">
        <v>3</v>
      </c>
      <c r="B54" s="245" t="s">
        <v>5945</v>
      </c>
      <c r="C54" s="246" t="s">
        <v>913</v>
      </c>
      <c r="D54" s="245" t="s">
        <v>1718</v>
      </c>
      <c r="E54" s="245" t="s">
        <v>2559</v>
      </c>
      <c r="F54" s="245" t="s">
        <v>6742</v>
      </c>
      <c r="G54" s="247" t="str">
        <f>HYPERLINK("https://www.google.com/maps/search/Cabo%20Espichel%20Lisboa%20Portugal/@38.4114,-9.2152,17z","🌿 Cabo Espichel")</f>
        <v>🌿 Cabo Espichel</v>
      </c>
      <c r="H54" s="305" t="s">
        <v>6826</v>
      </c>
      <c r="I54" s="608" t="str">
        <f>HYPERLINK("https://maps.google.com/?q=Cabo%20Espichel%20Birdwatching%20Portugal","🦅 Cabo Espichel")</f>
        <v>🦅 Cabo Espichel</v>
      </c>
    </row>
    <row r="55" spans="1:9" ht="110" customHeight="1" x14ac:dyDescent="0.35">
      <c r="A55" s="340">
        <v>4</v>
      </c>
      <c r="B55" s="248" t="s">
        <v>6827</v>
      </c>
      <c r="C55" s="249" t="s">
        <v>913</v>
      </c>
      <c r="D55" s="248" t="s">
        <v>1718</v>
      </c>
      <c r="E55" s="248" t="s">
        <v>2559</v>
      </c>
      <c r="F55" s="248" t="s">
        <v>6742</v>
      </c>
      <c r="G55" s="250" t="str">
        <f>HYPERLINK("https://www.google.com/maps/search/Ponta%20da%20Erva%20Lisboa%20Portugal/@38.8251,-8.9341,17z","🌿 Ponta da Erva")</f>
        <v>🌿 Ponta da Erva</v>
      </c>
      <c r="H55" s="304" t="s">
        <v>6826</v>
      </c>
      <c r="I55" s="609" t="str">
        <f>HYPERLINK("https://maps.google.com/?q=Ponta%20da%20Erva%20Birdwatching%20Portugal","🦅 Ponta da Erva")</f>
        <v>🦅 Ponta da Erva</v>
      </c>
    </row>
    <row r="56" spans="1:9" ht="110" customHeight="1" x14ac:dyDescent="0.35">
      <c r="A56" s="360">
        <v>5</v>
      </c>
      <c r="B56" s="245" t="s">
        <v>6828</v>
      </c>
      <c r="C56" s="246" t="s">
        <v>913</v>
      </c>
      <c r="D56" s="245" t="s">
        <v>1718</v>
      </c>
      <c r="E56" s="245" t="s">
        <v>2559</v>
      </c>
      <c r="F56" s="245" t="s">
        <v>6742</v>
      </c>
      <c r="G56" s="247" t="str">
        <f>HYPERLINK("https://www.google.com/maps/search/Arriba%20F%C3%B3ssil%20da%20Caparica%20Lisboa%20Portugal/@38.5942,-9.2012,17z","🌿 Arriba Fóssil da Caparica")</f>
        <v>🌿 Arriba Fóssil da Caparica</v>
      </c>
      <c r="H56" s="305" t="s">
        <v>6826</v>
      </c>
      <c r="I56" s="608" t="str">
        <f>HYPERLINK("https://maps.google.com/?q=Arriba%20F%C3%B3ssil%20da%20Caparica%20Birdwatching%20Portugal","🦅 Arriba Fóssil da Caparica")</f>
        <v>🦅 Arriba Fóssil da Caparica</v>
      </c>
    </row>
    <row r="57" spans="1:9" ht="110" customHeight="1" x14ac:dyDescent="0.35">
      <c r="A57" s="340">
        <v>6</v>
      </c>
      <c r="B57" s="248" t="s">
        <v>1531</v>
      </c>
      <c r="C57" s="249" t="s">
        <v>913</v>
      </c>
      <c r="D57" s="248" t="s">
        <v>1706</v>
      </c>
      <c r="E57" s="248" t="s">
        <v>2559</v>
      </c>
      <c r="F57" s="248" t="s">
        <v>6752</v>
      </c>
      <c r="G57" s="250" t="str">
        <f>HYPERLINK("https://www.google.com/maps/search/Observat%C3%B3rio%20Astron%C3%B3mico%20de%20Lisboa%20Portugal/@38.7132,-9.1861,17z","🌿 Observatório Astronómico de…")</f>
        <v>🌿 Observatório Astronómico de…</v>
      </c>
      <c r="H57" s="304" t="s">
        <v>6829</v>
      </c>
      <c r="I57" s="609" t="str">
        <f>HYPERLINK("https://maps.google.com/?q=Observat%C3%B3rio%20Astron%C3%B3mico%20de%20Lisboa%20Astroturismo%20Portugal","🦅 Observatório Astronómico de ")</f>
        <v xml:space="preserve">🦅 Observatório Astronómico de </v>
      </c>
    </row>
    <row r="58" spans="1:9" ht="110" customHeight="1" x14ac:dyDescent="0.35">
      <c r="A58" s="360">
        <v>7</v>
      </c>
      <c r="B58" s="245" t="s">
        <v>6830</v>
      </c>
      <c r="C58" s="246" t="s">
        <v>913</v>
      </c>
      <c r="D58" s="245" t="s">
        <v>1706</v>
      </c>
      <c r="E58" s="245" t="s">
        <v>2559</v>
      </c>
      <c r="F58" s="245" t="s">
        <v>6742</v>
      </c>
      <c r="G58" s="247" t="str">
        <f>HYPERLINK("https://www.google.com/maps/search/Cabo%20da%20Roca%20Lisboa%20Portugal/@38.7804,-9.4989,17z","🌿 Cabo da Roca")</f>
        <v>🌿 Cabo da Roca</v>
      </c>
      <c r="H58" s="305" t="s">
        <v>6829</v>
      </c>
      <c r="I58" s="608" t="str">
        <f>HYPERLINK("https://maps.google.com/?q=Cabo%20da%20Roca%20Astroturismo%20Portugal","🦅 Cabo da Roca")</f>
        <v>🦅 Cabo da Roca</v>
      </c>
    </row>
    <row r="59" spans="1:9" ht="110" customHeight="1" x14ac:dyDescent="0.35">
      <c r="A59" s="340">
        <v>8</v>
      </c>
      <c r="B59" s="248" t="s">
        <v>6831</v>
      </c>
      <c r="C59" s="249" t="s">
        <v>913</v>
      </c>
      <c r="D59" s="248" t="s">
        <v>1706</v>
      </c>
      <c r="E59" s="248" t="s">
        <v>2559</v>
      </c>
      <c r="F59" s="248" t="s">
        <v>6742</v>
      </c>
      <c r="G59" s="250" t="str">
        <f>HYPERLINK("https://www.google.com/maps/search/Santu%C3%A1rio%20da%20Peninha%20Lisboa%20Portugal/@38.7684,-9.4589,17z","🌿 Santuário da Peninha")</f>
        <v>🌿 Santuário da Peninha</v>
      </c>
      <c r="H59" s="304" t="s">
        <v>6829</v>
      </c>
      <c r="I59" s="609" t="str">
        <f>HYPERLINK("https://maps.google.com/?q=Santu%C3%A1rio%20da%20Peninha%20Astroturismo%20Portugal","🦅 Santuário da Peninha")</f>
        <v>🦅 Santuário da Peninha</v>
      </c>
    </row>
    <row r="60" spans="1:9" ht="110" customHeight="1" x14ac:dyDescent="0.35">
      <c r="A60" s="360">
        <v>9</v>
      </c>
      <c r="B60" s="245" t="s">
        <v>6832</v>
      </c>
      <c r="C60" s="246" t="s">
        <v>913</v>
      </c>
      <c r="D60" s="245" t="s">
        <v>6767</v>
      </c>
      <c r="E60" s="245" t="s">
        <v>2559</v>
      </c>
      <c r="F60" s="245" t="s">
        <v>6833</v>
      </c>
      <c r="G60" s="247" t="str">
        <f>HYPERLINK("https://www.google.com/maps/search/Cais%20do%20Sodr%C3%A9%20%28Tejo%29%20Lisboa%20Portugal/@38.7058,-9.1444,17z","🌿 Cais do Sodré (Tejo)")</f>
        <v>🌿 Cais do Sodré (Tejo)</v>
      </c>
      <c r="H60" s="305" t="s">
        <v>6834</v>
      </c>
      <c r="I60" s="608" t="str">
        <f>HYPERLINK("https://maps.google.com/?q=Cais%20do%20Sodr%C3%A9%20(Tejo)%20Barco%20Portugal","🦅 Cais do Sodré (Tejo)")</f>
        <v>🦅 Cais do Sodré (Tejo)</v>
      </c>
    </row>
    <row r="61" spans="1:9" ht="110" customHeight="1" x14ac:dyDescent="0.35">
      <c r="A61" s="340">
        <v>10</v>
      </c>
      <c r="B61" s="248" t="s">
        <v>6835</v>
      </c>
      <c r="C61" s="249" t="s">
        <v>913</v>
      </c>
      <c r="D61" s="248" t="s">
        <v>6767</v>
      </c>
      <c r="E61" s="248" t="s">
        <v>2559</v>
      </c>
      <c r="F61" s="248" t="s">
        <v>6836</v>
      </c>
      <c r="G61" s="250" t="str">
        <f>HYPERLINK("https://www.google.com/maps/search/Sesimbra%20%28Grutas%20Marinhas%29%20Lisboa%20Portugal/@38.4412,-9.1012,17z","🌿 Sesimbra (Grutas Marinhas)")</f>
        <v>🌿 Sesimbra (Grutas Marinhas)</v>
      </c>
      <c r="H61" s="304" t="s">
        <v>6834</v>
      </c>
      <c r="I61" s="609" t="str">
        <f>HYPERLINK("https://maps.google.com/?q=Sesimbra%20(Grutas%20Marinhas)%20Barco%20Portugal","🦅 Sesimbra (Grutas Marinhas)")</f>
        <v>🦅 Sesimbra (Grutas Marinhas)</v>
      </c>
    </row>
    <row r="62" spans="1:9" ht="110" customHeight="1" x14ac:dyDescent="0.35">
      <c r="A62" s="360">
        <v>11</v>
      </c>
      <c r="B62" s="245" t="s">
        <v>2635</v>
      </c>
      <c r="C62" s="246" t="s">
        <v>913</v>
      </c>
      <c r="D62" s="245" t="s">
        <v>6767</v>
      </c>
      <c r="E62" s="245" t="s">
        <v>6837</v>
      </c>
      <c r="F62" s="245" t="s">
        <v>6775</v>
      </c>
      <c r="G62" s="247" t="str">
        <f>HYPERLINK("https://www.google.com/maps/search/Portinho%20da%20Arr%C3%A1bida%20Lisboa%20Portugal/@38.4764,-8.9832,17z","🌿 Portinho da Arrábida")</f>
        <v>🌿 Portinho da Arrábida</v>
      </c>
      <c r="H62" s="305" t="s">
        <v>6838</v>
      </c>
      <c r="I62" s="608" t="str">
        <f>HYPERLINK("https://maps.google.com/?q=Portinho%20da%20Arr%C3%A1bida%20Barco%20Portugal","🦅 Portinho da Arrábida")</f>
        <v>🦅 Portinho da Arrábida</v>
      </c>
    </row>
    <row r="63" spans="1:9" ht="110" customHeight="1" x14ac:dyDescent="0.35">
      <c r="A63" s="340">
        <v>12</v>
      </c>
      <c r="B63" s="248" t="s">
        <v>6839</v>
      </c>
      <c r="C63" s="249" t="s">
        <v>913</v>
      </c>
      <c r="D63" s="248" t="s">
        <v>1712</v>
      </c>
      <c r="E63" s="248" t="s">
        <v>2559</v>
      </c>
      <c r="F63" s="248" t="s">
        <v>6742</v>
      </c>
      <c r="G63" s="250" t="str">
        <f>HYPERLINK("https://www.google.com/maps/search/Boca%20do%20Inferno%20Lisboa%20Portugal/@38.6914,-9.4308,17z","🌿 Boca do Inferno")</f>
        <v>🌿 Boca do Inferno</v>
      </c>
      <c r="H63" s="304" t="s">
        <v>6840</v>
      </c>
      <c r="I63" s="609" t="str">
        <f>HYPERLINK("https://maps.google.com/?q=Boca%20do%20Inferno%20Geologia%20Portugal","🦅 Boca do Inferno")</f>
        <v>🦅 Boca do Inferno</v>
      </c>
    </row>
    <row r="64" spans="1:9" ht="110" customHeight="1" x14ac:dyDescent="0.35">
      <c r="A64" s="360">
        <v>13</v>
      </c>
      <c r="B64" s="245" t="s">
        <v>6841</v>
      </c>
      <c r="C64" s="246" t="s">
        <v>913</v>
      </c>
      <c r="D64" s="245" t="s">
        <v>6780</v>
      </c>
      <c r="E64" s="245" t="s">
        <v>2559</v>
      </c>
      <c r="F64" s="245" t="s">
        <v>6801</v>
      </c>
      <c r="G64" s="247" t="str">
        <f>HYPERLINK("https://www.google.com/maps/search/Tapada%20de%20Mafra%20Lisboa%20Portugal/@38.9664,-9.3082,17z","🌿 Tapada de Mafra")</f>
        <v>🌿 Tapada de Mafra</v>
      </c>
      <c r="H64" s="305" t="s">
        <v>6842</v>
      </c>
      <c r="I64" s="608" t="str">
        <f>HYPERLINK("https://maps.google.com/?q=Tapada%20de%20Mafra%20Aventura%20Portugal","🦅 Tapada de Mafra")</f>
        <v>🦅 Tapada de Mafra</v>
      </c>
    </row>
    <row r="65" spans="1:9" ht="22" customHeight="1" x14ac:dyDescent="0.35">
      <c r="A65" s="1478" t="s">
        <v>6843</v>
      </c>
      <c r="B65" s="1313"/>
      <c r="C65" s="1313"/>
      <c r="D65" s="1313"/>
      <c r="E65" s="1313"/>
      <c r="F65" s="1313"/>
      <c r="G65" s="1313"/>
      <c r="H65" s="1313"/>
      <c r="I65" s="1313"/>
    </row>
    <row r="66" spans="1:9" ht="110" customHeight="1" x14ac:dyDescent="0.35">
      <c r="A66" s="346">
        <v>1</v>
      </c>
      <c r="B66" s="267" t="s">
        <v>6844</v>
      </c>
      <c r="C66" s="268" t="s">
        <v>853</v>
      </c>
      <c r="D66" s="267" t="s">
        <v>1718</v>
      </c>
      <c r="E66" s="267" t="s">
        <v>2649</v>
      </c>
      <c r="F66" s="267" t="s">
        <v>6742</v>
      </c>
      <c r="G66" s="269" t="str">
        <f>HYPERLINK("https://www.google.com/maps/search/Castro%20Verde%20%28LPN%29%20Alentejo%20Portugal/@37.7051,-8.0314,17z","🌿 Castro Verde (LPN)")</f>
        <v>🌿 Castro Verde (LPN)</v>
      </c>
      <c r="H66" s="304" t="s">
        <v>6845</v>
      </c>
      <c r="I66" s="610" t="str">
        <f>HYPERLINK("https://maps.google.com/?q=Castro%20Verde%20(LPN)%20Birdwatching%20Portugal","🦅 Castro Verde (LPN)")</f>
        <v>🦅 Castro Verde (LPN)</v>
      </c>
    </row>
    <row r="67" spans="1:9" ht="110" customHeight="1" x14ac:dyDescent="0.35">
      <c r="A67" s="362">
        <v>2</v>
      </c>
      <c r="B67" s="270" t="s">
        <v>2613</v>
      </c>
      <c r="C67" s="271" t="s">
        <v>853</v>
      </c>
      <c r="D67" s="270" t="s">
        <v>1718</v>
      </c>
      <c r="E67" s="270" t="s">
        <v>1347</v>
      </c>
      <c r="F67" s="270" t="s">
        <v>6742</v>
      </c>
      <c r="G67" s="272" t="str">
        <f>HYPERLINK("https://www.google.com/maps/search/Estu%C3%A1rio%20do%20Sado%20Alentejo%20Portugal/@38.4412,-8.8012,17z","🌿 Estuário do Sado")</f>
        <v>🌿 Estuário do Sado</v>
      </c>
      <c r="H67" s="305" t="s">
        <v>6846</v>
      </c>
      <c r="I67" s="611" t="str">
        <f>HYPERLINK("https://maps.google.com/?q=Estu%C3%A1rio%20do%20Sado%20Birdwatching%20Portugal","🦅 Estuário do Sado")</f>
        <v>🦅 Estuário do Sado</v>
      </c>
    </row>
    <row r="68" spans="1:9" ht="110" customHeight="1" x14ac:dyDescent="0.35">
      <c r="A68" s="346">
        <v>3</v>
      </c>
      <c r="B68" s="267" t="s">
        <v>6847</v>
      </c>
      <c r="C68" s="268" t="s">
        <v>853</v>
      </c>
      <c r="D68" s="267" t="s">
        <v>1718</v>
      </c>
      <c r="E68" s="267" t="s">
        <v>2649</v>
      </c>
      <c r="F68" s="267" t="s">
        <v>6742</v>
      </c>
      <c r="G68" s="269" t="str">
        <f>HYPERLINK("https://www.google.com/maps/search/Lagoa%20de%20Santo%20Andr%C3%A9%20Alentejo%20Portugal/@38.1064,-8.7831,17z","🌿 Lagoa de Santo André")</f>
        <v>🌿 Lagoa de Santo André</v>
      </c>
      <c r="H68" s="304" t="s">
        <v>6848</v>
      </c>
      <c r="I68" s="610" t="str">
        <f>HYPERLINK("https://maps.google.com/?q=Lagoa%20de%20Santo%20Andr%C3%A9%20Birdwatching%20Portugal","🦅 Lagoa de Santo André")</f>
        <v>🦅 Lagoa de Santo André</v>
      </c>
    </row>
    <row r="69" spans="1:9" ht="110" customHeight="1" x14ac:dyDescent="0.35">
      <c r="A69" s="362">
        <v>4</v>
      </c>
      <c r="B69" s="270" t="s">
        <v>6418</v>
      </c>
      <c r="C69" s="271" t="s">
        <v>853</v>
      </c>
      <c r="D69" s="270" t="s">
        <v>1718</v>
      </c>
      <c r="E69" s="270" t="s">
        <v>2649</v>
      </c>
      <c r="F69" s="270" t="s">
        <v>6742</v>
      </c>
      <c r="G69" s="272" t="str">
        <f>HYPERLINK("https://www.google.com/maps/search/Pulo%20do%20Lobo%20%28M%C3%A9rtola%29%20Alentejo%20Portugal/@37.8014,-7.6321,17z","🌿 Pulo do Lobo (Mértola)")</f>
        <v>🌿 Pulo do Lobo (Mértola)</v>
      </c>
      <c r="H69" s="305" t="s">
        <v>6845</v>
      </c>
      <c r="I69" s="611" t="str">
        <f>HYPERLINK("https://maps.google.com/?q=Pulo%20do%20Lobo%20(M%C3%A9rtola)%20Birdwatching%20Portugal","🦅 Pulo do Lobo (Mértola)")</f>
        <v>🦅 Pulo do Lobo (Mértola)</v>
      </c>
    </row>
    <row r="70" spans="1:9" ht="110" customHeight="1" x14ac:dyDescent="0.35">
      <c r="A70" s="346">
        <v>5</v>
      </c>
      <c r="B70" s="267" t="s">
        <v>6849</v>
      </c>
      <c r="C70" s="268" t="s">
        <v>853</v>
      </c>
      <c r="D70" s="267" t="s">
        <v>1718</v>
      </c>
      <c r="E70" s="267" t="s">
        <v>2649</v>
      </c>
      <c r="F70" s="267" t="s">
        <v>6742</v>
      </c>
      <c r="G70" s="269" t="str">
        <f>HYPERLINK("https://www.google.com/maps/search/Ponte%20da%20Ajuda%20%28Elvas%29%20Alentejo%20Portugal/@38.7758,-7.1652,17z","🌿 Ponte da Ajuda (Elvas)")</f>
        <v>🌿 Ponte da Ajuda (Elvas)</v>
      </c>
      <c r="H70" s="304" t="s">
        <v>6845</v>
      </c>
      <c r="I70" s="610" t="str">
        <f>HYPERLINK("https://maps.google.com/?q=Ponte%20da%20Ajuda%20(Elvas)%20Birdwatching%20Portugal","🦅 Ponte da Ajuda (Elvas)")</f>
        <v>🦅 Ponte da Ajuda (Elvas)</v>
      </c>
    </row>
    <row r="71" spans="1:9" ht="110" customHeight="1" x14ac:dyDescent="0.35">
      <c r="A71" s="362">
        <v>6</v>
      </c>
      <c r="B71" s="270" t="s">
        <v>6850</v>
      </c>
      <c r="C71" s="271" t="s">
        <v>853</v>
      </c>
      <c r="D71" s="270" t="s">
        <v>1718</v>
      </c>
      <c r="E71" s="270" t="s">
        <v>2649</v>
      </c>
      <c r="F71" s="270" t="s">
        <v>6742</v>
      </c>
      <c r="G71" s="272" t="str">
        <f>HYPERLINK("https://www.google.com/maps/search/Cabo%20de%20Sines%20Alentejo%20Portugal/@37.9512,-8.8821,17z","🌿 Cabo de Sines")</f>
        <v>🌿 Cabo de Sines</v>
      </c>
      <c r="H71" s="305" t="s">
        <v>6848</v>
      </c>
      <c r="I71" s="611" t="str">
        <f>HYPERLINK("https://maps.google.com/?q=Cabo%20de%20Sines%20Birdwatching%20Portugal","🦅 Cabo de Sines")</f>
        <v>🦅 Cabo de Sines</v>
      </c>
    </row>
    <row r="72" spans="1:9" ht="110" customHeight="1" x14ac:dyDescent="0.35">
      <c r="A72" s="346">
        <v>7</v>
      </c>
      <c r="B72" s="267" t="s">
        <v>6851</v>
      </c>
      <c r="C72" s="268" t="s">
        <v>853</v>
      </c>
      <c r="D72" s="267" t="s">
        <v>1718</v>
      </c>
      <c r="E72" s="267" t="s">
        <v>2649</v>
      </c>
      <c r="F72" s="267" t="s">
        <v>6742</v>
      </c>
      <c r="G72" s="269" t="str">
        <f>HYPERLINK("https://www.google.com/maps/search/Barragem%20de%20Alqueva%20Alentejo%20Portugal/@38.2141,-7.4852,17z","🌿 Barragem de Alqueva")</f>
        <v>🌿 Barragem de Alqueva</v>
      </c>
      <c r="H72" s="304" t="s">
        <v>6848</v>
      </c>
      <c r="I72" s="610" t="str">
        <f>HYPERLINK("https://maps.google.com/?q=Barragem%20de%20Alqueva%20Birdwatching%20Portugal","🦅 Barragem de Alqueva")</f>
        <v>🦅 Barragem de Alqueva</v>
      </c>
    </row>
    <row r="73" spans="1:9" ht="110" customHeight="1" x14ac:dyDescent="0.35">
      <c r="A73" s="362">
        <v>8</v>
      </c>
      <c r="B73" s="270" t="s">
        <v>1705</v>
      </c>
      <c r="C73" s="271" t="s">
        <v>853</v>
      </c>
      <c r="D73" s="270" t="s">
        <v>1706</v>
      </c>
      <c r="E73" s="270" t="s">
        <v>2649</v>
      </c>
      <c r="F73" s="270" t="s">
        <v>6777</v>
      </c>
      <c r="G73" s="272" t="str">
        <f>HYPERLINK("https://www.google.com/maps/search/Dark%20Sky%20Alqueva%20%E2%80%94%20Cumeada%20Alentejo%20Portugal/@38.4456,-7.3779,17z","🌿 Dark Sky Alqueva — Cumeada")</f>
        <v>🌿 Dark Sky Alqueva — Cumeada</v>
      </c>
      <c r="H73" s="305" t="s">
        <v>6852</v>
      </c>
      <c r="I73" s="611" t="str">
        <f>HYPERLINK("https://maps.google.com/?q=Dark%20Sky%20Alqueva%20%E2%80%94%20Cumeada%20Astroturismo%20Portugal","🦅 Dark Sky Alqueva — Cumeada")</f>
        <v>🦅 Dark Sky Alqueva — Cumeada</v>
      </c>
    </row>
    <row r="74" spans="1:9" ht="110" customHeight="1" x14ac:dyDescent="0.35">
      <c r="A74" s="346">
        <v>9</v>
      </c>
      <c r="B74" s="267" t="s">
        <v>6853</v>
      </c>
      <c r="C74" s="268" t="s">
        <v>853</v>
      </c>
      <c r="D74" s="267" t="s">
        <v>1706</v>
      </c>
      <c r="E74" s="267" t="s">
        <v>2649</v>
      </c>
      <c r="F74" s="267" t="s">
        <v>6742</v>
      </c>
      <c r="G74" s="269" t="str">
        <f>HYPERLINK("https://www.google.com/maps/search/Castelo%20de%20Monsaraz%20Alentejo%20Portugal/@38.4431,-7.3811,17z","🌿 Castelo de Monsaraz")</f>
        <v>🌿 Castelo de Monsaraz</v>
      </c>
      <c r="H74" s="304" t="s">
        <v>6852</v>
      </c>
      <c r="I74" s="610" t="str">
        <f>HYPERLINK("https://maps.google.com/?q=Castelo%20de%20Monsaraz%20Astroturismo%20Portugal","🦅 Castelo de Monsaraz")</f>
        <v>🦅 Castelo de Monsaraz</v>
      </c>
    </row>
    <row r="75" spans="1:9" ht="110" customHeight="1" x14ac:dyDescent="0.35">
      <c r="A75" s="362">
        <v>10</v>
      </c>
      <c r="B75" s="270" t="s">
        <v>6854</v>
      </c>
      <c r="C75" s="271" t="s">
        <v>853</v>
      </c>
      <c r="D75" s="270" t="s">
        <v>1706</v>
      </c>
      <c r="E75" s="270" t="s">
        <v>2649</v>
      </c>
      <c r="F75" s="270" t="s">
        <v>6742</v>
      </c>
      <c r="G75" s="272" t="str">
        <f>HYPERLINK("https://www.google.com/maps/search/Mina%20de%20S%C3%A3o%20Domingos%20Alentejo%20Portugal/@37.6719,-7.5042,17z","🌿 Mina de São Domingos")</f>
        <v>🌿 Mina de São Domingos</v>
      </c>
      <c r="H75" s="305" t="s">
        <v>6852</v>
      </c>
      <c r="I75" s="611" t="str">
        <f>HYPERLINK("https://maps.google.com/?q=Mina%20de%20S%C3%A3o%20Domingos%20Astroturismo%20Portugal","🦅 Mina de São Domingos")</f>
        <v>🦅 Mina de São Domingos</v>
      </c>
    </row>
    <row r="76" spans="1:9" ht="110" customHeight="1" x14ac:dyDescent="0.35">
      <c r="A76" s="346">
        <v>11</v>
      </c>
      <c r="B76" s="267" t="s">
        <v>6855</v>
      </c>
      <c r="C76" s="268" t="s">
        <v>853</v>
      </c>
      <c r="D76" s="267" t="s">
        <v>1706</v>
      </c>
      <c r="E76" s="267" t="s">
        <v>2649</v>
      </c>
      <c r="F76" s="267" t="s">
        <v>6742</v>
      </c>
      <c r="G76" s="269" t="str">
        <f>HYPERLINK("https://www.google.com/maps/search/Ermida%20S.%20Pedro%20Alandroal%20Alentejo%20Portugal/@38.6475,-7.2183,17z","🌿 Ermida S. Pedro Alandroal")</f>
        <v>🌿 Ermida S. Pedro Alandroal</v>
      </c>
      <c r="H76" s="304" t="s">
        <v>6852</v>
      </c>
      <c r="I76" s="610" t="str">
        <f>HYPERLINK("https://maps.google.com/?q=Ermida%20S.%20Pedro%20Alandroal%20Astroturismo%20Portugal","🦅 Ermida S. Pedro Alandroal")</f>
        <v>🦅 Ermida S. Pedro Alandroal</v>
      </c>
    </row>
    <row r="77" spans="1:9" ht="110" customHeight="1" x14ac:dyDescent="0.35">
      <c r="A77" s="362">
        <v>12</v>
      </c>
      <c r="B77" s="270" t="s">
        <v>6856</v>
      </c>
      <c r="C77" s="271" t="s">
        <v>853</v>
      </c>
      <c r="D77" s="270" t="s">
        <v>6767</v>
      </c>
      <c r="E77" s="270" t="s">
        <v>2649</v>
      </c>
      <c r="F77" s="270" t="s">
        <v>6857</v>
      </c>
      <c r="G77" s="272" t="str">
        <f>HYPERLINK("https://www.google.com/maps/search/Marina%20de%20Amieira%20%28Alqueva%29%20Alentejo%20Portugal/@38.2764,-7.5342,17z","🌿 Marina de Amieira (Alqueva)")</f>
        <v>🌿 Marina de Amieira (Alqueva)</v>
      </c>
      <c r="H77" s="305" t="s">
        <v>6858</v>
      </c>
      <c r="I77" s="611" t="str">
        <f>HYPERLINK("https://maps.google.com/?q=Marina%20de%20Amieira%20(Alqueva)%20Barco%20Portugal","🦅 Marina de Amieira (Alqueva)")</f>
        <v>🦅 Marina de Amieira (Alqueva)</v>
      </c>
    </row>
    <row r="78" spans="1:9" ht="110" customHeight="1" x14ac:dyDescent="0.35">
      <c r="A78" s="346">
        <v>13</v>
      </c>
      <c r="B78" s="267" t="s">
        <v>6859</v>
      </c>
      <c r="C78" s="268" t="s">
        <v>853</v>
      </c>
      <c r="D78" s="267" t="s">
        <v>6767</v>
      </c>
      <c r="E78" s="267" t="s">
        <v>2649</v>
      </c>
      <c r="F78" s="267" t="s">
        <v>6773</v>
      </c>
      <c r="G78" s="269" t="str">
        <f>HYPERLINK("https://www.google.com/maps/search/Cais%20Vila%20Nova%20de%20Milfontes%20Alentejo%20Portugal/@37.7225,-8.7828,17z","🌿 Cais Vila Nova de Milfontes")</f>
        <v>🌿 Cais Vila Nova de Milfontes</v>
      </c>
      <c r="H78" s="304" t="s">
        <v>6858</v>
      </c>
      <c r="I78" s="610" t="str">
        <f>HYPERLINK("https://maps.google.com/?q=Cais%20Vila%20Nova%20de%20Milfontes%20Barco%20Portugal","🦅 Cais Vila Nova de Milfontes")</f>
        <v>🦅 Cais Vila Nova de Milfontes</v>
      </c>
    </row>
    <row r="79" spans="1:9" ht="110" customHeight="1" x14ac:dyDescent="0.35">
      <c r="A79" s="362">
        <v>14</v>
      </c>
      <c r="B79" s="270" t="s">
        <v>6860</v>
      </c>
      <c r="C79" s="271" t="s">
        <v>853</v>
      </c>
      <c r="D79" s="270" t="s">
        <v>6767</v>
      </c>
      <c r="E79" s="270" t="s">
        <v>2649</v>
      </c>
      <c r="F79" s="270" t="s">
        <v>6861</v>
      </c>
      <c r="G79" s="272" t="str">
        <f>HYPERLINK("https://www.google.com/maps/search/Cais%20de%20Alc%C3%A1cer%20do%20Sal%20Alentejo%20Portugal/@38.3711,-8.5133,17z","🌿 Cais de Alcácer do Sal")</f>
        <v>🌿 Cais de Alcácer do Sal</v>
      </c>
      <c r="H79" s="305" t="s">
        <v>6858</v>
      </c>
      <c r="I79" s="611" t="str">
        <f>HYPERLINK("https://maps.google.com/?q=Cais%20de%20Alc%C3%A1cer%20do%20Sal%20Barco%20Portugal","🦅 Cais de Alcácer do Sal")</f>
        <v>🦅 Cais de Alcácer do Sal</v>
      </c>
    </row>
    <row r="80" spans="1:9" ht="110" customHeight="1" x14ac:dyDescent="0.35">
      <c r="A80" s="346">
        <v>15</v>
      </c>
      <c r="B80" s="267" t="s">
        <v>6371</v>
      </c>
      <c r="C80" s="268" t="s">
        <v>853</v>
      </c>
      <c r="D80" s="267" t="s">
        <v>6780</v>
      </c>
      <c r="E80" s="267" t="s">
        <v>2649</v>
      </c>
      <c r="F80" s="267" t="s">
        <v>6773</v>
      </c>
      <c r="G80" s="269" t="str">
        <f>HYPERLINK("https://www.google.com/maps/search/Badoca%20Safari%20Park%20Alentejo%20Portugal/@38.0435,-8.7456,17z","🌿 Badoca Safari Park")</f>
        <v>🌿 Badoca Safari Park</v>
      </c>
      <c r="H80" s="304" t="s">
        <v>6862</v>
      </c>
      <c r="I80" s="610" t="str">
        <f>HYPERLINK("https://maps.google.com/?q=Badoca%20Safari%20Park%20Aventura%20Portugal","🦅 Badoca Safari Park")</f>
        <v>🦅 Badoca Safari Park</v>
      </c>
    </row>
    <row r="81" spans="1:9" ht="110" customHeight="1" x14ac:dyDescent="0.35">
      <c r="A81" s="362">
        <v>16</v>
      </c>
      <c r="B81" s="270" t="s">
        <v>6863</v>
      </c>
      <c r="C81" s="271" t="s">
        <v>853</v>
      </c>
      <c r="D81" s="270" t="s">
        <v>4489</v>
      </c>
      <c r="E81" s="270" t="s">
        <v>2649</v>
      </c>
      <c r="F81" s="270" t="s">
        <v>6742</v>
      </c>
      <c r="G81" s="272" t="str">
        <f>HYPERLINK("https://www.google.com/maps/search/Cromeleque%20dos%20Almendres%20Alentejo%20Portugal/@38.5575,-8.0614,17z","🌿 Cromeleque dos Almendres")</f>
        <v>🌿 Cromeleque dos Almendres</v>
      </c>
      <c r="H81" s="305" t="s">
        <v>6864</v>
      </c>
      <c r="I81" s="611" t="str">
        <f>HYPERLINK("https://maps.google.com/?q=Cromeleque%20dos%20Almendres%20Cultura%20Portugal","🦅 Cromeleque dos Almendres")</f>
        <v>🦅 Cromeleque dos Almendres</v>
      </c>
    </row>
    <row r="82" spans="1:9" ht="110" customHeight="1" x14ac:dyDescent="0.35">
      <c r="A82" s="346">
        <v>17</v>
      </c>
      <c r="B82" s="267" t="s">
        <v>6865</v>
      </c>
      <c r="C82" s="268" t="s">
        <v>853</v>
      </c>
      <c r="D82" s="267" t="s">
        <v>6780</v>
      </c>
      <c r="E82" s="267" t="s">
        <v>2649</v>
      </c>
      <c r="F82" s="267" t="s">
        <v>6742</v>
      </c>
      <c r="G82" s="269" t="str">
        <f>HYPERLINK("https://www.google.com/maps/search/Trilho%20dos%20Pescadores%20Alentejo%20Portugal/@37.8519,-8.7931,17z","🌿 Trilho dos Pescadores")</f>
        <v>🌿 Trilho dos Pescadores</v>
      </c>
      <c r="H82" s="304" t="s">
        <v>6862</v>
      </c>
      <c r="I82" s="610" t="str">
        <f>HYPERLINK("https://maps.google.com/?q=Trilho%20dos%20Pescadores%20Aventura%20Portugal","🦅 Trilho dos Pescadores")</f>
        <v>🦅 Trilho dos Pescadores</v>
      </c>
    </row>
    <row r="83" spans="1:9" ht="22" customHeight="1" x14ac:dyDescent="0.35">
      <c r="A83" s="1477" t="s">
        <v>6866</v>
      </c>
      <c r="B83" s="1313"/>
      <c r="C83" s="1313"/>
      <c r="D83" s="1313"/>
      <c r="E83" s="1313"/>
      <c r="F83" s="1313"/>
      <c r="G83" s="1313"/>
      <c r="H83" s="1313"/>
      <c r="I83" s="1313"/>
    </row>
    <row r="84" spans="1:9" ht="110" customHeight="1" x14ac:dyDescent="0.35">
      <c r="A84" s="348">
        <v>1</v>
      </c>
      <c r="B84" s="273" t="s">
        <v>6867</v>
      </c>
      <c r="C84" s="274" t="s">
        <v>767</v>
      </c>
      <c r="D84" s="273" t="s">
        <v>1718</v>
      </c>
      <c r="E84" s="273" t="s">
        <v>2779</v>
      </c>
      <c r="F84" s="273" t="s">
        <v>6742</v>
      </c>
      <c r="G84" s="276" t="str">
        <f>HYPERLINK("https://www.google.com/maps/search/Pen%C3%ADnsula%20de%20Sagres%20Algarve%20Portugal/@37.0051,-8.9482,17z","🌿 Península de Sagres")</f>
        <v>🌿 Península de Sagres</v>
      </c>
      <c r="H84" s="305" t="s">
        <v>6868</v>
      </c>
      <c r="I84" s="612" t="str">
        <f>HYPERLINK("https://maps.google.com/?q=Pen%C3%ADnsula%20de%20Sagres%20Birdwatching%20Portugal","🦅 Península de Sagres")</f>
        <v>🦅 Península de Sagres</v>
      </c>
    </row>
    <row r="85" spans="1:9" ht="110" customHeight="1" x14ac:dyDescent="0.35">
      <c r="A85" s="354">
        <v>2</v>
      </c>
      <c r="B85" s="277" t="s">
        <v>6869</v>
      </c>
      <c r="C85" s="278" t="s">
        <v>767</v>
      </c>
      <c r="D85" s="277" t="s">
        <v>1718</v>
      </c>
      <c r="E85" s="277" t="s">
        <v>2779</v>
      </c>
      <c r="F85" s="277" t="s">
        <v>6742</v>
      </c>
      <c r="G85" s="279" t="str">
        <f>HYPERLINK("https://www.google.com/maps/search/Lagoa%20dos%20Salgados%20Algarve%20Portugal/@37.0898,-8.3308,17z","🌿 Lagoa dos Salgados")</f>
        <v>🌿 Lagoa dos Salgados</v>
      </c>
      <c r="H85" s="304" t="s">
        <v>6868</v>
      </c>
      <c r="I85" s="613" t="str">
        <f>HYPERLINK("https://maps.google.com/?q=Lagoa%20dos%20Salgados%20Birdwatching%20Portugal","🦅 Lagoa dos Salgados")</f>
        <v>🦅 Lagoa dos Salgados</v>
      </c>
    </row>
    <row r="86" spans="1:9" ht="110" customHeight="1" x14ac:dyDescent="0.35">
      <c r="A86" s="348">
        <v>3</v>
      </c>
      <c r="B86" s="273" t="s">
        <v>6870</v>
      </c>
      <c r="C86" s="274" t="s">
        <v>767</v>
      </c>
      <c r="D86" s="273" t="s">
        <v>1718</v>
      </c>
      <c r="E86" s="273" t="s">
        <v>6871</v>
      </c>
      <c r="F86" s="273" t="s">
        <v>6742</v>
      </c>
      <c r="G86" s="276" t="str">
        <f>HYPERLINK("https://www.google.com/maps/search/Ria%20Formosa%20%28Ludo%29%20Algarve%20Portugal/@37.0272,-7.9944,17z","🌿 Ria Formosa (Ludo)")</f>
        <v>🌿 Ria Formosa (Ludo)</v>
      </c>
      <c r="H86" s="305" t="s">
        <v>6872</v>
      </c>
      <c r="I86" s="612" t="str">
        <f>HYPERLINK("https://maps.google.com/?q=Ria%20Formosa%20(Ludo)%20Birdwatching%20Portugal","🦅 Ria Formosa (Ludo)")</f>
        <v>🦅 Ria Formosa (Ludo)</v>
      </c>
    </row>
    <row r="87" spans="1:9" ht="110" customHeight="1" x14ac:dyDescent="0.35">
      <c r="A87" s="354">
        <v>4</v>
      </c>
      <c r="B87" s="277" t="s">
        <v>5531</v>
      </c>
      <c r="C87" s="278" t="s">
        <v>767</v>
      </c>
      <c r="D87" s="277" t="s">
        <v>1718</v>
      </c>
      <c r="E87" s="277" t="s">
        <v>6873</v>
      </c>
      <c r="F87" s="277" t="s">
        <v>6742</v>
      </c>
      <c r="G87" s="279" t="str">
        <f>HYPERLINK("https://www.google.com/maps/search/Sapal%20de%20Castro%20Marim%20Algarve%20Portugal/@37.1994,-7.4414,17z","🌿 Sapal de Castro Marim")</f>
        <v>🌿 Sapal de Castro Marim</v>
      </c>
      <c r="H87" s="304" t="s">
        <v>6874</v>
      </c>
      <c r="I87" s="613" t="str">
        <f>HYPERLINK("https://maps.google.com/?q=Sapal%20de%20Castro%20Marim%20Birdwatching%20Portugal","🦅 Sapal de Castro Marim")</f>
        <v>🦅 Sapal de Castro Marim</v>
      </c>
    </row>
    <row r="88" spans="1:9" ht="110" customHeight="1" x14ac:dyDescent="0.35">
      <c r="A88" s="348">
        <v>5</v>
      </c>
      <c r="B88" s="273" t="s">
        <v>6875</v>
      </c>
      <c r="C88" s="274" t="s">
        <v>767</v>
      </c>
      <c r="D88" s="273" t="s">
        <v>1718</v>
      </c>
      <c r="E88" s="273" t="s">
        <v>2779</v>
      </c>
      <c r="F88" s="273" t="s">
        <v>6742</v>
      </c>
      <c r="G88" s="276" t="str">
        <f>HYPERLINK("https://www.google.com/maps/search/Cabo%20de%20Santa%20Maria%20%28Faro%29%20Algarve%20Portugal/@36.9589,-7.8864,17z","🌿 Cabo de Santa Maria (Faro)")</f>
        <v>🌿 Cabo de Santa Maria (Faro)</v>
      </c>
      <c r="H88" s="305" t="s">
        <v>6876</v>
      </c>
      <c r="I88" s="612" t="str">
        <f>HYPERLINK("https://maps.google.com/?q=Cabo%20de%20Santa%20Maria%20(Faro)%20Birdwatching%20Portugal","🦅 Cabo de Santa Maria (Faro)")</f>
        <v>🦅 Cabo de Santa Maria (Faro)</v>
      </c>
    </row>
    <row r="89" spans="1:9" ht="110" customHeight="1" x14ac:dyDescent="0.35">
      <c r="A89" s="354">
        <v>6</v>
      </c>
      <c r="B89" s="277" t="s">
        <v>6877</v>
      </c>
      <c r="C89" s="278" t="s">
        <v>767</v>
      </c>
      <c r="D89" s="277" t="s">
        <v>1706</v>
      </c>
      <c r="E89" s="277" t="s">
        <v>2779</v>
      </c>
      <c r="F89" s="277" t="s">
        <v>6742</v>
      </c>
      <c r="G89" s="279" t="str">
        <f>HYPERLINK("https://www.google.com/maps/search/Serra%20de%20Monchique%20%E2%80%94%20F%C3%B3ia%20Algarve%20Portugal/@37.3148,-8.5959,17z","🌿 Serra de Monchique — Fóia")</f>
        <v>🌿 Serra de Monchique — Fóia</v>
      </c>
      <c r="H89" s="304" t="s">
        <v>6878</v>
      </c>
      <c r="I89" s="613" t="str">
        <f>HYPERLINK("https://maps.google.com/?q=Serra%20de%20Monchique%20%E2%80%94%20F%C3%B3ia%20Astroturismo%20Portugal","🦅 Serra de Monchique — Fóia")</f>
        <v>🦅 Serra de Monchique — Fóia</v>
      </c>
    </row>
    <row r="90" spans="1:9" ht="110" customHeight="1" x14ac:dyDescent="0.35">
      <c r="A90" s="348">
        <v>7</v>
      </c>
      <c r="B90" s="273" t="s">
        <v>6879</v>
      </c>
      <c r="C90" s="274" t="s">
        <v>767</v>
      </c>
      <c r="D90" s="273" t="s">
        <v>1706</v>
      </c>
      <c r="E90" s="273" t="s">
        <v>2779</v>
      </c>
      <c r="F90" s="273" t="s">
        <v>6880</v>
      </c>
      <c r="G90" s="276" t="str">
        <f>HYPERLINK("https://www.google.com/maps/search/Observat%C3%B3rio%20de%20Tavira%20Algarve%20Portugal/@37.1264,-7.6511,17z","🌿 Observatório de Tavira")</f>
        <v>🌿 Observatório de Tavira</v>
      </c>
      <c r="H90" s="305" t="s">
        <v>6878</v>
      </c>
      <c r="I90" s="612" t="str">
        <f>HYPERLINK("https://maps.google.com/?q=Observat%C3%B3rio%20de%20Tavira%20Astroturismo%20Portugal","🦅 Observatório de Tavira")</f>
        <v>🦅 Observatório de Tavira</v>
      </c>
    </row>
    <row r="91" spans="1:9" ht="110" customHeight="1" x14ac:dyDescent="0.35">
      <c r="A91" s="354">
        <v>8</v>
      </c>
      <c r="B91" s="277" t="s">
        <v>6881</v>
      </c>
      <c r="C91" s="278" t="s">
        <v>767</v>
      </c>
      <c r="D91" s="277" t="s">
        <v>1706</v>
      </c>
      <c r="E91" s="277" t="s">
        <v>6882</v>
      </c>
      <c r="F91" s="277" t="s">
        <v>6742</v>
      </c>
      <c r="G91" s="279" t="str">
        <f>HYPERLINK("https://www.google.com/maps/search/Praia%20do%20Amado%20%28Costa%20Vicentina%29%20Algarve%20Portugal/@37.1669,-8.9022,17z","🌿 Praia do Amado (Costa Vicen…")</f>
        <v>🌿 Praia do Amado (Costa Vicen…</v>
      </c>
      <c r="H91" s="304" t="s">
        <v>6883</v>
      </c>
      <c r="I91" s="613" t="str">
        <f>HYPERLINK("https://maps.google.com/?q=Praia%20do%20Amado%20(Costa%20Vicentina)%20Astroturismo%20Portugal","🦅 Praia do Amado (Costa Vicent")</f>
        <v>🦅 Praia do Amado (Costa Vicent</v>
      </c>
    </row>
    <row r="92" spans="1:9" ht="110" customHeight="1" x14ac:dyDescent="0.35">
      <c r="A92" s="348">
        <v>9</v>
      </c>
      <c r="B92" s="273" t="s">
        <v>6884</v>
      </c>
      <c r="C92" s="274" t="s">
        <v>767</v>
      </c>
      <c r="D92" s="273" t="s">
        <v>6767</v>
      </c>
      <c r="E92" s="273" t="s">
        <v>2779</v>
      </c>
      <c r="F92" s="273" t="s">
        <v>6836</v>
      </c>
      <c r="G92" s="276" t="str">
        <f>HYPERLINK("https://www.google.com/maps/search/Gruta%20de%20Benagil%20Algarve%20Portugal/@37.0872,-8.4239,17z","🌿 Gruta de Benagil")</f>
        <v>🌿 Gruta de Benagil</v>
      </c>
      <c r="H92" s="305" t="s">
        <v>6885</v>
      </c>
      <c r="I92" s="612" t="str">
        <f>HYPERLINK("https://maps.google.com/?q=Gruta%20de%20Benagil%20Barco%20Portugal","🦅 Gruta de Benagil")</f>
        <v>🦅 Gruta de Benagil</v>
      </c>
    </row>
    <row r="93" spans="1:9" ht="110" customHeight="1" x14ac:dyDescent="0.35">
      <c r="A93" s="354">
        <v>10</v>
      </c>
      <c r="B93" s="277" t="s">
        <v>6886</v>
      </c>
      <c r="C93" s="278" t="s">
        <v>767</v>
      </c>
      <c r="D93" s="277" t="s">
        <v>6767</v>
      </c>
      <c r="E93" s="277" t="s">
        <v>2779</v>
      </c>
      <c r="F93" s="277" t="s">
        <v>6777</v>
      </c>
      <c r="G93" s="279" t="str">
        <f>HYPERLINK("https://www.google.com/maps/search/Ponta%20da%20Piedade%20%28Lagos%29%20Algarve%20Portugal/@37.0811,-8.6695,17z","🌿 Ponta da Piedade (Lagos)")</f>
        <v>🌿 Ponta da Piedade (Lagos)</v>
      </c>
      <c r="H93" s="304" t="s">
        <v>6885</v>
      </c>
      <c r="I93" s="613" t="str">
        <f>HYPERLINK("https://maps.google.com/?q=Ponta%20da%20Piedade%20(Lagos)%20Barco%20Portugal","🦅 Ponta da Piedade (Lagos)")</f>
        <v>🦅 Ponta da Piedade (Lagos)</v>
      </c>
    </row>
    <row r="94" spans="1:9" ht="110" customHeight="1" x14ac:dyDescent="0.35">
      <c r="A94" s="348">
        <v>11</v>
      </c>
      <c r="B94" s="273" t="s">
        <v>6887</v>
      </c>
      <c r="C94" s="274" t="s">
        <v>767</v>
      </c>
      <c r="D94" s="273" t="s">
        <v>6767</v>
      </c>
      <c r="E94" s="273" t="s">
        <v>2779</v>
      </c>
      <c r="F94" s="273" t="s">
        <v>6888</v>
      </c>
      <c r="G94" s="276" t="str">
        <f>HYPERLINK("https://www.google.com/maps/search/Marina%20de%20Albufeira%20%28Golfinhos%29%20Algarve%20Portugal/@37.0844,-8.2661,17z","🌿 Marina de Albufeira (Golfin…")</f>
        <v>🌿 Marina de Albufeira (Golfin…</v>
      </c>
      <c r="H94" s="305" t="s">
        <v>6885</v>
      </c>
      <c r="I94" s="612" t="str">
        <f>HYPERLINK("https://maps.google.com/?q=Marina%20de%20Albufeira%20(Golfinhos)%20Barco%20Portugal","🦅 Marina de Albufeira (Golfinh")</f>
        <v>🦅 Marina de Albufeira (Golfinh</v>
      </c>
    </row>
    <row r="95" spans="1:9" ht="110" customHeight="1" x14ac:dyDescent="0.35">
      <c r="A95" s="354">
        <v>12</v>
      </c>
      <c r="B95" s="277" t="s">
        <v>6889</v>
      </c>
      <c r="C95" s="278" t="s">
        <v>767</v>
      </c>
      <c r="D95" s="277" t="s">
        <v>6767</v>
      </c>
      <c r="E95" s="277" t="s">
        <v>2779</v>
      </c>
      <c r="F95" s="277" t="s">
        <v>6880</v>
      </c>
      <c r="G95" s="279" t="str">
        <f>HYPERLINK("https://www.google.com/maps/search/Cais%20de%20Olh%C3%A3o%20%28Ilhas%29%20Algarve%20Portugal/@37.0233,-7.8411,17z","🌿 Cais de Olhão (Ilhas)")</f>
        <v>🌿 Cais de Olhão (Ilhas)</v>
      </c>
      <c r="H95" s="304" t="s">
        <v>6885</v>
      </c>
      <c r="I95" s="613" t="str">
        <f>HYPERLINK("https://maps.google.com/?q=Cais%20de%20Olh%C3%A3o%20(Ilhas)%20Barco%20Portugal","🦅 Cais de Olhão (Ilhas)")</f>
        <v>🦅 Cais de Olhão (Ilhas)</v>
      </c>
    </row>
    <row r="96" spans="1:9" ht="110" customHeight="1" x14ac:dyDescent="0.35">
      <c r="A96" s="348">
        <v>13</v>
      </c>
      <c r="B96" s="273" t="s">
        <v>6890</v>
      </c>
      <c r="C96" s="274" t="s">
        <v>767</v>
      </c>
      <c r="D96" s="273" t="s">
        <v>6767</v>
      </c>
      <c r="E96" s="273" t="s">
        <v>1640</v>
      </c>
      <c r="F96" s="273" t="s">
        <v>6775</v>
      </c>
      <c r="G96" s="276" t="str">
        <f>HYPERLINK("https://www.google.com/maps/search/Rio%20Guadiana%20%28VRSA%29%20Algarve%20Portugal/@37.1958,-7.4161,17z","🌿 Rio Guadiana (VRSA)")</f>
        <v>🌿 Rio Guadiana (VRSA)</v>
      </c>
      <c r="H96" s="305" t="s">
        <v>6891</v>
      </c>
      <c r="I96" s="612" t="str">
        <f>HYPERLINK("https://maps.google.com/?q=Rio%20Guadiana%20(VRSA)%20Barco%20Portugal","🦅 Rio Guadiana (VRSA)")</f>
        <v>🦅 Rio Guadiana (VRSA)</v>
      </c>
    </row>
    <row r="97" spans="1:9" ht="110" customHeight="1" x14ac:dyDescent="0.35">
      <c r="A97" s="354">
        <v>14</v>
      </c>
      <c r="B97" s="277" t="s">
        <v>6892</v>
      </c>
      <c r="C97" s="278" t="s">
        <v>767</v>
      </c>
      <c r="D97" s="277" t="s">
        <v>1712</v>
      </c>
      <c r="E97" s="277" t="s">
        <v>2779</v>
      </c>
      <c r="F97" s="277" t="s">
        <v>6777</v>
      </c>
      <c r="G97" s="279" t="str">
        <f>HYPERLINK("https://www.google.com/maps/search/Mina%20de%20Sal-Gema%20de%20Loul%C3%A9%20Algarve%20Portugal/@37.1352,-8.0211,17z","🌿 Mina de Sal-Gema de Loulé")</f>
        <v>🌿 Mina de Sal-Gema de Loulé</v>
      </c>
      <c r="H97" s="304" t="s">
        <v>6893</v>
      </c>
      <c r="I97" s="613" t="str">
        <f>HYPERLINK("https://maps.google.com/?q=Mina%20de%20Sal-Gema%20de%20Loul%C3%A9%20Geologia%20Portugal","🦅 Mina de Sal-Gema de Loulé")</f>
        <v>🦅 Mina de Sal-Gema de Loulé</v>
      </c>
    </row>
    <row r="98" spans="1:9" ht="110" customHeight="1" x14ac:dyDescent="0.35">
      <c r="A98" s="348">
        <v>15</v>
      </c>
      <c r="B98" s="273" t="s">
        <v>6894</v>
      </c>
      <c r="C98" s="274" t="s">
        <v>767</v>
      </c>
      <c r="D98" s="273" t="s">
        <v>6780</v>
      </c>
      <c r="E98" s="273" t="s">
        <v>2779</v>
      </c>
      <c r="F98" s="273" t="s">
        <v>6742</v>
      </c>
      <c r="G98" s="276" t="str">
        <f>HYPERLINK("https://www.google.com/maps/search/Sete%20Vales%20Suspensos%20Algarve%20Portugal/@37.0894,-8.4131,17z","🌿 Sete Vales Suspensos")</f>
        <v>🌿 Sete Vales Suspensos</v>
      </c>
      <c r="H98" s="305" t="s">
        <v>6895</v>
      </c>
      <c r="I98" s="612" t="str">
        <f>HYPERLINK("https://maps.google.com/?q=Sete%20Vales%20Suspensos%20Aventura%20Portugal","🦅 Sete Vales Suspensos")</f>
        <v>🦅 Sete Vales Suspensos</v>
      </c>
    </row>
    <row r="99" spans="1:9" ht="22" customHeight="1" x14ac:dyDescent="0.35">
      <c r="A99" s="1369" t="s">
        <v>6896</v>
      </c>
      <c r="B99" s="1313"/>
      <c r="C99" s="1313"/>
      <c r="D99" s="1313"/>
      <c r="E99" s="1313"/>
      <c r="F99" s="1313"/>
      <c r="G99" s="1313"/>
      <c r="H99" s="1313"/>
      <c r="I99" s="1313"/>
    </row>
    <row r="100" spans="1:9" ht="110" customHeight="1" x14ac:dyDescent="0.35">
      <c r="A100" s="344">
        <v>1</v>
      </c>
      <c r="B100" s="281" t="s">
        <v>6897</v>
      </c>
      <c r="C100" s="282" t="s">
        <v>522</v>
      </c>
      <c r="D100" s="281" t="s">
        <v>1718</v>
      </c>
      <c r="E100" s="281" t="s">
        <v>2821</v>
      </c>
      <c r="F100" s="281" t="s">
        <v>6742</v>
      </c>
      <c r="G100" s="283" t="str">
        <f>HYPERLINK("https://www.google.com/maps/search/Cancela%20do%20Cinzeiro%20%28Priolo%29%20A%C3%A7ores%20Portugal/@37.793,-25.176,17z","🌿 Cancela do Cinzeiro (Priolo)")</f>
        <v>🌿 Cancela do Cinzeiro (Priolo)</v>
      </c>
      <c r="H100" s="304" t="s">
        <v>6898</v>
      </c>
      <c r="I100" s="614" t="str">
        <f>HYPERLINK("https://maps.google.com/?q=Cancela%20do%20Cinzeiro%20(Priolo)%20Birdwatching%20Portugal","🦅 Cancela do Cinzeiro (Priolo)")</f>
        <v>🦅 Cancela do Cinzeiro (Priolo)</v>
      </c>
    </row>
    <row r="101" spans="1:9" ht="110" customHeight="1" x14ac:dyDescent="0.35">
      <c r="A101" s="342">
        <v>2</v>
      </c>
      <c r="B101" s="284" t="s">
        <v>6899</v>
      </c>
      <c r="C101" s="367" t="s">
        <v>522</v>
      </c>
      <c r="D101" s="284" t="s">
        <v>1718</v>
      </c>
      <c r="E101" s="284" t="s">
        <v>2821</v>
      </c>
      <c r="F101" s="284" t="s">
        <v>6742</v>
      </c>
      <c r="G101" s="285" t="str">
        <f>HYPERLINK("https://www.google.com/maps/search/Ilha%20do%20Corvo%20%28Migra%C3%A7%C3%B5es%29%20A%C3%A7ores%20Portugal/@39.702,-31.111,17z","🌿 Ilha do Corvo (Migrações)")</f>
        <v>🌿 Ilha do Corvo (Migrações)</v>
      </c>
      <c r="H101" s="305" t="s">
        <v>6898</v>
      </c>
      <c r="I101" s="615" t="str">
        <f>HYPERLINK("https://maps.google.com/?q=Ilha%20do%20Corvo%20(Migra%C3%A7%C3%B5es)%20Birdwatching%20Portugal","🦅 Ilha do Corvo (Migrações)")</f>
        <v>🦅 Ilha do Corvo (Migrações)</v>
      </c>
    </row>
    <row r="102" spans="1:9" ht="110" customHeight="1" x14ac:dyDescent="0.35">
      <c r="A102" s="344">
        <v>3</v>
      </c>
      <c r="B102" s="281" t="s">
        <v>6900</v>
      </c>
      <c r="C102" s="282" t="s">
        <v>522</v>
      </c>
      <c r="D102" s="281" t="s">
        <v>1718</v>
      </c>
      <c r="E102" s="281" t="s">
        <v>2821</v>
      </c>
      <c r="F102" s="281" t="s">
        <v>6742</v>
      </c>
      <c r="G102" s="283" t="str">
        <f>HYPERLINK("https://www.google.com/maps/search/Cabo%20da%20Praia%20%28Terceira%29%20A%C3%A7ores%20Portugal/@38.73,-27.058,17z","🌿 Cabo da Praia (Terceira)")</f>
        <v>🌿 Cabo da Praia (Terceira)</v>
      </c>
      <c r="H102" s="304" t="s">
        <v>6898</v>
      </c>
      <c r="I102" s="614" t="str">
        <f>HYPERLINK("https://maps.google.com/?q=Cabo%20da%20Praia%20(Terceira)%20Birdwatching%20Portugal","🦅 Cabo da Praia (Terceira)")</f>
        <v>🦅 Cabo da Praia (Terceira)</v>
      </c>
    </row>
    <row r="103" spans="1:9" ht="110" customHeight="1" x14ac:dyDescent="0.35">
      <c r="A103" s="342">
        <v>4</v>
      </c>
      <c r="B103" s="284" t="s">
        <v>6901</v>
      </c>
      <c r="C103" s="367" t="s">
        <v>522</v>
      </c>
      <c r="D103" s="284" t="s">
        <v>6767</v>
      </c>
      <c r="E103" s="284" t="s">
        <v>2821</v>
      </c>
      <c r="F103" s="284" t="s">
        <v>6902</v>
      </c>
      <c r="G103" s="285" t="str">
        <f>HYPERLINK("https://www.google.com/maps/search/Vila%20Franca%20do%20Campo%20%28Cais%29%20A%C3%A7ores%20Portugal/@37.715,-25.43,17z","🌿 Vila Franca do Campo (Cais)")</f>
        <v>🌿 Vila Franca do Campo (Cais)</v>
      </c>
      <c r="H103" s="305" t="s">
        <v>6903</v>
      </c>
      <c r="I103" s="615" t="str">
        <f>HYPERLINK("https://maps.google.com/?q=Vila%20Franca%20do%20Campo%20(Cais)%20Barco%20Portugal","🦅 Vila Franca do Campo (Cais)")</f>
        <v>🦅 Vila Franca do Campo (Cais)</v>
      </c>
    </row>
    <row r="104" spans="1:9" ht="110" customHeight="1" x14ac:dyDescent="0.35">
      <c r="A104" s="344">
        <v>5</v>
      </c>
      <c r="B104" s="281" t="s">
        <v>6904</v>
      </c>
      <c r="C104" s="282" t="s">
        <v>522</v>
      </c>
      <c r="D104" s="281" t="s">
        <v>6767</v>
      </c>
      <c r="E104" s="281" t="s">
        <v>2821</v>
      </c>
      <c r="F104" s="281" t="s">
        <v>6905</v>
      </c>
      <c r="G104" s="283" t="str">
        <f>HYPERLINK("https://www.google.com/maps/search/Marina%20da%20Horta%20%28Cet%C3%A1ceos%29%20A%C3%A7ores%20Portugal/@38.532,-28.625,17z","🌿 Marina da Horta (Cetáceos)")</f>
        <v>🌿 Marina da Horta (Cetáceos)</v>
      </c>
      <c r="H104" s="304" t="s">
        <v>6903</v>
      </c>
      <c r="I104" s="614" t="str">
        <f>HYPERLINK("https://maps.google.com/?q=Marina%20da%20Horta%20(Cet%C3%A1ceos)%20Barco%20Portugal","🦅 Marina da Horta (Cetáceos)")</f>
        <v>🦅 Marina da Horta (Cetáceos)</v>
      </c>
    </row>
    <row r="105" spans="1:9" ht="110" customHeight="1" x14ac:dyDescent="0.35">
      <c r="A105" s="342">
        <v>6</v>
      </c>
      <c r="B105" s="284" t="s">
        <v>6606</v>
      </c>
      <c r="C105" s="367" t="s">
        <v>522</v>
      </c>
      <c r="D105" s="284" t="s">
        <v>1712</v>
      </c>
      <c r="E105" s="284" t="s">
        <v>2821</v>
      </c>
      <c r="F105" s="284" t="s">
        <v>6779</v>
      </c>
      <c r="G105" s="285" t="str">
        <f>HYPERLINK("https://www.google.com/maps/search/Algar%20do%20Carv%C3%A3o%20A%C3%A7ores%20Portugal/@38.728,-27.215,17z","🌿 Algar do Carvão")</f>
        <v>🌿 Algar do Carvão</v>
      </c>
      <c r="H105" s="305" t="s">
        <v>6906</v>
      </c>
      <c r="I105" s="615" t="str">
        <f>HYPERLINK("https://maps.google.com/?q=Algar%20do%20Carv%C3%A3o%20Geologia%20Portugal","🦅 Algar do Carvão")</f>
        <v>🦅 Algar do Carvão</v>
      </c>
    </row>
    <row r="106" spans="1:9" ht="110" customHeight="1" x14ac:dyDescent="0.35">
      <c r="A106" s="344">
        <v>7</v>
      </c>
      <c r="B106" s="281" t="s">
        <v>6611</v>
      </c>
      <c r="C106" s="282" t="s">
        <v>522</v>
      </c>
      <c r="D106" s="281" t="s">
        <v>6780</v>
      </c>
      <c r="E106" s="281" t="s">
        <v>2821</v>
      </c>
      <c r="F106" s="281" t="s">
        <v>6907</v>
      </c>
      <c r="G106" s="283" t="str">
        <f>HYPERLINK("https://www.google.com/maps/search/Caldeira%20Velha%20A%C3%A7ores%20Portugal/@37.782,-25.501,17z","🌿 Caldeira Velha")</f>
        <v>🌿 Caldeira Velha</v>
      </c>
      <c r="H106" s="304" t="s">
        <v>6908</v>
      </c>
      <c r="I106" s="614" t="str">
        <f>HYPERLINK("https://maps.google.com/?q=Caldeira%20Velha%20Aventura%20Portugal","🦅 Caldeira Velha")</f>
        <v>🦅 Caldeira Velha</v>
      </c>
    </row>
    <row r="107" spans="1:9" ht="22" customHeight="1" x14ac:dyDescent="0.35">
      <c r="A107" s="1370" t="s">
        <v>6909</v>
      </c>
      <c r="B107" s="1313"/>
      <c r="C107" s="1313"/>
      <c r="D107" s="1313"/>
      <c r="E107" s="1313"/>
      <c r="F107" s="1313"/>
      <c r="G107" s="1313"/>
      <c r="H107" s="1313"/>
      <c r="I107" s="1313"/>
    </row>
    <row r="108" spans="1:9" ht="110" customHeight="1" x14ac:dyDescent="0.35">
      <c r="A108" s="350">
        <v>1</v>
      </c>
      <c r="B108" s="251" t="s">
        <v>5803</v>
      </c>
      <c r="C108" s="252" t="s">
        <v>524</v>
      </c>
      <c r="D108" s="251" t="s">
        <v>1706</v>
      </c>
      <c r="E108" s="251" t="s">
        <v>6910</v>
      </c>
      <c r="F108" s="251" t="s">
        <v>6742</v>
      </c>
      <c r="G108" s="253" t="str">
        <f>HYPERLINK("https://www.google.com/maps/search/Pico%20do%20Arieiro%20Madeira%20Portugal/@32.735,-16.928,17z","🌿 Pico do Arieiro")</f>
        <v>🌿 Pico do Arieiro</v>
      </c>
      <c r="H108" s="305" t="s">
        <v>6911</v>
      </c>
      <c r="I108" s="616" t="str">
        <f>HYPERLINK("https://maps.google.com/?q=Pico%20do%20Arieiro%20Astroturismo%20Portugal","🦅 Pico do Arieiro")</f>
        <v>🦅 Pico do Arieiro</v>
      </c>
    </row>
    <row r="109" spans="1:9" ht="110" customHeight="1" x14ac:dyDescent="0.35">
      <c r="A109" s="356">
        <v>2</v>
      </c>
      <c r="B109" s="254" t="s">
        <v>6912</v>
      </c>
      <c r="C109" s="255" t="s">
        <v>524</v>
      </c>
      <c r="D109" s="254" t="s">
        <v>6767</v>
      </c>
      <c r="E109" s="254" t="s">
        <v>6910</v>
      </c>
      <c r="F109" s="254" t="s">
        <v>6913</v>
      </c>
      <c r="G109" s="256" t="str">
        <f>HYPERLINK("https://www.google.com/maps/search/Marina%20do%20Funchal%20%28Baleias%29%20Madeira%20Portugal/@32.645,-16.909,17z","🌿 Marina do Funchal (Baleias)")</f>
        <v>🌿 Marina do Funchal (Baleias)</v>
      </c>
      <c r="H109" s="304" t="s">
        <v>6914</v>
      </c>
      <c r="I109" s="617" t="str">
        <f>HYPERLINK("https://maps.google.com/?q=Marina%20do%20Funchal%20(Baleias)%20Barco%20Portugal","🦅 Marina do Funchal (Baleias)")</f>
        <v>🦅 Marina do Funchal (Baleias)</v>
      </c>
    </row>
    <row r="110" spans="1:9" ht="110" customHeight="1" x14ac:dyDescent="0.35">
      <c r="A110" s="350">
        <v>3</v>
      </c>
      <c r="B110" s="251" t="s">
        <v>6692</v>
      </c>
      <c r="C110" s="252" t="s">
        <v>524</v>
      </c>
      <c r="D110" s="251" t="s">
        <v>6780</v>
      </c>
      <c r="E110" s="251" t="s">
        <v>6910</v>
      </c>
      <c r="F110" s="251" t="s">
        <v>6742</v>
      </c>
      <c r="G110" s="253" t="str">
        <f>HYPERLINK("https://www.google.com/maps/search/Levada%20das%2025%20Fontes%20Madeira%20Portugal/@32.755,-17.134,17z","🌿 Levada das 25 Fontes")</f>
        <v>🌿 Levada das 25 Fontes</v>
      </c>
      <c r="H110" s="305" t="s">
        <v>6915</v>
      </c>
      <c r="I110" s="616" t="str">
        <f>HYPERLINK("https://maps.google.com/?q=Levada%20das%2025%20Fontes%20Aventura%20Portugal","🦅 Levada das 25 Fontes")</f>
        <v>🦅 Levada das 25 Fontes</v>
      </c>
    </row>
    <row r="111" spans="1:9" ht="110" customHeight="1" x14ac:dyDescent="0.35">
      <c r="A111" s="356">
        <v>4</v>
      </c>
      <c r="B111" s="254" t="s">
        <v>6695</v>
      </c>
      <c r="C111" s="255" t="s">
        <v>524</v>
      </c>
      <c r="D111" s="254" t="s">
        <v>6780</v>
      </c>
      <c r="E111" s="254" t="s">
        <v>6910</v>
      </c>
      <c r="F111" s="254" t="s">
        <v>6916</v>
      </c>
      <c r="G111" s="256" t="str">
        <f>HYPERLINK("https://www.google.com/maps/search/Piscinas%20Naturais%20Porto%20Moniz%20Madeira%20Portugal/@32.867,-17.168,17z","🌿 Piscinas Naturais Porto Moniz")</f>
        <v>🌿 Piscinas Naturais Porto Moniz</v>
      </c>
      <c r="H111" s="304" t="s">
        <v>6915</v>
      </c>
      <c r="I111" s="617" t="str">
        <f>HYPERLINK("https://maps.google.com/?q=Piscinas%20Naturais%20Porto%20Moniz%20Aventura%20Portugal","🦅 Piscinas Naturais Porto Moni")</f>
        <v>🦅 Piscinas Naturais Porto Moni</v>
      </c>
    </row>
    <row r="113" spans="1:9" x14ac:dyDescent="0.35">
      <c r="A113" s="1353" t="s">
        <v>6917</v>
      </c>
      <c r="B113" s="1354"/>
      <c r="C113" s="1354"/>
      <c r="D113" s="1354"/>
      <c r="E113" s="1354"/>
      <c r="F113" s="1354"/>
      <c r="G113" s="1354"/>
      <c r="H113" s="1354"/>
      <c r="I113" s="1354"/>
    </row>
  </sheetData>
  <mergeCells count="10">
    <mergeCell ref="A113:I113"/>
    <mergeCell ref="A2:I2"/>
    <mergeCell ref="A51:I51"/>
    <mergeCell ref="A107:I107"/>
    <mergeCell ref="A99:I99"/>
    <mergeCell ref="A1:I1"/>
    <mergeCell ref="A83:I83"/>
    <mergeCell ref="A4:I4"/>
    <mergeCell ref="A30:I30"/>
    <mergeCell ref="A65:I6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04"/>
  <sheetViews>
    <sheetView workbookViewId="0">
      <pane ySplit="3" topLeftCell="A65" activePane="bottomLeft" state="frozen"/>
      <selection pane="bottomLeft" activeCell="C88" activeCellId="5" sqref="C78 C80 C82 C84 C86 C88"/>
    </sheetView>
  </sheetViews>
  <sheetFormatPr defaultRowHeight="14.5" x14ac:dyDescent="0.35"/>
  <cols>
    <col min="1" max="1" width="4" customWidth="1"/>
    <col min="2" max="2" width="38" customWidth="1"/>
    <col min="3" max="3" width="12" customWidth="1"/>
    <col min="4" max="4" width="34" customWidth="1"/>
    <col min="5" max="5" width="16" customWidth="1"/>
    <col min="6" max="6" width="30" customWidth="1"/>
    <col min="7" max="7" width="32.81640625" bestFit="1" customWidth="1"/>
    <col min="8" max="8" width="9.453125" bestFit="1" customWidth="1"/>
    <col min="9" max="9" width="52" customWidth="1"/>
    <col min="10" max="10" width="58" customWidth="1"/>
  </cols>
  <sheetData>
    <row r="1" spans="1:10" ht="36" customHeight="1" x14ac:dyDescent="0.45">
      <c r="A1" s="1502" t="s">
        <v>6918</v>
      </c>
      <c r="B1" s="1503"/>
      <c r="C1" s="1503"/>
      <c r="D1" s="1503"/>
      <c r="E1" s="1503"/>
      <c r="F1" s="1503"/>
      <c r="G1" s="1503"/>
      <c r="H1" s="1503"/>
      <c r="I1" s="1503"/>
      <c r="J1" s="867"/>
    </row>
    <row r="2" spans="1:10" ht="24" customHeight="1" x14ac:dyDescent="0.35">
      <c r="A2" s="1512" t="s">
        <v>6919</v>
      </c>
      <c r="B2" s="1513"/>
      <c r="C2" s="1513"/>
      <c r="D2" s="1513"/>
      <c r="E2" s="1513"/>
      <c r="F2" s="1513"/>
      <c r="G2" s="1513"/>
      <c r="H2" s="1513"/>
      <c r="I2" s="1513"/>
      <c r="J2" s="741"/>
    </row>
    <row r="3" spans="1:10" ht="28" customHeight="1" x14ac:dyDescent="0.35">
      <c r="A3" s="713" t="s">
        <v>141</v>
      </c>
      <c r="B3" s="713" t="s">
        <v>785</v>
      </c>
      <c r="C3" s="713" t="s">
        <v>619</v>
      </c>
      <c r="D3" s="713" t="s">
        <v>906</v>
      </c>
      <c r="E3" s="713" t="s">
        <v>8764</v>
      </c>
      <c r="F3" s="713" t="s">
        <v>539</v>
      </c>
      <c r="G3" s="713" t="s">
        <v>5457</v>
      </c>
      <c r="H3" s="713" t="s">
        <v>1327</v>
      </c>
      <c r="I3" s="713" t="s">
        <v>8</v>
      </c>
      <c r="J3" s="713" t="s">
        <v>789</v>
      </c>
    </row>
    <row r="4" spans="1:10" ht="26" customHeight="1" x14ac:dyDescent="0.35">
      <c r="A4" s="1473" t="s">
        <v>6920</v>
      </c>
      <c r="B4" s="1474"/>
      <c r="C4" s="1474"/>
      <c r="D4" s="1474"/>
      <c r="E4" s="1474"/>
      <c r="F4" s="1474"/>
      <c r="G4" s="1474"/>
      <c r="H4" s="1474"/>
      <c r="I4" s="1474"/>
      <c r="J4" s="742"/>
    </row>
    <row r="5" spans="1:10" ht="55" customHeight="1" x14ac:dyDescent="0.35">
      <c r="A5" s="777">
        <v>1</v>
      </c>
      <c r="B5" s="778" t="s">
        <v>6921</v>
      </c>
      <c r="C5" s="779" t="s">
        <v>792</v>
      </c>
      <c r="D5" s="782" t="s">
        <v>19958</v>
      </c>
      <c r="E5" s="780" t="s">
        <v>6922</v>
      </c>
      <c r="F5" s="780" t="str">
        <f>HYPERLINK("https://serralves.pt","serralves.pt")</f>
        <v>serralves.pt</v>
      </c>
      <c r="G5" s="869" t="s">
        <v>6923</v>
      </c>
      <c r="H5" s="780" t="s">
        <v>1527</v>
      </c>
      <c r="I5" s="781" t="s">
        <v>6923</v>
      </c>
      <c r="J5" s="752" t="str">
        <f>HYPERLINK("https://www.google.com/maps/search/Parque%20de%20Serralves%20R.%20Dom%20Jo%C3%A3o%20de%20Castro%20210%2C%20Porto%20Portugal","📍 Parque de Serralves")</f>
        <v>📍 Parque de Serralves</v>
      </c>
    </row>
    <row r="6" spans="1:10" ht="55" customHeight="1" x14ac:dyDescent="0.35">
      <c r="A6" s="783">
        <v>2</v>
      </c>
      <c r="B6" s="784" t="s">
        <v>6924</v>
      </c>
      <c r="C6" s="785" t="s">
        <v>792</v>
      </c>
      <c r="D6" s="788" t="s">
        <v>19959</v>
      </c>
      <c r="E6" s="786" t="s">
        <v>6925</v>
      </c>
      <c r="F6" s="786" t="str">
        <f>HYPERLINK("https://aveleda.pt","aveleda.pt")</f>
        <v>aveleda.pt</v>
      </c>
      <c r="G6" s="788" t="s">
        <v>6926</v>
      </c>
      <c r="H6" s="786" t="s">
        <v>1527</v>
      </c>
      <c r="I6" s="787" t="s">
        <v>6926</v>
      </c>
      <c r="J6" s="753" t="str">
        <f>HYPERLINK("https://www.google.com/maps/search/Quinta%20da%20Aveleda%20R.%20da%20Aveleda%202%2C%20Penafiel%20Portugal","📍 Quinta da Aveleda")</f>
        <v>📍 Quinta da Aveleda</v>
      </c>
    </row>
    <row r="7" spans="1:10" ht="55" customHeight="1" x14ac:dyDescent="0.35">
      <c r="A7" s="777">
        <v>3</v>
      </c>
      <c r="B7" s="778" t="s">
        <v>6927</v>
      </c>
      <c r="C7" s="779" t="s">
        <v>792</v>
      </c>
      <c r="D7" s="782" t="s">
        <v>19960</v>
      </c>
      <c r="E7" s="780" t="s">
        <v>6929</v>
      </c>
      <c r="F7" s="780" t="str">
        <f>HYPERLINK("https://casademateus.com","casademateus.com")</f>
        <v>casademateus.com</v>
      </c>
      <c r="G7" s="782" t="s">
        <v>6930</v>
      </c>
      <c r="H7" s="780" t="s">
        <v>1527</v>
      </c>
      <c r="I7" s="781" t="s">
        <v>6930</v>
      </c>
      <c r="J7" s="752" t="str">
        <f>HYPERLINK("https://www.google.com/maps/search/Jardim%20da%20Casa%20de%20Mateus%20Funda%C3%A7%C3%A3o%20Casa%20de%20Mateus%2C%20Vila%20Real%20Portugal","📍 Jardim da Casa de Mateus")</f>
        <v>📍 Jardim da Casa de Mateus</v>
      </c>
    </row>
    <row r="8" spans="1:10" ht="55" customHeight="1" x14ac:dyDescent="0.35">
      <c r="A8" s="783">
        <v>4</v>
      </c>
      <c r="B8" s="784" t="s">
        <v>6751</v>
      </c>
      <c r="C8" s="785" t="s">
        <v>792</v>
      </c>
      <c r="D8" s="788" t="s">
        <v>19961</v>
      </c>
      <c r="E8" s="786" t="s">
        <v>6341</v>
      </c>
      <c r="F8" s="786" t="str">
        <f>HYPERLINK("https://parquebiologico.pt","parquebiologico.pt")</f>
        <v>parquebiologico.pt</v>
      </c>
      <c r="G8" s="788" t="s">
        <v>6931</v>
      </c>
      <c r="H8" s="786" t="s">
        <v>1392</v>
      </c>
      <c r="I8" s="787" t="s">
        <v>6931</v>
      </c>
      <c r="J8" s="753" t="str">
        <f>HYPERLINK("https://www.google.com/maps/search/Parque%20Biol%C3%B3gico%20de%20Gaia%20R.%20da%20Cunha%20Avintes%2C%20V.%20N.%20de%20Gaia%20Portugal","📍 Parque Biológico de Gaia")</f>
        <v>📍 Parque Biológico de Gaia</v>
      </c>
    </row>
    <row r="9" spans="1:10" ht="55" customHeight="1" x14ac:dyDescent="0.35">
      <c r="A9" s="777">
        <v>5</v>
      </c>
      <c r="B9" s="778" t="s">
        <v>6932</v>
      </c>
      <c r="C9" s="779" t="s">
        <v>792</v>
      </c>
      <c r="D9" s="782" t="s">
        <v>19962</v>
      </c>
      <c r="E9" s="780" t="s">
        <v>6933</v>
      </c>
      <c r="F9" s="780" t="str">
        <f>HYPERLINK("https://icnf.pt","icnf.pt")</f>
        <v>icnf.pt</v>
      </c>
      <c r="G9" s="782" t="s">
        <v>6934</v>
      </c>
      <c r="H9" s="780" t="s">
        <v>1527</v>
      </c>
      <c r="I9" s="781" t="s">
        <v>6934</v>
      </c>
      <c r="J9" s="752" t="str">
        <f>HYPERLINK("https://www.google.com/maps/search/Mata%20da%20Albergaria%20PNPG%20EN%20308-1%20Portela%20do%20Homem%2C%20Terras%20de%20Bouro%20Portugal","📍 Mata da Albergaria PNPG")</f>
        <v>📍 Mata da Albergaria PNPG</v>
      </c>
    </row>
    <row r="10" spans="1:10" ht="55" customHeight="1" x14ac:dyDescent="0.35">
      <c r="A10" s="783">
        <v>6</v>
      </c>
      <c r="B10" s="784" t="s">
        <v>6935</v>
      </c>
      <c r="C10" s="785" t="s">
        <v>792</v>
      </c>
      <c r="D10" s="788" t="s">
        <v>19963</v>
      </c>
      <c r="E10" s="786" t="s">
        <v>6936</v>
      </c>
      <c r="F10" s="786"/>
      <c r="G10" s="788" t="s">
        <v>6937</v>
      </c>
      <c r="H10" s="786" t="s">
        <v>1392</v>
      </c>
      <c r="I10" s="787" t="s">
        <v>6937</v>
      </c>
      <c r="J10" s="753" t="str">
        <f>HYPERLINK("https://www.google.com/maps/search/Jardim%20das%20Cam%C3%A9lias%20Quinta%20do%20Al%C3%A3o%20Quinta%20do%20Al%C3%A3o%2C%20Matosinhos%20Portugal","📍 Jardim das Camélias Quinta do Alão")</f>
        <v>📍 Jardim das Camélias Quinta do Alão</v>
      </c>
    </row>
    <row r="11" spans="1:10" ht="55" customHeight="1" x14ac:dyDescent="0.35">
      <c r="A11" s="777">
        <v>7</v>
      </c>
      <c r="B11" s="778" t="s">
        <v>6938</v>
      </c>
      <c r="C11" s="779" t="s">
        <v>792</v>
      </c>
      <c r="D11" s="782" t="s">
        <v>19964</v>
      </c>
      <c r="E11" s="780" t="s">
        <v>6939</v>
      </c>
      <c r="F11" s="780"/>
      <c r="G11" s="782" t="s">
        <v>6940</v>
      </c>
      <c r="H11" s="780" t="s">
        <v>1336</v>
      </c>
      <c r="I11" s="781" t="s">
        <v>6940</v>
      </c>
      <c r="J11" s="752" t="str">
        <f>HYPERLINK("https://www.google.com/maps/search/Parque%20de%20S.%20Roque%20R.%20de%20S.%20Roque%20da%20Lameira%2C%20Porto%20Portugal","📍 Parque de S. Roque")</f>
        <v>📍 Parque de S. Roque</v>
      </c>
    </row>
    <row r="12" spans="1:10" ht="55" customHeight="1" x14ac:dyDescent="0.35">
      <c r="A12" s="783">
        <v>8</v>
      </c>
      <c r="B12" s="784" t="s">
        <v>6941</v>
      </c>
      <c r="C12" s="785" t="s">
        <v>792</v>
      </c>
      <c r="D12" s="788" t="s">
        <v>19965</v>
      </c>
      <c r="E12" s="786" t="s">
        <v>6942</v>
      </c>
      <c r="F12" s="786"/>
      <c r="G12" s="788" t="s">
        <v>6943</v>
      </c>
      <c r="H12" s="786" t="s">
        <v>1336</v>
      </c>
      <c r="I12" s="787" t="s">
        <v>6943</v>
      </c>
      <c r="J12" s="753" t="str">
        <f>HYPERLINK("https://www.google.com/maps/search/Jardins%20do%20Pal%C3%A1cio%20de%20Cristal%20R.%20D.%20Manuel%20II%2C%20Porto%20Portugal","📍 Jardins do Palácio de Cristal")</f>
        <v>📍 Jardins do Palácio de Cristal</v>
      </c>
    </row>
    <row r="13" spans="1:10" ht="55" customHeight="1" x14ac:dyDescent="0.35">
      <c r="A13" s="777">
        <v>9</v>
      </c>
      <c r="B13" s="778" t="s">
        <v>6944</v>
      </c>
      <c r="C13" s="779" t="s">
        <v>792</v>
      </c>
      <c r="D13" s="782" t="s">
        <v>19966</v>
      </c>
      <c r="E13" s="780" t="s">
        <v>6945</v>
      </c>
      <c r="F13" s="780"/>
      <c r="G13" s="782" t="s">
        <v>6946</v>
      </c>
      <c r="H13" s="780" t="s">
        <v>1336</v>
      </c>
      <c r="I13" s="781" t="s">
        <v>6946</v>
      </c>
      <c r="J13" s="752" t="str">
        <f>HYPERLINK("https://www.google.com/maps/search/Parque%20da%20Cidade%20do%20Porto%20Av.%20da%20Boavista%204611%2C%20Porto%20Portugal","📍 Parque da Cidade do Porto")</f>
        <v>📍 Parque da Cidade do Porto</v>
      </c>
    </row>
    <row r="14" spans="1:10" ht="55" customHeight="1" x14ac:dyDescent="0.35">
      <c r="A14" s="783">
        <v>10</v>
      </c>
      <c r="B14" s="784" t="s">
        <v>6947</v>
      </c>
      <c r="C14" s="785" t="s">
        <v>792</v>
      </c>
      <c r="D14" s="788" t="s">
        <v>19967</v>
      </c>
      <c r="E14" s="786" t="s">
        <v>6948</v>
      </c>
      <c r="F14" s="786"/>
      <c r="G14" s="788" t="s">
        <v>6949</v>
      </c>
      <c r="H14" s="786" t="s">
        <v>1392</v>
      </c>
      <c r="I14" s="787" t="s">
        <v>6949</v>
      </c>
      <c r="J14" s="753" t="str">
        <f>HYPERLINK("https://www.google.com/maps/search/Jardim%20do%20Museu%20Alberto%20Sampaio%20R.%20Alfredo%20Guimar%C3%A3es%20101%2C%20Guimar%C3%A3es%20Portugal","📍 Jardim do Museu Alberto Sampaio")</f>
        <v>📍 Jardim do Museu Alberto Sampaio</v>
      </c>
    </row>
    <row r="15" spans="1:10" ht="55" customHeight="1" x14ac:dyDescent="0.35">
      <c r="A15" s="777">
        <v>11</v>
      </c>
      <c r="B15" s="778" t="s">
        <v>6950</v>
      </c>
      <c r="C15" s="779" t="s">
        <v>792</v>
      </c>
      <c r="D15" s="782" t="s">
        <v>19968</v>
      </c>
      <c r="E15" s="780" t="s">
        <v>5463</v>
      </c>
      <c r="F15" s="780"/>
      <c r="G15" s="782" t="s">
        <v>6951</v>
      </c>
      <c r="H15" s="780" t="s">
        <v>1336</v>
      </c>
      <c r="I15" s="781" t="s">
        <v>6951</v>
      </c>
      <c r="J15" s="752" t="str">
        <f>HYPERLINK("https://www.google.com/maps/search/Parque%20da%20Ponte%20Av.%20Central%2C%20Braga%20Portugal","📍 Parque da Ponte")</f>
        <v>📍 Parque da Ponte</v>
      </c>
    </row>
    <row r="16" spans="1:10" ht="55" customHeight="1" x14ac:dyDescent="0.35">
      <c r="A16" s="783">
        <v>12</v>
      </c>
      <c r="B16" s="784" t="s">
        <v>6952</v>
      </c>
      <c r="C16" s="785" t="s">
        <v>792</v>
      </c>
      <c r="D16" s="788" t="s">
        <v>19969</v>
      </c>
      <c r="E16" s="786" t="s">
        <v>6953</v>
      </c>
      <c r="F16" s="786" t="str">
        <f>HYPERLINK("https://bom-jesus.pt","bom-jesus.pt")</f>
        <v>bom-jesus.pt</v>
      </c>
      <c r="G16" s="788" t="s">
        <v>6954</v>
      </c>
      <c r="H16" s="786" t="s">
        <v>1392</v>
      </c>
      <c r="I16" s="787" t="s">
        <v>6954</v>
      </c>
      <c r="J16" s="753" t="str">
        <f>HYPERLINK("https://www.google.com/maps/search/Mata%20do%20Bom%20Jesus%20Bom%20Jesus%20do%20Monte%2C%20Braga%20Portugal","📍 Mata do Bom Jesus")</f>
        <v>📍 Mata do Bom Jesus</v>
      </c>
    </row>
    <row r="17" spans="1:10" ht="55" customHeight="1" x14ac:dyDescent="0.35">
      <c r="A17" s="777">
        <v>13</v>
      </c>
      <c r="B17" s="778" t="s">
        <v>6955</v>
      </c>
      <c r="C17" s="779" t="s">
        <v>792</v>
      </c>
      <c r="D17" s="782" t="s">
        <v>19970</v>
      </c>
      <c r="E17" s="780" t="s">
        <v>5463</v>
      </c>
      <c r="F17" s="780"/>
      <c r="G17" s="782" t="s">
        <v>6956</v>
      </c>
      <c r="H17" s="780" t="s">
        <v>1336</v>
      </c>
      <c r="I17" s="781" t="s">
        <v>6956</v>
      </c>
      <c r="J17" s="752" t="str">
        <f>HYPERLINK("https://www.google.com/maps/search/Jardim%20de%20Santa%20B%C3%A1rbara%20R.%20Dom%20Paio%20Mendes%2C%20Braga%20Portugal","📍 Jardim de Santa Bárbara")</f>
        <v>📍 Jardim de Santa Bárbara</v>
      </c>
    </row>
    <row r="18" spans="1:10" ht="55" customHeight="1" x14ac:dyDescent="0.35">
      <c r="A18" s="783">
        <v>14</v>
      </c>
      <c r="B18" s="784" t="s">
        <v>6957</v>
      </c>
      <c r="C18" s="785" t="s">
        <v>792</v>
      </c>
      <c r="D18" s="788" t="s">
        <v>19971</v>
      </c>
      <c r="E18" s="786" t="s">
        <v>6958</v>
      </c>
      <c r="F18" s="786"/>
      <c r="G18" s="788" t="s">
        <v>6959</v>
      </c>
      <c r="H18" s="786" t="s">
        <v>1336</v>
      </c>
      <c r="I18" s="787" t="s">
        <v>6959</v>
      </c>
      <c r="J18" s="753" t="str">
        <f>HYPERLINK("https://www.google.com/maps/search/Parque%20de%20Lazer%20de%20Castel%C3%B5es%20Parque%20de%20Lazer%2C%20V.%20N.%20Famalic%C3%A3o%20Portugal","📍 Parque de Lazer de Castelões")</f>
        <v>📍 Parque de Lazer de Castelões</v>
      </c>
    </row>
    <row r="19" spans="1:10" ht="55" customHeight="1" x14ac:dyDescent="0.35">
      <c r="A19" s="777">
        <v>15</v>
      </c>
      <c r="B19" s="778" t="s">
        <v>6960</v>
      </c>
      <c r="C19" s="779" t="s">
        <v>792</v>
      </c>
      <c r="D19" s="782" t="s">
        <v>19972</v>
      </c>
      <c r="E19" s="780" t="s">
        <v>6961</v>
      </c>
      <c r="F19" s="780"/>
      <c r="G19" s="782" t="s">
        <v>6962</v>
      </c>
      <c r="H19" s="780" t="s">
        <v>1336</v>
      </c>
      <c r="I19" s="781" t="s">
        <v>6962</v>
      </c>
      <c r="J19" s="752" t="str">
        <f>HYPERLINK("https://www.google.com/maps/search/Jardim%20Municipal%20de%20Viana%20do%20Castelo%20Jardim%20Municipal%2C%20Viana%20do%20Castelo%20Portugal","📍 Jardim Municipal de Viana do Castelo")</f>
        <v>📍 Jardim Municipal de Viana do Castelo</v>
      </c>
    </row>
    <row r="20" spans="1:10" ht="55" customHeight="1" x14ac:dyDescent="0.35">
      <c r="A20" s="783">
        <v>16</v>
      </c>
      <c r="B20" s="784" t="s">
        <v>6963</v>
      </c>
      <c r="C20" s="785" t="s">
        <v>792</v>
      </c>
      <c r="D20" s="788" t="s">
        <v>19973</v>
      </c>
      <c r="E20" s="786" t="s">
        <v>6964</v>
      </c>
      <c r="F20" s="786"/>
      <c r="G20" s="788" t="s">
        <v>6965</v>
      </c>
      <c r="H20" s="786" t="s">
        <v>1392</v>
      </c>
      <c r="I20" s="787" t="s">
        <v>6965</v>
      </c>
      <c r="J20" s="753" t="str">
        <f>HYPERLINK("https://www.google.com/maps/search/Parque%20Dr.%20Manuel%20Braga%20Parque%20Dr.%20Manuel%20Braga%2C%20Coimbra%20Portugal","📍 Parque Dr. Manuel Braga")</f>
        <v>📍 Parque Dr. Manuel Braga</v>
      </c>
    </row>
    <row r="21" spans="1:10" ht="55" customHeight="1" x14ac:dyDescent="0.35">
      <c r="A21" s="777">
        <v>17</v>
      </c>
      <c r="B21" s="778" t="s">
        <v>6966</v>
      </c>
      <c r="C21" s="779" t="s">
        <v>792</v>
      </c>
      <c r="D21" s="782" t="s">
        <v>19697</v>
      </c>
      <c r="E21" s="780" t="s">
        <v>6968</v>
      </c>
      <c r="F21" s="780" t="str">
        <f>HYPERLINK("https://vidagopalace.com","vidagopalace.com")</f>
        <v>vidagopalace.com</v>
      </c>
      <c r="G21" s="782" t="s">
        <v>6969</v>
      </c>
      <c r="H21" s="780" t="s">
        <v>1392</v>
      </c>
      <c r="I21" s="781" t="s">
        <v>6969</v>
      </c>
      <c r="J21" s="752" t="str">
        <f>HYPERLINK("https://www.google.com/maps/search/Jardim%20Vidago%20Palace%20Parque%20de%20Vidago%2C%20Vidago%20Portugal","📍 Jardim Vidago Palace")</f>
        <v>📍 Jardim Vidago Palace</v>
      </c>
    </row>
    <row r="22" spans="1:10" ht="55" customHeight="1" x14ac:dyDescent="0.35">
      <c r="A22" s="783">
        <v>18</v>
      </c>
      <c r="B22" s="784" t="s">
        <v>6970</v>
      </c>
      <c r="C22" s="785" t="s">
        <v>792</v>
      </c>
      <c r="D22" s="788" t="s">
        <v>19974</v>
      </c>
      <c r="E22" s="786" t="s">
        <v>6971</v>
      </c>
      <c r="F22" s="786"/>
      <c r="G22" s="788" t="s">
        <v>6972</v>
      </c>
      <c r="H22" s="786" t="s">
        <v>1336</v>
      </c>
      <c r="I22" s="787" t="s">
        <v>6972</v>
      </c>
      <c r="J22" s="753" t="str">
        <f>HYPERLINK("https://www.google.com/maps/search/Mata%20de%20Vilar%20Estrada%20de%20Casal%2C%20Lousada%20Portugal","📍 Mata de Vilar")</f>
        <v>📍 Mata de Vilar</v>
      </c>
    </row>
    <row r="23" spans="1:10" ht="55" customHeight="1" x14ac:dyDescent="0.35">
      <c r="A23" s="777">
        <v>19</v>
      </c>
      <c r="B23" s="778" t="s">
        <v>6973</v>
      </c>
      <c r="C23" s="779" t="s">
        <v>792</v>
      </c>
      <c r="D23" s="782" t="s">
        <v>19975</v>
      </c>
      <c r="E23" s="780" t="s">
        <v>5589</v>
      </c>
      <c r="F23" s="780" t="str">
        <f>HYPERLINK("https://ipb.pt","ipb.pt")</f>
        <v>ipb.pt</v>
      </c>
      <c r="G23" s="782" t="s">
        <v>6974</v>
      </c>
      <c r="H23" s="780" t="s">
        <v>1392</v>
      </c>
      <c r="I23" s="781" t="s">
        <v>6974</v>
      </c>
      <c r="J23" s="752" t="str">
        <f>HYPERLINK("https://www.google.com/maps/search/Jardim%20Bot%C3%A2nico%20de%20Bragan%C3%A7a%20IPB%20Campus%20IPB%2C%20Bragan%C3%A7a%20Portugal","📍 Jardim Botânico de Bragança IPB")</f>
        <v>📍 Jardim Botânico de Bragança IPB</v>
      </c>
    </row>
    <row r="24" spans="1:10" ht="55" customHeight="1" x14ac:dyDescent="0.35">
      <c r="A24" s="783">
        <v>20</v>
      </c>
      <c r="B24" s="784" t="s">
        <v>6975</v>
      </c>
      <c r="C24" s="785" t="s">
        <v>792</v>
      </c>
      <c r="D24" s="788" t="s">
        <v>19976</v>
      </c>
      <c r="E24" s="786" t="s">
        <v>6976</v>
      </c>
      <c r="F24" s="786" t="str">
        <f>HYPERLINK("https://utad.pt","utad.pt")</f>
        <v>utad.pt</v>
      </c>
      <c r="G24" s="788" t="s">
        <v>6977</v>
      </c>
      <c r="H24" s="786" t="s">
        <v>1527</v>
      </c>
      <c r="I24" s="787" t="s">
        <v>6977</v>
      </c>
      <c r="J24" s="753" t="str">
        <f>HYPERLINK("https://www.google.com/maps/search/Jardim%20Bot%C3%A2nico%20UTAD%20Quinta%20de%20Prados%2C%20Vila%20Real%20Portugal","📍 Jardim Botânico UTAD")</f>
        <v>📍 Jardim Botânico UTAD</v>
      </c>
    </row>
    <row r="25" spans="1:10" ht="55" customHeight="1" x14ac:dyDescent="0.35">
      <c r="A25" s="777">
        <v>21</v>
      </c>
      <c r="B25" s="778" t="s">
        <v>6978</v>
      </c>
      <c r="C25" s="779" t="s">
        <v>792</v>
      </c>
      <c r="D25" s="782" t="s">
        <v>19977</v>
      </c>
      <c r="E25" s="780" t="s">
        <v>6933</v>
      </c>
      <c r="F25" s="780" t="str">
        <f>HYPERLINK("https://icnf.pt","icnf.pt")</f>
        <v>icnf.pt</v>
      </c>
      <c r="G25" s="782" t="s">
        <v>6979</v>
      </c>
      <c r="H25" s="780" t="s">
        <v>1527</v>
      </c>
      <c r="I25" s="781" t="s">
        <v>6979</v>
      </c>
      <c r="J25" s="752" t="str">
        <f>HYPERLINK("https://www.google.com/maps/search/Mata%20da%20Albergaria%20Ger%C3%AAs%20Flora%20Parque%20Nacional%20Peneda-Ger%C3%AAs%2C%20Terras%20de%20Bouro%20Portugal","📍 Mata da Albergaria Gerês Flora")</f>
        <v>📍 Mata da Albergaria Gerês Flora</v>
      </c>
    </row>
    <row r="26" spans="1:10" ht="26" customHeight="1" x14ac:dyDescent="0.45">
      <c r="A26" s="1449" t="s">
        <v>2913</v>
      </c>
      <c r="B26" s="1507"/>
      <c r="C26" s="1508"/>
      <c r="D26" s="1509"/>
      <c r="E26" s="1508"/>
      <c r="F26" s="1508"/>
      <c r="G26" s="1509"/>
      <c r="H26" s="1508"/>
      <c r="I26" s="1509"/>
      <c r="J26" s="906"/>
    </row>
    <row r="27" spans="1:10" ht="55" customHeight="1" x14ac:dyDescent="0.35">
      <c r="A27" s="870">
        <v>1</v>
      </c>
      <c r="B27" s="893" t="s">
        <v>6980</v>
      </c>
      <c r="C27" s="872" t="s">
        <v>836</v>
      </c>
      <c r="D27" s="871" t="s">
        <v>19978</v>
      </c>
      <c r="E27" s="898" t="s">
        <v>6508</v>
      </c>
      <c r="F27" s="898" t="str">
        <f>HYPERLINK("https://almeidahotels.com","almeidahotels.com")</f>
        <v>almeidahotels.com</v>
      </c>
      <c r="G27" s="871" t="s">
        <v>6981</v>
      </c>
      <c r="H27" s="898" t="s">
        <v>1527</v>
      </c>
      <c r="I27" s="873" t="s">
        <v>6981</v>
      </c>
      <c r="J27" s="903" t="str">
        <f>HYPERLINK("https://www.google.com/maps/search/Mata%20Nacional%20do%20Bu%C3%A7aco%20Mata%20do%20Bu%C3%A7aco%2C%20Luso%20Portugal","📍 Mata Nacional do Buçaco")</f>
        <v>📍 Mata Nacional do Buçaco</v>
      </c>
    </row>
    <row r="28" spans="1:10" ht="55" customHeight="1" x14ac:dyDescent="0.35">
      <c r="A28" s="874">
        <v>2</v>
      </c>
      <c r="B28" s="894" t="s">
        <v>6982</v>
      </c>
      <c r="C28" s="876" t="s">
        <v>836</v>
      </c>
      <c r="D28" s="875" t="s">
        <v>19979</v>
      </c>
      <c r="E28" s="899" t="s">
        <v>6983</v>
      </c>
      <c r="F28" s="899" t="str">
        <f>HYPERLINK("https://icnf.pt","icnf.pt")</f>
        <v>icnf.pt</v>
      </c>
      <c r="G28" s="875" t="s">
        <v>6984</v>
      </c>
      <c r="H28" s="899" t="s">
        <v>1527</v>
      </c>
      <c r="I28" s="877" t="s">
        <v>6984</v>
      </c>
      <c r="J28" s="904" t="str">
        <f>HYPERLINK("https://www.google.com/maps/search/Reserva%20Bot%C3%A2nica%20do%20Cambarinho%20Campia%2C%20Vouzela%20Portugal","📍 Reserva Botânica do Cambarinho")</f>
        <v>📍 Reserva Botânica do Cambarinho</v>
      </c>
    </row>
    <row r="29" spans="1:10" ht="55" customHeight="1" x14ac:dyDescent="0.35">
      <c r="A29" s="870">
        <v>3</v>
      </c>
      <c r="B29" s="893" t="s">
        <v>6985</v>
      </c>
      <c r="C29" s="872" t="s">
        <v>836</v>
      </c>
      <c r="D29" s="871" t="s">
        <v>19980</v>
      </c>
      <c r="E29" s="898" t="s">
        <v>6986</v>
      </c>
      <c r="F29" s="898" t="str">
        <f>HYPERLINK("https://quintadaslagrimas.pt","quintadaslagrimas.pt")</f>
        <v>quintadaslagrimas.pt</v>
      </c>
      <c r="G29" s="871" t="s">
        <v>6987</v>
      </c>
      <c r="H29" s="898" t="s">
        <v>1392</v>
      </c>
      <c r="I29" s="873" t="s">
        <v>6987</v>
      </c>
      <c r="J29" s="903" t="str">
        <f>HYPERLINK("https://www.google.com/maps/search/Quinta%20das%20L%C3%A1grimas%20R.%20Ant%C3%B3nio%20Augusto%20Gon%C3%A7alves%2C%20Coimbra%20Portugal","📍 Quinta das Lágrimas")</f>
        <v>📍 Quinta das Lágrimas</v>
      </c>
    </row>
    <row r="30" spans="1:10" ht="55" customHeight="1" x14ac:dyDescent="0.35">
      <c r="A30" s="874">
        <v>4</v>
      </c>
      <c r="B30" s="894" t="s">
        <v>6988</v>
      </c>
      <c r="C30" s="876" t="s">
        <v>836</v>
      </c>
      <c r="D30" s="875" t="s">
        <v>19981</v>
      </c>
      <c r="E30" s="899" t="s">
        <v>6990</v>
      </c>
      <c r="F30" s="899" t="str">
        <f>HYPERLINK("https://cm-castelobranco.pt","cm-castelobranco.pt")</f>
        <v>cm-castelobranco.pt</v>
      </c>
      <c r="G30" s="875" t="s">
        <v>6991</v>
      </c>
      <c r="H30" s="899" t="s">
        <v>1527</v>
      </c>
      <c r="I30" s="877" t="s">
        <v>6991</v>
      </c>
      <c r="J30" s="904" t="str">
        <f>HYPERLINK("https://www.google.com/maps/search/Jardim%20do%20Pa%C3%A7o%20Episcopal%20Castelo%20Branco%20R.%20Bartolomeu%20da%20Costa%2C%20Castelo%20Branco%20Portugal","📍 Jardim do Paço Episcopal Castelo Branco")</f>
        <v>📍 Jardim do Paço Episcopal Castelo Branco</v>
      </c>
    </row>
    <row r="31" spans="1:10" ht="55" customHeight="1" x14ac:dyDescent="0.35">
      <c r="A31" s="870">
        <v>5</v>
      </c>
      <c r="B31" s="893" t="s">
        <v>6992</v>
      </c>
      <c r="C31" s="872" t="s">
        <v>836</v>
      </c>
      <c r="D31" s="871" t="s">
        <v>19982</v>
      </c>
      <c r="E31" s="898" t="s">
        <v>6993</v>
      </c>
      <c r="F31" s="898" t="str">
        <f>HYPERLINK("https://rewilding-portugal.com","rewilding-portugal.com")</f>
        <v>rewilding-portugal.com</v>
      </c>
      <c r="G31" s="878" t="s">
        <v>6994</v>
      </c>
      <c r="H31" s="898" t="s">
        <v>1527</v>
      </c>
      <c r="I31" s="873" t="s">
        <v>6994</v>
      </c>
      <c r="J31" s="903" t="str">
        <f>HYPERLINK("https://www.google.com/maps/search/Reserva%20Bot%C3%A2nica%20da%20Faia%20Brava%20Cimeira%2C%20Figueira%20de%20Castelo%20Rodrigo%20Portugal","📍 Reserva Botânica da Faia Brava")</f>
        <v>📍 Reserva Botânica da Faia Brava</v>
      </c>
    </row>
    <row r="32" spans="1:10" ht="55" customHeight="1" x14ac:dyDescent="0.35">
      <c r="A32" s="874">
        <v>6</v>
      </c>
      <c r="B32" s="894" t="s">
        <v>6995</v>
      </c>
      <c r="C32" s="876" t="s">
        <v>836</v>
      </c>
      <c r="D32" s="875" t="s">
        <v>19983</v>
      </c>
      <c r="E32" s="899" t="s">
        <v>6996</v>
      </c>
      <c r="F32" s="899"/>
      <c r="G32" s="875" t="s">
        <v>6997</v>
      </c>
      <c r="H32" s="899" t="s">
        <v>1392</v>
      </c>
      <c r="I32" s="877" t="s">
        <v>6997</v>
      </c>
      <c r="J32" s="904" t="str">
        <f>HYPERLINK("https://www.google.com/maps/search/Mata%20Nacional%20do%20Choupal%20Mata%20Nacional%20do%20Choupal%2C%20Coimbra%20Portugal","📍 Mata Nacional do Choupal")</f>
        <v>📍 Mata Nacional do Choupal</v>
      </c>
    </row>
    <row r="33" spans="1:10" ht="55" customHeight="1" x14ac:dyDescent="0.35">
      <c r="A33" s="870">
        <v>7</v>
      </c>
      <c r="B33" s="893" t="s">
        <v>6998</v>
      </c>
      <c r="C33" s="872" t="s">
        <v>836</v>
      </c>
      <c r="D33" s="871" t="s">
        <v>19984</v>
      </c>
      <c r="E33" s="898" t="s">
        <v>6999</v>
      </c>
      <c r="F33" s="898"/>
      <c r="G33" s="871" t="s">
        <v>7000</v>
      </c>
      <c r="H33" s="898" t="s">
        <v>1392</v>
      </c>
      <c r="I33" s="873" t="s">
        <v>7000</v>
      </c>
      <c r="J33" s="903" t="str">
        <f>HYPERLINK("https://www.google.com/maps/search/Pinetum%20de%20S.%20Pedro%20de%20Moel%20S.%20Pedro%20de%20Moel%2C%20Marinha%20Grande%20Portugal","📍 Pinetum de S. Pedro de Moel")</f>
        <v>📍 Pinetum de S. Pedro de Moel</v>
      </c>
    </row>
    <row r="34" spans="1:10" ht="55" customHeight="1" x14ac:dyDescent="0.35">
      <c r="A34" s="874">
        <v>8</v>
      </c>
      <c r="B34" s="894" t="s">
        <v>7001</v>
      </c>
      <c r="C34" s="876" t="s">
        <v>836</v>
      </c>
      <c r="D34" s="875" t="s">
        <v>19985</v>
      </c>
      <c r="E34" s="899" t="s">
        <v>7003</v>
      </c>
      <c r="F34" s="899"/>
      <c r="G34" s="875" t="s">
        <v>7004</v>
      </c>
      <c r="H34" s="899" t="s">
        <v>1336</v>
      </c>
      <c r="I34" s="877" t="s">
        <v>7004</v>
      </c>
      <c r="J34" s="904" t="str">
        <f>HYPERLINK("https://www.google.com/maps/search/Jardim%20do%20Pa%C3%A7o%20de%20Anadia%20R.%20do%20Pa%C3%A7o%2C%20Mangualde%20Portugal","📍 Jardim do Paço de Anadia")</f>
        <v>📍 Jardim do Paço de Anadia</v>
      </c>
    </row>
    <row r="35" spans="1:10" ht="55" customHeight="1" x14ac:dyDescent="0.35">
      <c r="A35" s="870">
        <v>9</v>
      </c>
      <c r="B35" s="893" t="s">
        <v>7005</v>
      </c>
      <c r="C35" s="872" t="s">
        <v>836</v>
      </c>
      <c r="D35" s="871" t="s">
        <v>19986</v>
      </c>
      <c r="E35" s="898" t="s">
        <v>7007</v>
      </c>
      <c r="F35" s="898"/>
      <c r="G35" s="871" t="s">
        <v>7008</v>
      </c>
      <c r="H35" s="898" t="s">
        <v>1336</v>
      </c>
      <c r="I35" s="873" t="s">
        <v>7008</v>
      </c>
      <c r="J35" s="903" t="str">
        <f>HYPERLINK("https://www.google.com/maps/search/Parque%20D.%20Carlos%20I%20Parque%20D.%20Carlos%20I%2C%20Caldas%20da%20Rainha%20Portugal","📍 Parque D. Carlos I")</f>
        <v>📍 Parque D. Carlos I</v>
      </c>
    </row>
    <row r="36" spans="1:10" ht="55" customHeight="1" x14ac:dyDescent="0.35">
      <c r="A36" s="874">
        <v>10</v>
      </c>
      <c r="B36" s="894" t="s">
        <v>7009</v>
      </c>
      <c r="C36" s="876" t="s">
        <v>836</v>
      </c>
      <c r="D36" s="875" t="s">
        <v>19987</v>
      </c>
      <c r="E36" s="899" t="s">
        <v>6964</v>
      </c>
      <c r="F36" s="899"/>
      <c r="G36" s="875" t="s">
        <v>7010</v>
      </c>
      <c r="H36" s="899" t="s">
        <v>1336</v>
      </c>
      <c r="I36" s="877" t="s">
        <v>7010</v>
      </c>
      <c r="J36" s="904" t="str">
        <f>HYPERLINK("https://www.google.com/maps/search/Jardim%20da%20Sereia%20R.%20Jo%C3%A3o%20de%20Ru%C3%A3o%2C%20Coimbra%20Portugal","📍 Jardim da Sereia")</f>
        <v>📍 Jardim da Sereia</v>
      </c>
    </row>
    <row r="37" spans="1:10" ht="55" customHeight="1" x14ac:dyDescent="0.35">
      <c r="A37" s="870">
        <v>11</v>
      </c>
      <c r="B37" s="893" t="s">
        <v>7011</v>
      </c>
      <c r="C37" s="872" t="s">
        <v>836</v>
      </c>
      <c r="D37" s="871" t="s">
        <v>19988</v>
      </c>
      <c r="E37" s="898" t="s">
        <v>7012</v>
      </c>
      <c r="F37" s="898"/>
      <c r="G37" s="871" t="s">
        <v>7013</v>
      </c>
      <c r="H37" s="898" t="s">
        <v>1336</v>
      </c>
      <c r="I37" s="873" t="s">
        <v>7013</v>
      </c>
      <c r="J37" s="903" t="str">
        <f>HYPERLINK("https://www.google.com/maps/search/Parque%20da%20Cidade%20de%20Aveiro%20Parque%20da%20Cidade%20de%20Aveiro%2C%20Aveiro%20Portugal","📍 Parque da Cidade de Aveiro")</f>
        <v>📍 Parque da Cidade de Aveiro</v>
      </c>
    </row>
    <row r="38" spans="1:10" ht="55" customHeight="1" x14ac:dyDescent="0.35">
      <c r="A38" s="874">
        <v>12</v>
      </c>
      <c r="B38" s="894" t="s">
        <v>7014</v>
      </c>
      <c r="C38" s="876" t="s">
        <v>836</v>
      </c>
      <c r="D38" s="875" t="s">
        <v>19989</v>
      </c>
      <c r="E38" s="899" t="s">
        <v>7016</v>
      </c>
      <c r="F38" s="899"/>
      <c r="G38" s="875" t="s">
        <v>7017</v>
      </c>
      <c r="H38" s="899" t="s">
        <v>1336</v>
      </c>
      <c r="I38" s="877" t="s">
        <v>7017</v>
      </c>
      <c r="J38" s="904" t="str">
        <f>HYPERLINK("https://www.google.com/maps/search/Mata%20da%20Curia%20Curia%2C%20Anadia%20Portugal","📍 Mata da Curia")</f>
        <v>📍 Mata da Curia</v>
      </c>
    </row>
    <row r="39" spans="1:10" ht="55" customHeight="1" x14ac:dyDescent="0.35">
      <c r="A39" s="870">
        <v>13</v>
      </c>
      <c r="B39" s="893" t="s">
        <v>7018</v>
      </c>
      <c r="C39" s="872" t="s">
        <v>836</v>
      </c>
      <c r="D39" s="871" t="s">
        <v>19990</v>
      </c>
      <c r="E39" s="898" t="s">
        <v>7020</v>
      </c>
      <c r="F39" s="898"/>
      <c r="G39" s="871" t="s">
        <v>7021</v>
      </c>
      <c r="H39" s="898" t="s">
        <v>1527</v>
      </c>
      <c r="I39" s="873" t="s">
        <v>7021</v>
      </c>
      <c r="J39" s="903" t="str">
        <f>HYPERLINK("https://www.google.com/maps/search/Jardim%20de%20Santar%20Santar%2C%20Nelas%20Portugal","📍 Jardim de Santar")</f>
        <v>📍 Jardim de Santar</v>
      </c>
    </row>
    <row r="40" spans="1:10" ht="55" customHeight="1" x14ac:dyDescent="0.35">
      <c r="A40" s="874">
        <v>14</v>
      </c>
      <c r="B40" s="894" t="s">
        <v>7022</v>
      </c>
      <c r="C40" s="876" t="s">
        <v>836</v>
      </c>
      <c r="D40" s="875" t="s">
        <v>19991</v>
      </c>
      <c r="E40" s="899" t="s">
        <v>7023</v>
      </c>
      <c r="F40" s="899"/>
      <c r="G40" s="875" t="s">
        <v>7024</v>
      </c>
      <c r="H40" s="899" t="s">
        <v>1336</v>
      </c>
      <c r="I40" s="877" t="s">
        <v>7024</v>
      </c>
      <c r="J40" s="904" t="str">
        <f>HYPERLINK("https://www.google.com/maps/search/Mata%20do%20Fund%C3%A3o%20R.%20Dr.%20Fortunato%20de%20Almeida%2C%20Fund%C3%A3o%20Portugal","📍 Mata do Fundão")</f>
        <v>📍 Mata do Fundão</v>
      </c>
    </row>
    <row r="41" spans="1:10" ht="55" customHeight="1" x14ac:dyDescent="0.35">
      <c r="A41" s="870">
        <v>15</v>
      </c>
      <c r="B41" s="893" t="s">
        <v>7025</v>
      </c>
      <c r="C41" s="872" t="s">
        <v>836</v>
      </c>
      <c r="D41" s="871" t="s">
        <v>19992</v>
      </c>
      <c r="E41" s="898" t="s">
        <v>7026</v>
      </c>
      <c r="F41" s="898"/>
      <c r="G41" s="871" t="s">
        <v>7027</v>
      </c>
      <c r="H41" s="898" t="s">
        <v>1392</v>
      </c>
      <c r="I41" s="873" t="s">
        <v>7027</v>
      </c>
      <c r="J41" s="903" t="str">
        <f>HYPERLINK("https://www.google.com/maps/search/Jardim%20Bot%C3%A2nico%20da%20Covilh%C3%A3%20Alameda%20P%C3%AAro%20da%20Covilh%C3%A3%2C%20Covilh%C3%A3%20Portugal","📍 Jardim Botânico da Covilhã")</f>
        <v>📍 Jardim Botânico da Covilhã</v>
      </c>
    </row>
    <row r="42" spans="1:10" ht="55" customHeight="1" x14ac:dyDescent="0.35">
      <c r="A42" s="874">
        <v>16</v>
      </c>
      <c r="B42" s="894" t="s">
        <v>7028</v>
      </c>
      <c r="C42" s="876" t="s">
        <v>836</v>
      </c>
      <c r="D42" s="875" t="s">
        <v>19993</v>
      </c>
      <c r="E42" s="899" t="s">
        <v>7029</v>
      </c>
      <c r="F42" s="899"/>
      <c r="G42" s="875" t="s">
        <v>7030</v>
      </c>
      <c r="H42" s="899" t="s">
        <v>1392</v>
      </c>
      <c r="I42" s="877" t="s">
        <v>7030</v>
      </c>
      <c r="J42" s="904" t="str">
        <f>HYPERLINK("https://www.google.com/maps/search/Jardim%20da%20Casa%20do%20Passal%20Cabanas%20de%20Viriato%2C%20Carregal%20do%20Sal%20Portugal","📍 Jardim da Casa do Passal")</f>
        <v>📍 Jardim da Casa do Passal</v>
      </c>
    </row>
    <row r="43" spans="1:10" ht="55" customHeight="1" x14ac:dyDescent="0.35">
      <c r="A43" s="870">
        <v>17</v>
      </c>
      <c r="B43" s="893" t="s">
        <v>7031</v>
      </c>
      <c r="C43" s="872" t="s">
        <v>836</v>
      </c>
      <c r="D43" s="871" t="s">
        <v>19994</v>
      </c>
      <c r="E43" s="898" t="s">
        <v>7032</v>
      </c>
      <c r="F43" s="898"/>
      <c r="G43" s="871" t="s">
        <v>7033</v>
      </c>
      <c r="H43" s="898" t="s">
        <v>1336</v>
      </c>
      <c r="I43" s="873" t="s">
        <v>7033</v>
      </c>
      <c r="J43" s="903" t="str">
        <f>HYPERLINK("https://www.google.com/maps/search/Parque%20do%20Serrado%20Av.%20Capit%C3%A3o%20Silva%20Pereira%2C%20Viseu%20Portugal","📍 Parque do Serrado")</f>
        <v>📍 Parque do Serrado</v>
      </c>
    </row>
    <row r="44" spans="1:10" ht="55" customHeight="1" x14ac:dyDescent="0.35">
      <c r="A44" s="874">
        <v>18</v>
      </c>
      <c r="B44" s="894" t="s">
        <v>7034</v>
      </c>
      <c r="C44" s="876" t="s">
        <v>836</v>
      </c>
      <c r="D44" s="875" t="s">
        <v>19995</v>
      </c>
      <c r="E44" s="899" t="s">
        <v>6999</v>
      </c>
      <c r="F44" s="899"/>
      <c r="G44" s="875" t="s">
        <v>7035</v>
      </c>
      <c r="H44" s="899" t="s">
        <v>1527</v>
      </c>
      <c r="I44" s="877" t="s">
        <v>7035</v>
      </c>
      <c r="J44" s="904" t="str">
        <f>HYPERLINK("https://www.google.com/maps/search/Mata%20Nacional%20de%20Leiria%20Mata%20Nacional%20de%20Leiria%2C%20Marinha%20Grande%20Portugal","📍 Mata Nacional de Leiria")</f>
        <v>📍 Mata Nacional de Leiria</v>
      </c>
    </row>
    <row r="45" spans="1:10" ht="55" customHeight="1" x14ac:dyDescent="0.35">
      <c r="A45" s="870">
        <v>19</v>
      </c>
      <c r="B45" s="893" t="s">
        <v>7036</v>
      </c>
      <c r="C45" s="872" t="s">
        <v>836</v>
      </c>
      <c r="D45" s="871" t="s">
        <v>19996</v>
      </c>
      <c r="E45" s="898" t="s">
        <v>7037</v>
      </c>
      <c r="F45" s="898" t="str">
        <f>HYPERLINK("https://icnf.pt","icnf.pt")</f>
        <v>icnf.pt</v>
      </c>
      <c r="G45" s="871" t="s">
        <v>7038</v>
      </c>
      <c r="H45" s="898" t="s">
        <v>1392</v>
      </c>
      <c r="I45" s="873" t="s">
        <v>7038</v>
      </c>
      <c r="J45" s="903" t="str">
        <f>HYPERLINK("https://www.google.com/maps/search/Dunas%20de%20S.%20Jacinto%20EN%20327%20S.%20Jacinto%2C%20Aveiro%20Portugal","📍 Dunas de S. Jacinto")</f>
        <v>📍 Dunas de S. Jacinto</v>
      </c>
    </row>
    <row r="46" spans="1:10" ht="26" customHeight="1" x14ac:dyDescent="0.45">
      <c r="A46" s="1431" t="s">
        <v>7039</v>
      </c>
      <c r="B46" s="1517"/>
      <c r="C46" s="1518"/>
      <c r="D46" s="1519"/>
      <c r="E46" s="1518"/>
      <c r="F46" s="1518"/>
      <c r="G46" s="1519"/>
      <c r="H46" s="1518"/>
      <c r="I46" s="1519"/>
      <c r="J46" s="907"/>
    </row>
    <row r="47" spans="1:10" ht="55" customHeight="1" x14ac:dyDescent="0.35">
      <c r="A47" s="801">
        <v>1</v>
      </c>
      <c r="B47" s="802" t="s">
        <v>7040</v>
      </c>
      <c r="C47" s="803" t="s">
        <v>913</v>
      </c>
      <c r="D47" s="806" t="s">
        <v>19997</v>
      </c>
      <c r="E47" s="804" t="s">
        <v>7041</v>
      </c>
      <c r="F47" s="804" t="str">
        <f>HYPERLINK("https://parquesdesintra.pt","parquesdesintra.pt")</f>
        <v>parquesdesintra.pt</v>
      </c>
      <c r="G47" s="806" t="s">
        <v>7042</v>
      </c>
      <c r="H47" s="804" t="s">
        <v>1527</v>
      </c>
      <c r="I47" s="805" t="s">
        <v>7042</v>
      </c>
      <c r="J47" s="756" t="str">
        <f>HYPERLINK("https://www.google.com/maps/search/Parque%20e%20Pal%C3%A1cio%20de%20Monserrate%20Estrada%20de%20Monserrate%2C%20Sintra%20Portugal","📍 Parque e Palácio de Monserrate")</f>
        <v>📍 Parque e Palácio de Monserrate</v>
      </c>
    </row>
    <row r="48" spans="1:10" ht="55" customHeight="1" x14ac:dyDescent="0.35">
      <c r="A48" s="807">
        <v>2</v>
      </c>
      <c r="B48" s="808" t="s">
        <v>7043</v>
      </c>
      <c r="C48" s="809" t="s">
        <v>913</v>
      </c>
      <c r="D48" s="812" t="s">
        <v>19998</v>
      </c>
      <c r="E48" s="810" t="s">
        <v>7044</v>
      </c>
      <c r="F48" s="810" t="str">
        <f>HYPERLINK("https://jardimbotanico-ajuda.pt","jardimbotanico-ajuda.pt")</f>
        <v>jardimbotanico-ajuda.pt</v>
      </c>
      <c r="G48" s="879" t="s">
        <v>7045</v>
      </c>
      <c r="H48" s="810" t="s">
        <v>1527</v>
      </c>
      <c r="I48" s="811" t="s">
        <v>7045</v>
      </c>
      <c r="J48" s="757" t="str">
        <f>HYPERLINK("https://www.google.com/maps/search/Jardim%20Bot%C3%A2nico%20da%20Ajuda%20Cal%C3%A7ada%20da%20Ajuda%2055%2C%20Lisboa%20Portugal","📍 Jardim Botânico da Ajuda")</f>
        <v>📍 Jardim Botânico da Ajuda</v>
      </c>
    </row>
    <row r="49" spans="1:10" ht="55" customHeight="1" x14ac:dyDescent="0.35">
      <c r="A49" s="801">
        <v>3</v>
      </c>
      <c r="B49" s="802" t="s">
        <v>7046</v>
      </c>
      <c r="C49" s="803" t="s">
        <v>913</v>
      </c>
      <c r="D49" s="806" t="s">
        <v>19999</v>
      </c>
      <c r="E49" s="804" t="s">
        <v>5484</v>
      </c>
      <c r="F49" s="804" t="str">
        <f>HYPERLINK("https://cm-lisboa.pt","cm-lisboa.pt")</f>
        <v>cm-lisboa.pt</v>
      </c>
      <c r="G49" s="806" t="s">
        <v>7047</v>
      </c>
      <c r="H49" s="804" t="s">
        <v>1392</v>
      </c>
      <c r="I49" s="805" t="s">
        <v>7047</v>
      </c>
      <c r="J49" s="756" t="str">
        <f>HYPERLINK("https://www.google.com/maps/search/Tapada%20das%20Necessidades%20Cal%C3%A7ada%20das%20Necessidades%2028%2C%20Lisboa%20Portugal","📍 Tapada das Necessidades")</f>
        <v>📍 Tapada das Necessidades</v>
      </c>
    </row>
    <row r="50" spans="1:10" ht="55" customHeight="1" x14ac:dyDescent="0.35">
      <c r="A50" s="807">
        <v>4</v>
      </c>
      <c r="B50" s="808" t="s">
        <v>7048</v>
      </c>
      <c r="C50" s="809" t="s">
        <v>913</v>
      </c>
      <c r="D50" s="812" t="s">
        <v>4998</v>
      </c>
      <c r="E50" s="810" t="s">
        <v>7049</v>
      </c>
      <c r="F50" s="810" t="str">
        <f>HYPERLINK("https://gulbenkian.pt","gulbenkian.pt")</f>
        <v>gulbenkian.pt</v>
      </c>
      <c r="G50" s="812" t="s">
        <v>7050</v>
      </c>
      <c r="H50" s="810" t="s">
        <v>1392</v>
      </c>
      <c r="I50" s="811" t="s">
        <v>7050</v>
      </c>
      <c r="J50" s="757" t="str">
        <f>HYPERLINK("https://www.google.com/maps/search/Funda%C3%A7%C3%A3o%20Calouste%20Gulbenkian%20Av.%20de%20Berna%2045A%2C%20Lisboa%20Portugal","📍 Fundação Calouste Gulbenkian")</f>
        <v>📍 Fundação Calouste Gulbenkian</v>
      </c>
    </row>
    <row r="51" spans="1:10" ht="55" customHeight="1" x14ac:dyDescent="0.35">
      <c r="A51" s="801">
        <v>5</v>
      </c>
      <c r="B51" s="802" t="s">
        <v>7051</v>
      </c>
      <c r="C51" s="803" t="s">
        <v>913</v>
      </c>
      <c r="D51" s="806" t="s">
        <v>20000</v>
      </c>
      <c r="E51" s="804" t="s">
        <v>5484</v>
      </c>
      <c r="F51" s="804" t="str">
        <f>HYPERLINK("https://museus.ulisboa.pt","museus.ulisboa.pt")</f>
        <v>museus.ulisboa.pt</v>
      </c>
      <c r="G51" s="806" t="s">
        <v>7052</v>
      </c>
      <c r="H51" s="804" t="s">
        <v>1392</v>
      </c>
      <c r="I51" s="805" t="s">
        <v>7052</v>
      </c>
      <c r="J51" s="756" t="str">
        <f>HYPERLINK("https://www.google.com/maps/search/Jardim%20Bot%C3%A2nico%20Tropical%20Bel%C3%A9m%20Largo%20dos%20Jer%C3%B3nimos%2C%20Lisboa%20Portugal","📍 Jardim Botânico Tropical Belém")</f>
        <v>📍 Jardim Botânico Tropical Belém</v>
      </c>
    </row>
    <row r="52" spans="1:10" ht="55" customHeight="1" x14ac:dyDescent="0.35">
      <c r="A52" s="807">
        <v>6</v>
      </c>
      <c r="B52" s="808" t="s">
        <v>2609</v>
      </c>
      <c r="C52" s="809" t="s">
        <v>913</v>
      </c>
      <c r="D52" s="812" t="s">
        <v>20001</v>
      </c>
      <c r="E52" s="810" t="s">
        <v>7053</v>
      </c>
      <c r="F52" s="810" t="str">
        <f>HYPERLINK("https://tapadamafra.pt","tapadamafra.pt")</f>
        <v>tapadamafra.pt</v>
      </c>
      <c r="G52" s="812" t="s">
        <v>7054</v>
      </c>
      <c r="H52" s="810" t="s">
        <v>1527</v>
      </c>
      <c r="I52" s="811" t="s">
        <v>7054</v>
      </c>
      <c r="J52" s="757" t="str">
        <f>HYPERLINK("https://www.google.com/maps/search/Tapada%20Nacional%20de%20Mafra%20Port%C3%A3o%20do%20Coche%2C%20Mafra%20Portugal","📍 Tapada Nacional de Mafra")</f>
        <v>📍 Tapada Nacional de Mafra</v>
      </c>
    </row>
    <row r="53" spans="1:10" ht="55" customHeight="1" x14ac:dyDescent="0.35">
      <c r="A53" s="801">
        <v>7</v>
      </c>
      <c r="B53" s="802" t="s">
        <v>7055</v>
      </c>
      <c r="C53" s="803" t="s">
        <v>913</v>
      </c>
      <c r="D53" s="806" t="s">
        <v>20002</v>
      </c>
      <c r="E53" s="804" t="s">
        <v>7041</v>
      </c>
      <c r="F53" s="804"/>
      <c r="G53" s="806" t="s">
        <v>7056</v>
      </c>
      <c r="H53" s="804" t="s">
        <v>1336</v>
      </c>
      <c r="I53" s="805" t="s">
        <v>7056</v>
      </c>
      <c r="J53" s="756" t="str">
        <f>HYPERLINK("https://www.google.com/maps/search/Parque%20da%20Liberdade%20Parque%20da%20Liberdade%2C%20Sintra%20Portugal","📍 Parque da Liberdade")</f>
        <v>📍 Parque da Liberdade</v>
      </c>
    </row>
    <row r="54" spans="1:10" ht="55" customHeight="1" x14ac:dyDescent="0.35">
      <c r="A54" s="807">
        <v>8</v>
      </c>
      <c r="B54" s="808" t="s">
        <v>7057</v>
      </c>
      <c r="C54" s="809" t="s">
        <v>913</v>
      </c>
      <c r="D54" s="812" t="s">
        <v>20003</v>
      </c>
      <c r="E54" s="810" t="s">
        <v>7058</v>
      </c>
      <c r="F54" s="810" t="str">
        <f>HYPERLINK("https://regaleira.pt","regaleira.pt")</f>
        <v>regaleira.pt</v>
      </c>
      <c r="G54" s="812" t="s">
        <v>7059</v>
      </c>
      <c r="H54" s="810" t="s">
        <v>1392</v>
      </c>
      <c r="I54" s="811" t="s">
        <v>7059</v>
      </c>
      <c r="J54" s="757" t="str">
        <f>HYPERLINK("https://www.google.com/maps/search/Quinta%20da%20Regaleira%20R.%20Barbosa%20du%20Bocage%205%2C%20Sintra%20Portugal","📍 Quinta da Regaleira")</f>
        <v>📍 Quinta da Regaleira</v>
      </c>
    </row>
    <row r="55" spans="1:10" ht="55" customHeight="1" x14ac:dyDescent="0.35">
      <c r="A55" s="801">
        <v>9</v>
      </c>
      <c r="B55" s="802" t="s">
        <v>7060</v>
      </c>
      <c r="C55" s="803" t="s">
        <v>913</v>
      </c>
      <c r="D55" s="806" t="s">
        <v>20004</v>
      </c>
      <c r="E55" s="804" t="s">
        <v>7041</v>
      </c>
      <c r="F55" s="804" t="str">
        <f>HYPERLINK("https://palacioqheluz.pt","palacioqheluz.pt")</f>
        <v>palacioqheluz.pt</v>
      </c>
      <c r="G55" s="806" t="s">
        <v>7061</v>
      </c>
      <c r="H55" s="804" t="s">
        <v>1392</v>
      </c>
      <c r="I55" s="805" t="s">
        <v>7061</v>
      </c>
      <c r="J55" s="756" t="str">
        <f>HYPERLINK("https://www.google.com/maps/search/Jardim%20do%20Pal%C3%A1cio%20de%20Queluz%20R.%20do%20Jardim%2C%20Queluz%20Portugal","📍 Jardim do Palácio de Queluz")</f>
        <v>📍 Jardim do Palácio de Queluz</v>
      </c>
    </row>
    <row r="56" spans="1:10" ht="55" customHeight="1" x14ac:dyDescent="0.35">
      <c r="A56" s="807">
        <v>10</v>
      </c>
      <c r="B56" s="808" t="s">
        <v>7062</v>
      </c>
      <c r="C56" s="809" t="s">
        <v>913</v>
      </c>
      <c r="D56" s="812" t="s">
        <v>20005</v>
      </c>
      <c r="E56" s="810" t="s">
        <v>7063</v>
      </c>
      <c r="F56" s="810"/>
      <c r="G56" s="812" t="s">
        <v>7064</v>
      </c>
      <c r="H56" s="810" t="s">
        <v>1336</v>
      </c>
      <c r="I56" s="811" t="s">
        <v>7064</v>
      </c>
      <c r="J56" s="757" t="str">
        <f>HYPERLINK("https://www.google.com/maps/search/Parque%20Marechal%20Carmona%20R.%20da%20Cidadela%2C%20Cascais%20Portugal","📍 Parque Marechal Carmona")</f>
        <v>📍 Parque Marechal Carmona</v>
      </c>
    </row>
    <row r="57" spans="1:10" ht="55" customHeight="1" x14ac:dyDescent="0.35">
      <c r="A57" s="801">
        <v>11</v>
      </c>
      <c r="B57" s="802" t="s">
        <v>7065</v>
      </c>
      <c r="C57" s="803" t="s">
        <v>913</v>
      </c>
      <c r="D57" s="806" t="s">
        <v>20006</v>
      </c>
      <c r="E57" s="804" t="s">
        <v>7066</v>
      </c>
      <c r="F57" s="804"/>
      <c r="G57" s="806" t="s">
        <v>7067</v>
      </c>
      <c r="H57" s="804" t="s">
        <v>1392</v>
      </c>
      <c r="I57" s="805" t="s">
        <v>7067</v>
      </c>
      <c r="J57" s="756" t="str">
        <f>HYPERLINK("https://www.google.com/maps/search/Jardim%20Bot%C3%A2nico%20de%20Set%C3%BAbal%20Rua%20Dr.%20Manuel%20Pereira%20Gomes%2C%20Set%C3%BAbal%20Portugal","📍 Jardim Botânico de Setúbal")</f>
        <v>📍 Jardim Botânico de Setúbal</v>
      </c>
    </row>
    <row r="58" spans="1:10" ht="55" customHeight="1" x14ac:dyDescent="0.35">
      <c r="A58" s="807">
        <v>12</v>
      </c>
      <c r="B58" s="808" t="s">
        <v>1346</v>
      </c>
      <c r="C58" s="809" t="s">
        <v>913</v>
      </c>
      <c r="D58" s="812" t="s">
        <v>20007</v>
      </c>
      <c r="E58" s="810" t="s">
        <v>5517</v>
      </c>
      <c r="F58" s="810" t="str">
        <f>HYPERLINK("https://icnf.pt","icnf.pt")</f>
        <v>icnf.pt</v>
      </c>
      <c r="G58" s="812" t="s">
        <v>7068</v>
      </c>
      <c r="H58" s="810" t="s">
        <v>1527</v>
      </c>
      <c r="I58" s="811" t="s">
        <v>7068</v>
      </c>
      <c r="J58" s="757" t="str">
        <f>HYPERLINK("https://www.google.com/maps/search/Parque%20Natural%20da%20Arr%C3%A1bida%20EN%20379-1%2C%20Set%C3%BAbal%20Portugal","📍 Parque Natural da Arrábida")</f>
        <v>📍 Parque Natural da Arrábida</v>
      </c>
    </row>
    <row r="59" spans="1:10" ht="55" customHeight="1" x14ac:dyDescent="0.35">
      <c r="A59" s="801">
        <v>13</v>
      </c>
      <c r="B59" s="802" t="s">
        <v>7069</v>
      </c>
      <c r="C59" s="803" t="s">
        <v>913</v>
      </c>
      <c r="D59" s="806" t="s">
        <v>20008</v>
      </c>
      <c r="E59" s="804" t="s">
        <v>7070</v>
      </c>
      <c r="F59" s="804"/>
      <c r="G59" s="806" t="s">
        <v>7071</v>
      </c>
      <c r="H59" s="804" t="s">
        <v>1336</v>
      </c>
      <c r="I59" s="805" t="s">
        <v>7071</v>
      </c>
      <c r="J59" s="756" t="str">
        <f>HYPERLINK("https://www.google.com/maps/search/Jardim%20da%20Estrela%20Pra%C3%A7a%20da%20Estrela%2C%20Lisboa%20Portugal","📍 Jardim da Estrela")</f>
        <v>📍 Jardim da Estrela</v>
      </c>
    </row>
    <row r="60" spans="1:10" ht="55" customHeight="1" x14ac:dyDescent="0.35">
      <c r="A60" s="807">
        <v>14</v>
      </c>
      <c r="B60" s="808" t="s">
        <v>7072</v>
      </c>
      <c r="C60" s="809" t="s">
        <v>913</v>
      </c>
      <c r="D60" s="812" t="s">
        <v>20009</v>
      </c>
      <c r="E60" s="810" t="s">
        <v>7073</v>
      </c>
      <c r="F60" s="810" t="str">
        <f>HYPERLINK("https://museus.ulisboa.pt","museus.ulisboa.pt")</f>
        <v>museus.ulisboa.pt</v>
      </c>
      <c r="G60" s="812" t="s">
        <v>7074</v>
      </c>
      <c r="H60" s="810" t="s">
        <v>1392</v>
      </c>
      <c r="I60" s="811" t="s">
        <v>7074</v>
      </c>
      <c r="J60" s="757" t="str">
        <f>HYPERLINK("https://www.google.com/maps/search/Jardim%20Bot%C3%A2nico%20Faculdade%20de%20Ci%C3%AAncias%20Lisboa%20R.%20da%20Escola%20Polit%C3%A9cnica%2058%2C%20Lisboa%20Portugal","📍 Jardim Botânico Faculdade de Ciências Lisboa")</f>
        <v>📍 Jardim Botânico Faculdade de Ciências Lisboa</v>
      </c>
    </row>
    <row r="61" spans="1:10" ht="55" customHeight="1" x14ac:dyDescent="0.35">
      <c r="A61" s="801">
        <v>15</v>
      </c>
      <c r="B61" s="802" t="s">
        <v>7075</v>
      </c>
      <c r="C61" s="803" t="s">
        <v>913</v>
      </c>
      <c r="D61" s="806" t="s">
        <v>20010</v>
      </c>
      <c r="E61" s="804" t="s">
        <v>5692</v>
      </c>
      <c r="F61" s="804"/>
      <c r="G61" s="806" t="s">
        <v>7076</v>
      </c>
      <c r="H61" s="804" t="s">
        <v>1336</v>
      </c>
      <c r="I61" s="805" t="s">
        <v>7076</v>
      </c>
      <c r="J61" s="756" t="str">
        <f>HYPERLINK("https://www.google.com/maps/search/Parque%20dos%20Poetas%20R.%20Alberto%20Ralha%2C%20Oeiras%20Portugal","📍 Parque dos Poetas")</f>
        <v>📍 Parque dos Poetas</v>
      </c>
    </row>
    <row r="62" spans="1:10" ht="55" customHeight="1" x14ac:dyDescent="0.35">
      <c r="A62" s="807">
        <v>16</v>
      </c>
      <c r="B62" s="808" t="s">
        <v>7077</v>
      </c>
      <c r="C62" s="809" t="s">
        <v>913</v>
      </c>
      <c r="D62" s="812" t="s">
        <v>20011</v>
      </c>
      <c r="E62" s="810" t="s">
        <v>7078</v>
      </c>
      <c r="F62" s="810"/>
      <c r="G62" s="812" t="s">
        <v>7079</v>
      </c>
      <c r="H62" s="810" t="s">
        <v>1392</v>
      </c>
      <c r="I62" s="811" t="s">
        <v>7079</v>
      </c>
      <c r="J62" s="757" t="str">
        <f>HYPERLINK("https://www.google.com/maps/search/Tapada%20da%20Ajuda%20ISA%20Tapada%20da%20Ajuda%2C%20Lisboa%20Portugal","📍 Tapada da Ajuda ISA")</f>
        <v>📍 Tapada da Ajuda ISA</v>
      </c>
    </row>
    <row r="63" spans="1:10" ht="26" customHeight="1" x14ac:dyDescent="0.45">
      <c r="A63" s="1467" t="s">
        <v>7080</v>
      </c>
      <c r="B63" s="1514"/>
      <c r="C63" s="1515"/>
      <c r="D63" s="1516"/>
      <c r="E63" s="1515"/>
      <c r="F63" s="1515"/>
      <c r="G63" s="1516"/>
      <c r="H63" s="1515"/>
      <c r="I63" s="1516"/>
      <c r="J63" s="908"/>
    </row>
    <row r="64" spans="1:10" ht="55" customHeight="1" x14ac:dyDescent="0.35">
      <c r="A64" s="880">
        <v>1</v>
      </c>
      <c r="B64" s="790" t="s">
        <v>7081</v>
      </c>
      <c r="C64" s="791" t="s">
        <v>853</v>
      </c>
      <c r="D64" s="794" t="s">
        <v>20012</v>
      </c>
      <c r="E64" s="792" t="s">
        <v>5484</v>
      </c>
      <c r="F64" s="792" t="str">
        <f>HYPERLINK("https://cm-evora.pt","cm-evora.pt")</f>
        <v>cm-evora.pt</v>
      </c>
      <c r="G64" s="794" t="s">
        <v>7082</v>
      </c>
      <c r="H64" s="792" t="s">
        <v>1392</v>
      </c>
      <c r="I64" s="793" t="s">
        <v>7082</v>
      </c>
      <c r="J64" s="754" t="str">
        <f>HYPERLINK("https://www.google.com/maps/search/Jardim%20P%C3%BAblico%20de%20%C3%89vora%20Pra%C3%A7a%201%C2%BA%20de%20Maio%2C%20%C3%89vora%20Portugal","📍 Jardim Público de Évora")</f>
        <v>📍 Jardim Público de Évora</v>
      </c>
    </row>
    <row r="65" spans="1:10" ht="55" customHeight="1" x14ac:dyDescent="0.35">
      <c r="A65" s="881">
        <v>2</v>
      </c>
      <c r="B65" s="796" t="s">
        <v>7083</v>
      </c>
      <c r="C65" s="797" t="s">
        <v>853</v>
      </c>
      <c r="D65" s="800" t="s">
        <v>20013</v>
      </c>
      <c r="E65" s="798" t="s">
        <v>7084</v>
      </c>
      <c r="F65" s="798"/>
      <c r="G65" s="800" t="s">
        <v>7085</v>
      </c>
      <c r="H65" s="798" t="s">
        <v>1336</v>
      </c>
      <c r="I65" s="799" t="s">
        <v>7085</v>
      </c>
      <c r="J65" s="755" t="str">
        <f>HYPERLINK("https://www.google.com/maps/search/Jardim%20do%20Castelo%20de%20Beja%20R.%20da%20Rep%C3%BAblica%2026%2C%20Beja%20Portugal","📍 Jardim do Castelo de Beja")</f>
        <v>📍 Jardim do Castelo de Beja</v>
      </c>
    </row>
    <row r="66" spans="1:10" ht="55" customHeight="1" x14ac:dyDescent="0.35">
      <c r="A66" s="880">
        <v>3</v>
      </c>
      <c r="B66" s="790" t="s">
        <v>7086</v>
      </c>
      <c r="C66" s="791" t="s">
        <v>853</v>
      </c>
      <c r="D66" s="794" t="s">
        <v>20014</v>
      </c>
      <c r="E66" s="792" t="s">
        <v>7087</v>
      </c>
      <c r="F66" s="792"/>
      <c r="G66" s="794" t="s">
        <v>7088</v>
      </c>
      <c r="H66" s="792" t="s">
        <v>1336</v>
      </c>
      <c r="I66" s="793" t="s">
        <v>7088</v>
      </c>
      <c r="J66" s="754" t="str">
        <f>HYPERLINK("https://www.google.com/maps/search/Parque%20de%20Santa%20Clara%20R.%20de%20Santa%20Clara%2C%20Beja%20Portugal","📍 Parque de Santa Clara")</f>
        <v>📍 Parque de Santa Clara</v>
      </c>
    </row>
    <row r="67" spans="1:10" ht="55" customHeight="1" x14ac:dyDescent="0.35">
      <c r="A67" s="881">
        <v>4</v>
      </c>
      <c r="B67" s="796" t="s">
        <v>7089</v>
      </c>
      <c r="C67" s="797" t="s">
        <v>853</v>
      </c>
      <c r="D67" s="800" t="s">
        <v>20015</v>
      </c>
      <c r="E67" s="798" t="s">
        <v>7091</v>
      </c>
      <c r="F67" s="798"/>
      <c r="G67" s="800" t="s">
        <v>7092</v>
      </c>
      <c r="H67" s="798" t="s">
        <v>1527</v>
      </c>
      <c r="I67" s="799" t="s">
        <v>7092</v>
      </c>
      <c r="J67" s="755" t="str">
        <f>HYPERLINK("https://www.google.com/maps/search/Cerca%20do%20Convento%20de%20S.%20Paulo%20Aldeia%20da%20Serra%2C%20Redondo%20Portugal","📍 Cerca do Convento de S. Paulo")</f>
        <v>📍 Cerca do Convento de S. Paulo</v>
      </c>
    </row>
    <row r="68" spans="1:10" ht="55" customHeight="1" x14ac:dyDescent="0.35">
      <c r="A68" s="880">
        <v>5</v>
      </c>
      <c r="B68" s="790" t="s">
        <v>7093</v>
      </c>
      <c r="C68" s="791" t="s">
        <v>853</v>
      </c>
      <c r="D68" s="794" t="s">
        <v>20016</v>
      </c>
      <c r="E68" s="792" t="s">
        <v>7094</v>
      </c>
      <c r="F68" s="792"/>
      <c r="G68" s="794" t="s">
        <v>7095</v>
      </c>
      <c r="H68" s="792" t="s">
        <v>1392</v>
      </c>
      <c r="I68" s="793" t="s">
        <v>7095</v>
      </c>
      <c r="J68" s="754" t="str">
        <f>HYPERLINK("https://www.google.com/maps/search/Tapada%20do%20Outeiro%20Tapada%20do%20Outeiro%2C%20Alter%20do%20Ch%C3%A3o%20Portugal","📍 Tapada do Outeiro")</f>
        <v>📍 Tapada do Outeiro</v>
      </c>
    </row>
    <row r="69" spans="1:10" ht="55" customHeight="1" x14ac:dyDescent="0.35">
      <c r="A69" s="881">
        <v>6</v>
      </c>
      <c r="B69" s="796" t="s">
        <v>7096</v>
      </c>
      <c r="C69" s="797" t="s">
        <v>853</v>
      </c>
      <c r="D69" s="800" t="s">
        <v>20017</v>
      </c>
      <c r="E69" s="798" t="s">
        <v>7097</v>
      </c>
      <c r="F69" s="798"/>
      <c r="G69" s="800" t="s">
        <v>7098</v>
      </c>
      <c r="H69" s="798" t="s">
        <v>1392</v>
      </c>
      <c r="I69" s="799" t="s">
        <v>7098</v>
      </c>
      <c r="J69" s="755" t="str">
        <f>HYPERLINK("https://www.google.com/maps/search/Horta%20Bot%C3%A2nica%20do%20Castelo%20de%20Vide%20R.%20de%20Santa%20Maria%2011%2C%20Castelo%20de%20Vide%20Portugal","📍 Horta Botânica do Castelo de Vide")</f>
        <v>📍 Horta Botânica do Castelo de Vide</v>
      </c>
    </row>
    <row r="70" spans="1:10" ht="26" customHeight="1" x14ac:dyDescent="0.45">
      <c r="A70" s="1461" t="s">
        <v>7099</v>
      </c>
      <c r="B70" s="1504"/>
      <c r="C70" s="1505"/>
      <c r="D70" s="1506"/>
      <c r="E70" s="1505"/>
      <c r="F70" s="1505"/>
      <c r="G70" s="1506"/>
      <c r="H70" s="1505"/>
      <c r="I70" s="1506"/>
      <c r="J70" s="909"/>
    </row>
    <row r="71" spans="1:10" ht="55" customHeight="1" x14ac:dyDescent="0.35">
      <c r="A71" s="825">
        <v>1</v>
      </c>
      <c r="B71" s="826" t="s">
        <v>7100</v>
      </c>
      <c r="C71" s="827" t="s">
        <v>767</v>
      </c>
      <c r="D71" s="830" t="s">
        <v>20018</v>
      </c>
      <c r="E71" s="828" t="s">
        <v>5484</v>
      </c>
      <c r="F71" s="828" t="str">
        <f>HYPERLINK("https://icnf.pt","icnf.pt")</f>
        <v>icnf.pt</v>
      </c>
      <c r="G71" s="830" t="s">
        <v>7101</v>
      </c>
      <c r="H71" s="828" t="s">
        <v>1527</v>
      </c>
      <c r="I71" s="829" t="s">
        <v>7101</v>
      </c>
      <c r="J71" s="760" t="str">
        <f>HYPERLINK("https://www.google.com/maps/search/Reserva%20Bot%C3%A2nica%20Rocha%20da%20Pena%20Salir%2C%20Loul%C3%A9%20Portugal","📍 Reserva Botânica Rocha da Pena")</f>
        <v>📍 Reserva Botânica Rocha da Pena</v>
      </c>
    </row>
    <row r="72" spans="1:10" ht="55" customHeight="1" x14ac:dyDescent="0.35">
      <c r="A72" s="831">
        <v>2</v>
      </c>
      <c r="B72" s="832" t="s">
        <v>7102</v>
      </c>
      <c r="C72" s="833" t="s">
        <v>767</v>
      </c>
      <c r="D72" s="836" t="s">
        <v>20019</v>
      </c>
      <c r="E72" s="834" t="s">
        <v>7103</v>
      </c>
      <c r="F72" s="834" t="str">
        <f>HYPERLINK("https://ualg.pt","ualg.pt")</f>
        <v>ualg.pt</v>
      </c>
      <c r="G72" s="836" t="s">
        <v>7104</v>
      </c>
      <c r="H72" s="834" t="s">
        <v>1392</v>
      </c>
      <c r="I72" s="835" t="s">
        <v>7104</v>
      </c>
      <c r="J72" s="761" t="str">
        <f>HYPERLINK("https://www.google.com/maps/search/Jardim%20Bot%C3%A2nico%20do%20Algarve%20UAlg%20Campus%20da%20Penha%2C%20Faro%20Portugal","📍 Jardim Botânico do Algarve UAlg")</f>
        <v>📍 Jardim Botânico do Algarve UAlg</v>
      </c>
    </row>
    <row r="73" spans="1:10" ht="55" customHeight="1" x14ac:dyDescent="0.35">
      <c r="A73" s="825">
        <v>3</v>
      </c>
      <c r="B73" s="826" t="s">
        <v>7105</v>
      </c>
      <c r="C73" s="827" t="s">
        <v>767</v>
      </c>
      <c r="D73" s="830" t="s">
        <v>6871</v>
      </c>
      <c r="E73" s="828" t="s">
        <v>5528</v>
      </c>
      <c r="F73" s="828" t="str">
        <f>HYPERLINK("https://natural.pt","natural.pt")</f>
        <v>natural.pt</v>
      </c>
      <c r="G73" s="830" t="s">
        <v>7106</v>
      </c>
      <c r="H73" s="828" t="s">
        <v>1392</v>
      </c>
      <c r="I73" s="829" t="s">
        <v>7106</v>
      </c>
      <c r="J73" s="760" t="str">
        <f>HYPERLINK("https://www.google.com/maps/search/Parque%20Natural%20da%20Ria%20Formosa%20Quinta%20de%20Marim%2C%20Olh%C3%A3o%20Portugal","📍 Parque Natural da Ria Formosa")</f>
        <v>📍 Parque Natural da Ria Formosa</v>
      </c>
    </row>
    <row r="74" spans="1:10" ht="55" customHeight="1" x14ac:dyDescent="0.35">
      <c r="A74" s="831">
        <v>4</v>
      </c>
      <c r="B74" s="832" t="s">
        <v>7107</v>
      </c>
      <c r="C74" s="833" t="s">
        <v>767</v>
      </c>
      <c r="D74" s="836" t="s">
        <v>20020</v>
      </c>
      <c r="E74" s="834" t="s">
        <v>7108</v>
      </c>
      <c r="F74" s="834"/>
      <c r="G74" s="836" t="s">
        <v>7109</v>
      </c>
      <c r="H74" s="834" t="s">
        <v>1392</v>
      </c>
      <c r="I74" s="835" t="s">
        <v>7109</v>
      </c>
      <c r="J74" s="761" t="str">
        <f>HYPERLINK("https://www.google.com/maps/search/Mata%20Nacional%20de%20VRSA%20Mata%20Nacional%20VRSA%2C%20Vila%20Real%20de%20Santo%20Ant%C3%B3nio%20Portugal","📍 Mata Nacional de VRSA")</f>
        <v>📍 Mata Nacional de VRSA</v>
      </c>
    </row>
    <row r="75" spans="1:10" ht="55" customHeight="1" x14ac:dyDescent="0.35">
      <c r="A75" s="825">
        <v>5</v>
      </c>
      <c r="B75" s="826" t="s">
        <v>7110</v>
      </c>
      <c r="C75" s="827" t="s">
        <v>767</v>
      </c>
      <c r="D75" s="830" t="s">
        <v>20021</v>
      </c>
      <c r="E75" s="828" t="s">
        <v>5505</v>
      </c>
      <c r="F75" s="828"/>
      <c r="G75" s="830" t="s">
        <v>7111</v>
      </c>
      <c r="H75" s="828" t="s">
        <v>1527</v>
      </c>
      <c r="I75" s="829" t="s">
        <v>7111</v>
      </c>
      <c r="J75" s="760" t="str">
        <f>HYPERLINK("https://www.google.com/maps/search/Barrocal%20Algarvio%20Flora%20Montado%20Herdade%20da%20Fonte%20do%20Bispo%2C%20Castro%20Verde%20Portugal","📍 Barrocal Algarvio Flora Montado")</f>
        <v>📍 Barrocal Algarvio Flora Montado</v>
      </c>
    </row>
    <row r="76" spans="1:10" ht="26" customHeight="1" x14ac:dyDescent="0.45">
      <c r="A76" s="1455" t="s">
        <v>7112</v>
      </c>
      <c r="B76" s="1520"/>
      <c r="C76" s="1521"/>
      <c r="D76" s="1522"/>
      <c r="E76" s="1521"/>
      <c r="F76" s="1521"/>
      <c r="G76" s="1522"/>
      <c r="H76" s="1521"/>
      <c r="I76" s="1522"/>
      <c r="J76" s="910"/>
    </row>
    <row r="77" spans="1:10" ht="55" customHeight="1" x14ac:dyDescent="0.35">
      <c r="A77" s="837">
        <v>1</v>
      </c>
      <c r="B77" s="838" t="s">
        <v>7113</v>
      </c>
      <c r="C77" s="839" t="s">
        <v>522</v>
      </c>
      <c r="D77" s="842" t="s">
        <v>20022</v>
      </c>
      <c r="E77" s="840" t="s">
        <v>7114</v>
      </c>
      <c r="F77" s="840"/>
      <c r="G77" s="882" t="s">
        <v>7115</v>
      </c>
      <c r="H77" s="840" t="s">
        <v>1527</v>
      </c>
      <c r="I77" s="841" t="s">
        <v>7115</v>
      </c>
      <c r="J77" s="762" t="str">
        <f>HYPERLINK("https://www.google.com/maps/search/Jardim%20Jos%C3%A9%20do%20Canto%20R.%20Jos%C3%A9%20do%20Canto%2022%2C%20Ponta%20Delgada%20Portugal","📍 Jardim José do Canto")</f>
        <v>📍 Jardim José do Canto</v>
      </c>
    </row>
    <row r="78" spans="1:10" ht="55" customHeight="1" x14ac:dyDescent="0.35">
      <c r="A78" s="843">
        <v>2</v>
      </c>
      <c r="B78" s="844" t="s">
        <v>7116</v>
      </c>
      <c r="C78" s="845" t="s">
        <v>522</v>
      </c>
      <c r="D78" s="848" t="s">
        <v>20023</v>
      </c>
      <c r="E78" s="846" t="s">
        <v>7117</v>
      </c>
      <c r="F78" s="846" t="str">
        <f>HYPERLINK("https://parqueterranostra.com","parqueterranostra.com")</f>
        <v>parqueterranostra.com</v>
      </c>
      <c r="G78" s="848" t="s">
        <v>7118</v>
      </c>
      <c r="H78" s="846" t="s">
        <v>1527</v>
      </c>
      <c r="I78" s="847" t="s">
        <v>7118</v>
      </c>
      <c r="J78" s="763" t="str">
        <f>HYPERLINK("https://www.google.com/maps/search/Parque%20Terra%20Nostra%20Furnas%20R.%20Padre%20Jos%C3%A9%20Jacinto%20Botelho%2C%20Furnas%20Portugal","📍 Parque Terra Nostra Furnas")</f>
        <v>📍 Parque Terra Nostra Furnas</v>
      </c>
    </row>
    <row r="79" spans="1:10" ht="55" customHeight="1" x14ac:dyDescent="0.35">
      <c r="A79" s="837">
        <v>3</v>
      </c>
      <c r="B79" s="838" t="s">
        <v>7119</v>
      </c>
      <c r="C79" s="839" t="s">
        <v>522</v>
      </c>
      <c r="D79" s="842" t="s">
        <v>20024</v>
      </c>
      <c r="E79" s="840" t="s">
        <v>5484</v>
      </c>
      <c r="F79" s="840" t="str">
        <f>HYPERLINK("https://cm-angradoheroismo.pt","cm-angradoheroismo.pt")</f>
        <v>cm-angradoheroismo.pt</v>
      </c>
      <c r="G79" s="842" t="s">
        <v>7120</v>
      </c>
      <c r="H79" s="840" t="s">
        <v>1392</v>
      </c>
      <c r="I79" s="841" t="s">
        <v>7120</v>
      </c>
      <c r="J79" s="762" t="str">
        <f>HYPERLINK("https://www.google.com/maps/search/Jardim%20Duque%20da%20Terceira%20Angra%20R.%20Direita%2C%20Angra%20do%20Hero%C3%ADsmo%20Portugal","📍 Jardim Duque da Terceira Angra")</f>
        <v>📍 Jardim Duque da Terceira Angra</v>
      </c>
    </row>
    <row r="80" spans="1:10" ht="55" customHeight="1" x14ac:dyDescent="0.35">
      <c r="A80" s="843">
        <v>4</v>
      </c>
      <c r="B80" s="844" t="s">
        <v>7121</v>
      </c>
      <c r="C80" s="845" t="s">
        <v>522</v>
      </c>
      <c r="D80" s="848" t="s">
        <v>20025</v>
      </c>
      <c r="E80" s="846" t="s">
        <v>5484</v>
      </c>
      <c r="F80" s="846"/>
      <c r="G80" s="848" t="s">
        <v>7122</v>
      </c>
      <c r="H80" s="846" t="s">
        <v>1392</v>
      </c>
      <c r="I80" s="847" t="s">
        <v>7122</v>
      </c>
      <c r="J80" s="763" t="str">
        <f>HYPERLINK("https://www.google.com/maps/search/Jardim%20Bot%C3%A2nico%20do%20Faial%20Quinta%20de%20S.%20Louren%C3%A7o%2C%20Horta%20Portugal","📍 Jardim Botânico do Faial")</f>
        <v>📍 Jardim Botânico do Faial</v>
      </c>
    </row>
    <row r="81" spans="1:10" ht="55" customHeight="1" x14ac:dyDescent="0.35">
      <c r="A81" s="837">
        <v>5</v>
      </c>
      <c r="B81" s="838" t="s">
        <v>7123</v>
      </c>
      <c r="C81" s="839" t="s">
        <v>522</v>
      </c>
      <c r="D81" s="842" t="s">
        <v>20026</v>
      </c>
      <c r="E81" s="840" t="s">
        <v>5484</v>
      </c>
      <c r="F81" s="840"/>
      <c r="G81" s="842" t="s">
        <v>7124</v>
      </c>
      <c r="H81" s="840" t="s">
        <v>1527</v>
      </c>
      <c r="I81" s="841" t="s">
        <v>7124</v>
      </c>
      <c r="J81" s="762" t="str">
        <f>HYPERLINK("https://www.google.com/maps/search/Reserva%20Florestal%20da%20Serreta%20Terceira%20Serreta%2C%20Angra%20do%20Hero%C3%ADsmo%20Portugal","📍 Reserva Florestal da Serreta Terceira")</f>
        <v>📍 Reserva Florestal da Serreta Terceira</v>
      </c>
    </row>
    <row r="82" spans="1:10" ht="55" customHeight="1" x14ac:dyDescent="0.35">
      <c r="A82" s="843">
        <v>6</v>
      </c>
      <c r="B82" s="844" t="s">
        <v>7125</v>
      </c>
      <c r="C82" s="845" t="s">
        <v>522</v>
      </c>
      <c r="D82" s="848" t="s">
        <v>20027</v>
      </c>
      <c r="E82" s="846" t="s">
        <v>7126</v>
      </c>
      <c r="F82" s="846"/>
      <c r="G82" s="848" t="s">
        <v>7127</v>
      </c>
      <c r="H82" s="846" t="s">
        <v>1392</v>
      </c>
      <c r="I82" s="847" t="s">
        <v>7127</v>
      </c>
      <c r="J82" s="763" t="str">
        <f>HYPERLINK("https://www.google.com/maps/search/Jardim%20Bot%C3%A2nico%20de%20Angra%20do%20Hero%C3%ADsmo%20Av.%20Infante%20D.%20Henrique%2C%20Angra%20do%20Hero%C3%ADsmo%20Portugal","📍 Jardim Botânico de Angra do Heroísmo")</f>
        <v>📍 Jardim Botânico de Angra do Heroísmo</v>
      </c>
    </row>
    <row r="83" spans="1:10" ht="55" customHeight="1" x14ac:dyDescent="0.35">
      <c r="A83" s="837">
        <v>7</v>
      </c>
      <c r="B83" s="838" t="s">
        <v>7128</v>
      </c>
      <c r="C83" s="839" t="s">
        <v>522</v>
      </c>
      <c r="D83" s="842" t="s">
        <v>20028</v>
      </c>
      <c r="E83" s="840" t="s">
        <v>7129</v>
      </c>
      <c r="F83" s="840"/>
      <c r="G83" s="842" t="s">
        <v>7130</v>
      </c>
      <c r="H83" s="840" t="s">
        <v>1527</v>
      </c>
      <c r="I83" s="841" t="s">
        <v>7130</v>
      </c>
      <c r="J83" s="762" t="str">
        <f>HYPERLINK("https://www.google.com/maps/search/Parque%20da%20Alagoa%20Flores%20Parque%20Municipal%2C%20Santa%20Cruz%20das%20Flores%20Portugal","📍 Parque da Alagoa Flores")</f>
        <v>📍 Parque da Alagoa Flores</v>
      </c>
    </row>
    <row r="84" spans="1:10" ht="55" customHeight="1" x14ac:dyDescent="0.35">
      <c r="A84" s="843">
        <v>8</v>
      </c>
      <c r="B84" s="844" t="s">
        <v>7131</v>
      </c>
      <c r="C84" s="845" t="s">
        <v>522</v>
      </c>
      <c r="D84" s="848" t="s">
        <v>20029</v>
      </c>
      <c r="E84" s="846" t="s">
        <v>7132</v>
      </c>
      <c r="F84" s="846"/>
      <c r="G84" s="848" t="s">
        <v>7133</v>
      </c>
      <c r="H84" s="846" t="s">
        <v>1392</v>
      </c>
      <c r="I84" s="847" t="s">
        <v>7133</v>
      </c>
      <c r="J84" s="763" t="str">
        <f>HYPERLINK("https://www.google.com/maps/search/Jardim%20Florestal%20da%20Silveira%20Silveira%2C%20Praia%20da%20Vit%C3%B3ria%2C%20Terceira%20Portugal","📍 Jardim Florestal da Silveira")</f>
        <v>📍 Jardim Florestal da Silveira</v>
      </c>
    </row>
    <row r="85" spans="1:10" ht="55" customHeight="1" x14ac:dyDescent="0.35">
      <c r="A85" s="837">
        <v>9</v>
      </c>
      <c r="B85" s="838" t="s">
        <v>7134</v>
      </c>
      <c r="C85" s="839" t="s">
        <v>522</v>
      </c>
      <c r="D85" s="842" t="s">
        <v>20030</v>
      </c>
      <c r="E85" s="840" t="s">
        <v>7135</v>
      </c>
      <c r="F85" s="840"/>
      <c r="G85" s="842" t="s">
        <v>7136</v>
      </c>
      <c r="H85" s="840" t="s">
        <v>1336</v>
      </c>
      <c r="I85" s="841" t="s">
        <v>7136</v>
      </c>
      <c r="J85" s="762" t="str">
        <f>HYPERLINK("https://www.google.com/maps/search/Parque%20Municipal%20da%20Prainha%20Prainha%2C%20Vila%20do%20Porto%2C%20Santa%20Maria%20Portugal","📍 Parque Municipal da Prainha")</f>
        <v>📍 Parque Municipal da Prainha</v>
      </c>
    </row>
    <row r="86" spans="1:10" ht="55" customHeight="1" x14ac:dyDescent="0.35">
      <c r="A86" s="843">
        <v>10</v>
      </c>
      <c r="B86" s="844" t="s">
        <v>7137</v>
      </c>
      <c r="C86" s="845" t="s">
        <v>522</v>
      </c>
      <c r="D86" s="848" t="s">
        <v>20031</v>
      </c>
      <c r="E86" s="846" t="s">
        <v>7138</v>
      </c>
      <c r="F86" s="846"/>
      <c r="G86" s="848" t="s">
        <v>7139</v>
      </c>
      <c r="H86" s="846" t="s">
        <v>1392</v>
      </c>
      <c r="I86" s="847" t="s">
        <v>7139</v>
      </c>
      <c r="J86" s="763" t="str">
        <f>HYPERLINK("https://www.google.com/maps/search/Jardim%20do%20Pal%C3%A1cio%20de%20Sant%27Ana%20Av.%20Dr.%20Lopes%20Vieira%2C%20Ponta%20Delgada%20Portugal","📍 Jardim do Palácio de Sant'Ana")</f>
        <v>📍 Jardim do Palácio de Sant'Ana</v>
      </c>
    </row>
    <row r="87" spans="1:10" ht="55" customHeight="1" x14ac:dyDescent="0.35">
      <c r="A87" s="837">
        <v>11</v>
      </c>
      <c r="B87" s="838" t="s">
        <v>7140</v>
      </c>
      <c r="C87" s="839" t="s">
        <v>522</v>
      </c>
      <c r="D87" s="842" t="s">
        <v>20032</v>
      </c>
      <c r="E87" s="840" t="s">
        <v>7141</v>
      </c>
      <c r="F87" s="840"/>
      <c r="G87" s="842" t="s">
        <v>7142</v>
      </c>
      <c r="H87" s="840" t="s">
        <v>1527</v>
      </c>
      <c r="I87" s="841" t="s">
        <v>7142</v>
      </c>
      <c r="J87" s="762" t="str">
        <f>HYPERLINK("https://www.google.com/maps/search/Reserva%20Natural%20Lagoa%20do%20Fogo%20Flora%20Lagoa%20do%20Fogo%2C%20S.%20Miguel%20Portugal","📍 Reserva Natural Lagoa do Fogo Flora")</f>
        <v>📍 Reserva Natural Lagoa do Fogo Flora</v>
      </c>
    </row>
    <row r="88" spans="1:10" ht="55" customHeight="1" x14ac:dyDescent="0.35">
      <c r="A88" s="843">
        <v>12</v>
      </c>
      <c r="B88" s="844" t="s">
        <v>6665</v>
      </c>
      <c r="C88" s="845" t="s">
        <v>522</v>
      </c>
      <c r="D88" s="848" t="s">
        <v>20033</v>
      </c>
      <c r="E88" s="846" t="s">
        <v>6666</v>
      </c>
      <c r="F88" s="846"/>
      <c r="G88" s="848" t="s">
        <v>7143</v>
      </c>
      <c r="H88" s="846" t="s">
        <v>1392</v>
      </c>
      <c r="I88" s="847" t="s">
        <v>7143</v>
      </c>
      <c r="J88" s="763" t="str">
        <f>HYPERLINK("https://www.google.com/maps/search/Pinhal%20da%20Paz%20R.%20de%20Machado%2C%20Ponta%20Delgada%20Portugal","📍 Pinhal da Paz")</f>
        <v>📍 Pinhal da Paz</v>
      </c>
    </row>
    <row r="89" spans="1:10" ht="26" customHeight="1" x14ac:dyDescent="0.45">
      <c r="A89" s="1425" t="s">
        <v>7144</v>
      </c>
      <c r="B89" s="1523"/>
      <c r="C89" s="1524"/>
      <c r="D89" s="1525"/>
      <c r="E89" s="1524"/>
      <c r="F89" s="1524"/>
      <c r="G89" s="1525"/>
      <c r="H89" s="1524"/>
      <c r="I89" s="1525"/>
      <c r="J89" s="911"/>
    </row>
    <row r="90" spans="1:10" ht="55" customHeight="1" x14ac:dyDescent="0.35">
      <c r="A90" s="883">
        <v>1</v>
      </c>
      <c r="B90" s="895" t="s">
        <v>7145</v>
      </c>
      <c r="C90" s="885" t="s">
        <v>524</v>
      </c>
      <c r="D90" s="884" t="s">
        <v>20034</v>
      </c>
      <c r="E90" s="900" t="s">
        <v>7147</v>
      </c>
      <c r="F90" s="900" t="str">
        <f>HYPERLINK("https://montepalace.com","montepalace.com")</f>
        <v>montepalace.com</v>
      </c>
      <c r="G90" s="884" t="s">
        <v>7148</v>
      </c>
      <c r="H90" s="900" t="s">
        <v>1527</v>
      </c>
      <c r="I90" s="886" t="s">
        <v>7148</v>
      </c>
      <c r="J90" s="775" t="str">
        <f>HYPERLINK("https://www.google.com/maps/search/Monte%20Palace%20Madeira%20Caminho%20do%20Monte%20174%2C%20Funchal%20Portugal","📍 Monte Palace Madeira")</f>
        <v>📍 Monte Palace Madeira</v>
      </c>
    </row>
    <row r="91" spans="1:10" ht="55" customHeight="1" x14ac:dyDescent="0.35">
      <c r="A91" s="887">
        <v>2</v>
      </c>
      <c r="B91" s="896" t="s">
        <v>7149</v>
      </c>
      <c r="C91" s="889" t="s">
        <v>524</v>
      </c>
      <c r="D91" s="888" t="s">
        <v>20035</v>
      </c>
      <c r="E91" s="901" t="s">
        <v>7150</v>
      </c>
      <c r="F91" s="901" t="str">
        <f>HYPERLINK("https://sra.pt","sra.pt")</f>
        <v>sra.pt</v>
      </c>
      <c r="G91" s="888" t="s">
        <v>7151</v>
      </c>
      <c r="H91" s="901" t="s">
        <v>1527</v>
      </c>
      <c r="I91" s="890" t="s">
        <v>7151</v>
      </c>
      <c r="J91" s="905" t="str">
        <f>HYPERLINK("https://www.google.com/maps/search/Jardim%20Bot%C3%A2nico%20da%20Madeira%20Caminho%20do%20Meio%20Bom%20Sucesso%2C%20Funchal%20Portugal","📍 Jardim Botânico da Madeira")</f>
        <v>📍 Jardim Botânico da Madeira</v>
      </c>
    </row>
    <row r="92" spans="1:10" ht="55" customHeight="1" x14ac:dyDescent="0.35">
      <c r="A92" s="883">
        <v>3</v>
      </c>
      <c r="B92" s="895" t="s">
        <v>7152</v>
      </c>
      <c r="C92" s="885" t="s">
        <v>524</v>
      </c>
      <c r="D92" s="884" t="s">
        <v>20036</v>
      </c>
      <c r="E92" s="900" t="s">
        <v>7153</v>
      </c>
      <c r="F92" s="900"/>
      <c r="G92" s="884" t="s">
        <v>7154</v>
      </c>
      <c r="H92" s="900" t="s">
        <v>1527</v>
      </c>
      <c r="I92" s="886" t="s">
        <v>7154</v>
      </c>
      <c r="J92" s="775" t="str">
        <f>HYPERLINK("https://www.google.com/maps/search/Quinta%20da%20Boa%20Vista%20R.%20da%20Boa%20Nova%2032%2C%20Funchal%20Portugal","📍 Quinta da Boa Vista")</f>
        <v>📍 Quinta da Boa Vista</v>
      </c>
    </row>
    <row r="93" spans="1:10" ht="55" customHeight="1" x14ac:dyDescent="0.35">
      <c r="A93" s="887">
        <v>4</v>
      </c>
      <c r="B93" s="896" t="s">
        <v>7155</v>
      </c>
      <c r="C93" s="889" t="s">
        <v>524</v>
      </c>
      <c r="D93" s="888" t="s">
        <v>20037</v>
      </c>
      <c r="E93" s="901" t="s">
        <v>7156</v>
      </c>
      <c r="F93" s="901"/>
      <c r="G93" s="888" t="s">
        <v>7157</v>
      </c>
      <c r="H93" s="901" t="s">
        <v>1392</v>
      </c>
      <c r="I93" s="890" t="s">
        <v>7157</v>
      </c>
      <c r="J93" s="905" t="str">
        <f>HYPERLINK("https://www.google.com/maps/search/Jardim%20Orqu%C3%ADdea%20R.%20Pita%202A%2C%20Funchal%20Portugal","📍 Jardim Orquídea")</f>
        <v>📍 Jardim Orquídea</v>
      </c>
    </row>
    <row r="94" spans="1:10" ht="55" customHeight="1" x14ac:dyDescent="0.35">
      <c r="A94" s="883">
        <v>5</v>
      </c>
      <c r="B94" s="895" t="s">
        <v>7158</v>
      </c>
      <c r="C94" s="885" t="s">
        <v>524</v>
      </c>
      <c r="D94" s="884" t="s">
        <v>20038</v>
      </c>
      <c r="E94" s="900" t="s">
        <v>7159</v>
      </c>
      <c r="F94" s="900" t="str">
        <f>HYPERLINK("https://palheiroestate.com","palheiroestate.com")</f>
        <v>palheiroestate.com</v>
      </c>
      <c r="G94" s="884" t="s">
        <v>7160</v>
      </c>
      <c r="H94" s="900" t="s">
        <v>1527</v>
      </c>
      <c r="I94" s="886" t="s">
        <v>7160</v>
      </c>
      <c r="J94" s="775" t="str">
        <f>HYPERLINK("https://www.google.com/maps/search/Palheiro%20Gardens%20Quinta%20do%20Palheiro%20R.%20da%20Estalagem%2023%2C%20Funchal%20Portugal","📍 Palheiro Gardens Quinta do Palheiro")</f>
        <v>📍 Palheiro Gardens Quinta do Palheiro</v>
      </c>
    </row>
    <row r="95" spans="1:10" ht="55" customHeight="1" x14ac:dyDescent="0.35">
      <c r="A95" s="887">
        <v>6</v>
      </c>
      <c r="B95" s="896" t="s">
        <v>7161</v>
      </c>
      <c r="C95" s="889" t="s">
        <v>524</v>
      </c>
      <c r="D95" s="888" t="s">
        <v>20039</v>
      </c>
      <c r="E95" s="901" t="s">
        <v>7162</v>
      </c>
      <c r="F95" s="901"/>
      <c r="G95" s="888" t="s">
        <v>7163</v>
      </c>
      <c r="H95" s="901" t="s">
        <v>1392</v>
      </c>
      <c r="I95" s="890" t="s">
        <v>7163</v>
      </c>
      <c r="J95" s="905" t="str">
        <f>HYPERLINK("https://www.google.com/maps/search/Quinta%20das%20Cruzes%20Cal%C3%A7ada%20do%20Pico%201%2C%20Funchal%20Portugal","📍 Quinta das Cruzes")</f>
        <v>📍 Quinta das Cruzes</v>
      </c>
    </row>
    <row r="96" spans="1:10" ht="55" customHeight="1" x14ac:dyDescent="0.35">
      <c r="A96" s="883">
        <v>7</v>
      </c>
      <c r="B96" s="895" t="s">
        <v>7164</v>
      </c>
      <c r="C96" s="885" t="s">
        <v>524</v>
      </c>
      <c r="D96" s="884" t="s">
        <v>20040</v>
      </c>
      <c r="E96" s="900" t="s">
        <v>7165</v>
      </c>
      <c r="F96" s="900"/>
      <c r="G96" s="884" t="s">
        <v>7166</v>
      </c>
      <c r="H96" s="900" t="s">
        <v>1336</v>
      </c>
      <c r="I96" s="886" t="s">
        <v>7166</v>
      </c>
      <c r="J96" s="775" t="str">
        <f>HYPERLINK("https://www.google.com/maps/search/Parque%20de%20Santa%20Catarina%20Av.%20do%20Infante%2C%20Funchal%20Portugal","📍 Parque de Santa Catarina")</f>
        <v>📍 Parque de Santa Catarina</v>
      </c>
    </row>
    <row r="97" spans="1:10" ht="55" customHeight="1" x14ac:dyDescent="0.35">
      <c r="A97" s="887">
        <v>8</v>
      </c>
      <c r="B97" s="896" t="s">
        <v>7167</v>
      </c>
      <c r="C97" s="889" t="s">
        <v>524</v>
      </c>
      <c r="D97" s="888" t="s">
        <v>20041</v>
      </c>
      <c r="E97" s="901" t="s">
        <v>7168</v>
      </c>
      <c r="F97" s="901"/>
      <c r="G97" s="888" t="s">
        <v>7169</v>
      </c>
      <c r="H97" s="901" t="s">
        <v>1336</v>
      </c>
      <c r="I97" s="890" t="s">
        <v>7169</v>
      </c>
      <c r="J97" s="905" t="str">
        <f>HYPERLINK("https://www.google.com/maps/search/Jardim%20Municipal%20do%20Funchal%20Av.%20Arriaga%2010%2C%20Funchal%20Portugal","📍 Jardim Municipal do Funchal")</f>
        <v>📍 Jardim Municipal do Funchal</v>
      </c>
    </row>
    <row r="98" spans="1:10" ht="55" customHeight="1" x14ac:dyDescent="0.35">
      <c r="A98" s="883">
        <v>9</v>
      </c>
      <c r="B98" s="895" t="s">
        <v>7170</v>
      </c>
      <c r="C98" s="885" t="s">
        <v>524</v>
      </c>
      <c r="D98" s="884" t="s">
        <v>20042</v>
      </c>
      <c r="E98" s="900" t="s">
        <v>7171</v>
      </c>
      <c r="F98" s="900" t="str">
        <f>HYPERLINK("https://quintadoarco.com","quintadoarco.com")</f>
        <v>quintadoarco.com</v>
      </c>
      <c r="G98" s="884" t="s">
        <v>7172</v>
      </c>
      <c r="H98" s="900" t="s">
        <v>1527</v>
      </c>
      <c r="I98" s="886" t="s">
        <v>7172</v>
      </c>
      <c r="J98" s="775" t="str">
        <f>HYPERLINK("https://www.google.com/maps/search/Quinta%20do%20Arco%20Roseiral%20Arco%20de%20S.%20Jorge%2C%20Santana%20Portugal","📍 Quinta do Arco Roseiral")</f>
        <v>📍 Quinta do Arco Roseiral</v>
      </c>
    </row>
    <row r="99" spans="1:10" ht="55" customHeight="1" x14ac:dyDescent="0.35">
      <c r="A99" s="887">
        <v>10</v>
      </c>
      <c r="B99" s="896" t="s">
        <v>7173</v>
      </c>
      <c r="C99" s="889" t="s">
        <v>524</v>
      </c>
      <c r="D99" s="888" t="s">
        <v>20043</v>
      </c>
      <c r="E99" s="901" t="s">
        <v>7174</v>
      </c>
      <c r="F99" s="901"/>
      <c r="G99" s="888" t="s">
        <v>7175</v>
      </c>
      <c r="H99" s="901" t="s">
        <v>1392</v>
      </c>
      <c r="I99" s="890" t="s">
        <v>7175</v>
      </c>
      <c r="J99" s="905" t="str">
        <f>HYPERLINK("https://www.google.com/maps/search/Jardim%20do%20Dragoeiro%20R.%20de%20S.%20Francisco%2C%20Santa%20Cruz%2C%20Madeira%20Portugal","📍 Jardim do Dragoeiro")</f>
        <v>📍 Jardim do Dragoeiro</v>
      </c>
    </row>
    <row r="100" spans="1:10" ht="55" customHeight="1" x14ac:dyDescent="0.35">
      <c r="A100" s="883">
        <v>11</v>
      </c>
      <c r="B100" s="895" t="s">
        <v>7176</v>
      </c>
      <c r="C100" s="885" t="s">
        <v>524</v>
      </c>
      <c r="D100" s="884" t="s">
        <v>20044</v>
      </c>
      <c r="E100" s="900" t="s">
        <v>7177</v>
      </c>
      <c r="F100" s="900" t="str">
        <f>HYPERLINK("https://icnf.pt","icnf.pt")</f>
        <v>icnf.pt</v>
      </c>
      <c r="G100" s="884" t="s">
        <v>7178</v>
      </c>
      <c r="H100" s="900" t="s">
        <v>1527</v>
      </c>
      <c r="I100" s="886" t="s">
        <v>7178</v>
      </c>
      <c r="J100" s="775" t="str">
        <f>HYPERLINK("https://www.google.com/maps/search/Parque%20Natural%20da%20Madeira%20Ribeiro%20Frio%20Ribeiro%20Frio%2C%20Santana%2C%20Madeira%20Portugal","📍 Parque Natural da Madeira Ribeiro Frio")</f>
        <v>📍 Parque Natural da Madeira Ribeiro Frio</v>
      </c>
    </row>
    <row r="101" spans="1:10" ht="55" customHeight="1" x14ac:dyDescent="0.35">
      <c r="A101" s="887">
        <v>12</v>
      </c>
      <c r="B101" s="896" t="s">
        <v>7179</v>
      </c>
      <c r="C101" s="889" t="s">
        <v>524</v>
      </c>
      <c r="D101" s="888" t="s">
        <v>20035</v>
      </c>
      <c r="E101" s="901" t="s">
        <v>7150</v>
      </c>
      <c r="F101" s="901"/>
      <c r="G101" s="888" t="s">
        <v>7180</v>
      </c>
      <c r="H101" s="901" t="s">
        <v>1392</v>
      </c>
      <c r="I101" s="890" t="s">
        <v>7180</v>
      </c>
      <c r="J101" s="905" t="str">
        <f>HYPERLINK("https://www.google.com/maps/search/Jardim%20Quinta%20do%20Bom%20Sucesso%20Caminho%20do%20Meio%20Bom%20Sucesso%2C%20Funchal%20Portugal","📍 Jardim Quinta do Bom Sucesso")</f>
        <v>📍 Jardim Quinta do Bom Sucesso</v>
      </c>
    </row>
    <row r="102" spans="1:10" ht="55" customHeight="1" x14ac:dyDescent="0.35">
      <c r="A102" s="883">
        <v>13</v>
      </c>
      <c r="B102" s="895" t="s">
        <v>7181</v>
      </c>
      <c r="C102" s="885" t="s">
        <v>524</v>
      </c>
      <c r="D102" s="884" t="s">
        <v>20045</v>
      </c>
      <c r="E102" s="900" t="s">
        <v>5542</v>
      </c>
      <c r="F102" s="900"/>
      <c r="G102" s="884" t="s">
        <v>7182</v>
      </c>
      <c r="H102" s="900" t="s">
        <v>1527</v>
      </c>
      <c r="I102" s="886" t="s">
        <v>7182</v>
      </c>
      <c r="J102" s="775" t="str">
        <f>HYPERLINK("https://www.google.com/maps/search/Fanal%20Laurissilva%20da%20Madeira%20Posto%20Florestal%20do%20Fanal%2C%20Porto%20Moniz%20Portugal","📍 Fanal Laurissilva da Madeira")</f>
        <v>📍 Fanal Laurissilva da Madeira</v>
      </c>
    </row>
    <row r="103" spans="1:10" ht="16.5" x14ac:dyDescent="0.45">
      <c r="A103" s="892"/>
      <c r="B103" s="897"/>
      <c r="C103" s="891"/>
      <c r="D103" s="902"/>
      <c r="E103" s="891"/>
      <c r="F103" s="891"/>
      <c r="G103" s="902"/>
      <c r="H103" s="891"/>
      <c r="I103" s="902"/>
      <c r="J103" s="912"/>
    </row>
    <row r="104" spans="1:10" ht="26" customHeight="1" x14ac:dyDescent="0.45">
      <c r="A104" s="1510" t="s">
        <v>7183</v>
      </c>
      <c r="B104" s="1511"/>
      <c r="C104" s="1511"/>
      <c r="D104" s="1511"/>
      <c r="E104" s="1511"/>
      <c r="F104" s="1511"/>
      <c r="G104" s="1511"/>
      <c r="H104" s="1511"/>
      <c r="I104" s="1511"/>
      <c r="J104" s="914"/>
    </row>
  </sheetData>
  <mergeCells count="10">
    <mergeCell ref="A1:I1"/>
    <mergeCell ref="A70:I70"/>
    <mergeCell ref="A4:I4"/>
    <mergeCell ref="A26:I26"/>
    <mergeCell ref="A104:I104"/>
    <mergeCell ref="A2:I2"/>
    <mergeCell ref="A63:I63"/>
    <mergeCell ref="A46:I46"/>
    <mergeCell ref="A76:I76"/>
    <mergeCell ref="A89:I8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21"/>
  <sheetViews>
    <sheetView workbookViewId="0">
      <pane ySplit="3" topLeftCell="A109" activePane="bottomLeft" state="frozen"/>
      <selection pane="bottomLeft" activeCell="I119" sqref="I119"/>
    </sheetView>
  </sheetViews>
  <sheetFormatPr defaultRowHeight="14.5" x14ac:dyDescent="0.35"/>
  <cols>
    <col min="1" max="1" width="4" customWidth="1"/>
    <col min="2" max="2" width="42" customWidth="1"/>
    <col min="3" max="3" width="18" customWidth="1"/>
    <col min="4" max="4" width="12" customWidth="1"/>
    <col min="5" max="5" width="40" customWidth="1"/>
    <col min="6" max="6" width="22" customWidth="1"/>
    <col min="7" max="7" width="18" customWidth="1"/>
    <col min="8" max="8" width="14" customWidth="1"/>
    <col min="9" max="9" width="52" customWidth="1"/>
    <col min="10" max="10" width="58" customWidth="1"/>
  </cols>
  <sheetData>
    <row r="1" spans="1:10" ht="32" customHeight="1" x14ac:dyDescent="0.35">
      <c r="A1" s="1476" t="s">
        <v>7184</v>
      </c>
      <c r="B1" s="1313"/>
      <c r="C1" s="1313"/>
      <c r="D1" s="1313"/>
      <c r="E1" s="1313"/>
      <c r="F1" s="1313"/>
      <c r="G1" s="1313"/>
      <c r="H1" s="1313"/>
      <c r="I1" s="1313"/>
    </row>
    <row r="2" spans="1:10" ht="16" customHeight="1" x14ac:dyDescent="0.35">
      <c r="A2" s="1365" t="s">
        <v>7185</v>
      </c>
      <c r="B2" s="1313"/>
      <c r="C2" s="1313"/>
      <c r="D2" s="1313"/>
      <c r="E2" s="1313"/>
      <c r="F2" s="1313"/>
      <c r="G2" s="1313"/>
      <c r="H2" s="1313"/>
      <c r="I2" s="1313"/>
    </row>
    <row r="3" spans="1:10" ht="24" customHeight="1" x14ac:dyDescent="0.35">
      <c r="A3" s="238" t="s">
        <v>141</v>
      </c>
      <c r="B3" s="238" t="s">
        <v>7186</v>
      </c>
      <c r="C3" s="238" t="s">
        <v>7187</v>
      </c>
      <c r="D3" s="238" t="s">
        <v>619</v>
      </c>
      <c r="E3" s="238" t="s">
        <v>906</v>
      </c>
      <c r="F3" s="238" t="s">
        <v>909</v>
      </c>
      <c r="G3" s="238" t="s">
        <v>16416</v>
      </c>
      <c r="H3" s="238" t="s">
        <v>539</v>
      </c>
      <c r="I3" s="303" t="s">
        <v>8</v>
      </c>
      <c r="J3" s="238" t="s">
        <v>789</v>
      </c>
    </row>
    <row r="4" spans="1:10" ht="22" customHeight="1" x14ac:dyDescent="0.35">
      <c r="A4" s="1479" t="s">
        <v>7189</v>
      </c>
      <c r="B4" s="1313"/>
      <c r="C4" s="1313"/>
      <c r="D4" s="1313"/>
      <c r="E4" s="1313"/>
      <c r="F4" s="1313"/>
      <c r="G4" s="1313"/>
      <c r="H4" s="1313"/>
      <c r="I4" s="1313"/>
    </row>
    <row r="5" spans="1:10" ht="110" customHeight="1" x14ac:dyDescent="0.35">
      <c r="A5" s="338">
        <v>1</v>
      </c>
      <c r="B5" s="239" t="s">
        <v>7190</v>
      </c>
      <c r="C5" s="239" t="s">
        <v>7191</v>
      </c>
      <c r="D5" s="240" t="s">
        <v>792</v>
      </c>
      <c r="E5" s="239" t="s">
        <v>7192</v>
      </c>
      <c r="F5" s="239" t="s">
        <v>7193</v>
      </c>
      <c r="G5" s="239" t="s">
        <v>7194</v>
      </c>
      <c r="H5" s="239" t="str">
        <f>HYPERLINK("https://monumentos.gov.pt","monumentos.gov.pt")</f>
        <v>monumentos.gov.pt</v>
      </c>
      <c r="I5" s="304" t="s">
        <v>7195</v>
      </c>
      <c r="J5" s="257" t="str">
        <f>HYPERLINK("https://www.google.com/maps/search/Castelo%20de%20Aguiar%20de%20Sousa%20Norte%20Portugal/@41.1292,-8.4239,17z","🏰 Castelo de Aguiar de Sousa")</f>
        <v>🏰 Castelo de Aguiar de Sousa</v>
      </c>
    </row>
    <row r="6" spans="1:10" ht="110" customHeight="1" x14ac:dyDescent="0.35">
      <c r="A6" s="336">
        <v>2</v>
      </c>
      <c r="B6" s="242" t="s">
        <v>7196</v>
      </c>
      <c r="C6" s="242" t="s">
        <v>7191</v>
      </c>
      <c r="D6" s="243" t="s">
        <v>792</v>
      </c>
      <c r="E6" s="242" t="s">
        <v>7197</v>
      </c>
      <c r="F6" s="242" t="s">
        <v>7193</v>
      </c>
      <c r="G6" s="242" t="s">
        <v>7194</v>
      </c>
      <c r="H6" s="242" t="str">
        <f>HYPERLINK("https://monumentos.gov.pt","monumentos.gov.pt")</f>
        <v>monumentos.gov.pt</v>
      </c>
      <c r="I6" s="305" t="s">
        <v>7198</v>
      </c>
      <c r="J6" s="258" t="str">
        <f>HYPERLINK("https://www.google.com/maps/search/Castelo%20de%20Ansi%C3%A3es%20Norte%20Portugal/@41.2017,-7.3061,17z","🏰 Castelo de Ansiães")</f>
        <v>🏰 Castelo de Ansiães</v>
      </c>
    </row>
    <row r="7" spans="1:10" ht="110" customHeight="1" x14ac:dyDescent="0.35">
      <c r="A7" s="338">
        <v>3</v>
      </c>
      <c r="B7" s="239" t="s">
        <v>7199</v>
      </c>
      <c r="C7" s="239" t="s">
        <v>7191</v>
      </c>
      <c r="D7" s="240" t="s">
        <v>792</v>
      </c>
      <c r="E7" s="239" t="s">
        <v>7200</v>
      </c>
      <c r="F7" s="239" t="s">
        <v>7193</v>
      </c>
      <c r="G7" s="239" t="s">
        <v>7194</v>
      </c>
      <c r="H7" s="239" t="str">
        <f>HYPERLINK("https://monumentos.gov.pt","monumentos.gov.pt")</f>
        <v>monumentos.gov.pt</v>
      </c>
      <c r="I7" s="304" t="s">
        <v>7201</v>
      </c>
      <c r="J7" s="257" t="str">
        <f>HYPERLINK("https://www.google.com/maps/search/Castelo%20de%20Arnoia%20%28Castelo%20de%20Basto%29%20Norte%20Portugal/@41.3644,-8.0583,17z","🏰 Castelo de Arnoia (Castelo …")</f>
        <v>🏰 Castelo de Arnoia (Castelo …</v>
      </c>
    </row>
    <row r="8" spans="1:10" ht="110" customHeight="1" x14ac:dyDescent="0.35">
      <c r="A8" s="336">
        <v>4</v>
      </c>
      <c r="B8" s="242" t="s">
        <v>1422</v>
      </c>
      <c r="C8" s="242" t="s">
        <v>7191</v>
      </c>
      <c r="D8" s="243" t="s">
        <v>792</v>
      </c>
      <c r="E8" s="242" t="s">
        <v>7202</v>
      </c>
      <c r="F8" s="242" t="s">
        <v>7193</v>
      </c>
      <c r="G8" s="242" t="s">
        <v>7194</v>
      </c>
      <c r="H8" s="244" t="str">
        <f>HYPERLINK("https://patrimoniomundial.cm-guimaraes.pt","patrimoniomundial.cm-guimaraes.pt")</f>
        <v>patrimoniomundial.cm-guimaraes.pt</v>
      </c>
      <c r="I8" s="305" t="s">
        <v>7203</v>
      </c>
      <c r="J8" s="258" t="str">
        <f>HYPERLINK("https://www.google.com/maps/search/Castelo%20de%20Guimar%C3%A3es%20Norte%20Portugal/@41.4478,-8.2903,17z","🏰 Castelo de Guimarães")</f>
        <v>🏰 Castelo de Guimarães</v>
      </c>
    </row>
    <row r="9" spans="1:10" ht="110" customHeight="1" x14ac:dyDescent="0.35">
      <c r="A9" s="338">
        <v>5</v>
      </c>
      <c r="B9" s="239" t="s">
        <v>7204</v>
      </c>
      <c r="C9" s="239" t="s">
        <v>7205</v>
      </c>
      <c r="D9" s="240" t="s">
        <v>792</v>
      </c>
      <c r="E9" s="239" t="s">
        <v>7206</v>
      </c>
      <c r="F9" s="239" t="s">
        <v>7193</v>
      </c>
      <c r="G9" s="239" t="s">
        <v>7194</v>
      </c>
      <c r="H9" s="239" t="str">
        <f t="shared" ref="H9:H16" si="0">HYPERLINK("https://monumentos.gov.pt","monumentos.gov.pt")</f>
        <v>monumentos.gov.pt</v>
      </c>
      <c r="I9" s="304" t="s">
        <v>7207</v>
      </c>
      <c r="J9" s="257" t="str">
        <f>HYPERLINK("https://www.google.com/maps/search/Castelo%20Rodrigo%20Norte%20Portugal/@40.8773,-6.9642,17z","🏰 Castelo Rodrigo")</f>
        <v>🏰 Castelo Rodrigo</v>
      </c>
    </row>
    <row r="10" spans="1:10" ht="110" customHeight="1" x14ac:dyDescent="0.35">
      <c r="A10" s="336">
        <v>6</v>
      </c>
      <c r="B10" s="242" t="s">
        <v>7208</v>
      </c>
      <c r="C10" s="242" t="s">
        <v>7209</v>
      </c>
      <c r="D10" s="243" t="s">
        <v>792</v>
      </c>
      <c r="E10" s="242" t="s">
        <v>7210</v>
      </c>
      <c r="F10" s="242" t="s">
        <v>7193</v>
      </c>
      <c r="G10" s="242" t="s">
        <v>7194</v>
      </c>
      <c r="H10" s="242" t="str">
        <f t="shared" si="0"/>
        <v>monumentos.gov.pt</v>
      </c>
      <c r="I10" s="305" t="s">
        <v>7211</v>
      </c>
      <c r="J10" s="258" t="str">
        <f>HYPERLINK("https://www.google.com/maps/search/Castelo%20de%20Bragan%C3%A7a%20Norte%20Portugal/@41.8034,-6.749,17z","🏰 Castelo de Bragança")</f>
        <v>🏰 Castelo de Bragança</v>
      </c>
    </row>
    <row r="11" spans="1:10" ht="110" customHeight="1" x14ac:dyDescent="0.35">
      <c r="A11" s="338">
        <v>7</v>
      </c>
      <c r="B11" s="239" t="s">
        <v>3311</v>
      </c>
      <c r="C11" s="239" t="s">
        <v>7209</v>
      </c>
      <c r="D11" s="240" t="s">
        <v>792</v>
      </c>
      <c r="E11" s="239" t="s">
        <v>7212</v>
      </c>
      <c r="F11" s="239" t="s">
        <v>7193</v>
      </c>
      <c r="G11" s="239" t="s">
        <v>7194</v>
      </c>
      <c r="H11" s="239" t="str">
        <f t="shared" si="0"/>
        <v>monumentos.gov.pt</v>
      </c>
      <c r="I11" s="304" t="s">
        <v>7213</v>
      </c>
      <c r="J11" s="257" t="str">
        <f>HYPERLINK("https://www.google.com/maps/search/Castelo%20de%20Lindoso%20Norte%20Portugal/@41.8671,-8.2003,17z","🏰 Castelo de Lindoso")</f>
        <v>🏰 Castelo de Lindoso</v>
      </c>
    </row>
    <row r="12" spans="1:10" ht="110" customHeight="1" x14ac:dyDescent="0.35">
      <c r="A12" s="336">
        <v>8</v>
      </c>
      <c r="B12" s="242" t="s">
        <v>7214</v>
      </c>
      <c r="C12" s="242" t="s">
        <v>7215</v>
      </c>
      <c r="D12" s="243" t="s">
        <v>792</v>
      </c>
      <c r="E12" s="242" t="s">
        <v>7216</v>
      </c>
      <c r="F12" s="242" t="s">
        <v>7217</v>
      </c>
      <c r="G12" s="242" t="s">
        <v>876</v>
      </c>
      <c r="H12" s="242" t="str">
        <f t="shared" si="0"/>
        <v>monumentos.gov.pt</v>
      </c>
      <c r="I12" s="305" t="s">
        <v>7218</v>
      </c>
      <c r="J12" s="258" t="str">
        <f>HYPERLINK("https://www.google.com/maps/search/Castelo%20de%20Braga%20%28Antigo%29%20Norte%20Portugal/@41.5459,-8.4265,17z","🏰 Castelo de Braga (Antigo)")</f>
        <v>🏰 Castelo de Braga (Antigo)</v>
      </c>
    </row>
    <row r="13" spans="1:10" ht="110" customHeight="1" x14ac:dyDescent="0.35">
      <c r="A13" s="338">
        <v>9</v>
      </c>
      <c r="B13" s="239" t="s">
        <v>7219</v>
      </c>
      <c r="C13" s="239" t="s">
        <v>7220</v>
      </c>
      <c r="D13" s="240" t="s">
        <v>792</v>
      </c>
      <c r="E13" s="239" t="s">
        <v>7221</v>
      </c>
      <c r="F13" s="239" t="s">
        <v>7217</v>
      </c>
      <c r="G13" s="239" t="s">
        <v>876</v>
      </c>
      <c r="H13" s="239" t="str">
        <f t="shared" si="0"/>
        <v>monumentos.gov.pt</v>
      </c>
      <c r="I13" s="304" t="s">
        <v>7222</v>
      </c>
      <c r="J13" s="257" t="str">
        <f>HYPERLINK("https://www.google.com/maps/search/Castelo%20de%20Viana%20do%20Castelo%20Norte%20Portugal/@41.7081,-8.8241,17z","🏰 Castelo de Viana do Castelo")</f>
        <v>🏰 Castelo de Viana do Castelo</v>
      </c>
    </row>
    <row r="14" spans="1:10" ht="110" customHeight="1" x14ac:dyDescent="0.35">
      <c r="A14" s="336">
        <v>10</v>
      </c>
      <c r="B14" s="242" t="s">
        <v>7223</v>
      </c>
      <c r="C14" s="242" t="s">
        <v>7220</v>
      </c>
      <c r="D14" s="243" t="s">
        <v>792</v>
      </c>
      <c r="E14" s="242" t="s">
        <v>7224</v>
      </c>
      <c r="F14" s="242" t="s">
        <v>7217</v>
      </c>
      <c r="G14" s="242" t="s">
        <v>876</v>
      </c>
      <c r="H14" s="242" t="str">
        <f t="shared" si="0"/>
        <v>monumentos.gov.pt</v>
      </c>
      <c r="I14" s="305" t="s">
        <v>7225</v>
      </c>
      <c r="J14" s="258" t="str">
        <f>HYPERLINK("https://www.google.com/maps/search/Castelo%20de%20Mon%C3%A7%C3%A3o%20Norte%20Portugal/@42.0761,-8.4801,17z","🏰 Castelo de Monção")</f>
        <v>🏰 Castelo de Monção</v>
      </c>
    </row>
    <row r="15" spans="1:10" ht="110" customHeight="1" x14ac:dyDescent="0.35">
      <c r="A15" s="338">
        <v>11</v>
      </c>
      <c r="B15" s="239" t="s">
        <v>7226</v>
      </c>
      <c r="C15" s="239" t="s">
        <v>7205</v>
      </c>
      <c r="D15" s="240" t="s">
        <v>792</v>
      </c>
      <c r="E15" s="239" t="s">
        <v>7227</v>
      </c>
      <c r="F15" s="239" t="s">
        <v>7217</v>
      </c>
      <c r="G15" s="239" t="s">
        <v>876</v>
      </c>
      <c r="H15" s="239" t="str">
        <f t="shared" si="0"/>
        <v>monumentos.gov.pt</v>
      </c>
      <c r="I15" s="304" t="s">
        <v>7228</v>
      </c>
      <c r="J15" s="257" t="str">
        <f>HYPERLINK("https://www.google.com/maps/search/Castelo%20de%20Melga%C3%A7o%20Norte%20Portugal/@42.1141,-8.2601,17z","🏰 Castelo de Melgaço")</f>
        <v>🏰 Castelo de Melgaço</v>
      </c>
    </row>
    <row r="16" spans="1:10" ht="110" customHeight="1" x14ac:dyDescent="0.35">
      <c r="A16" s="336">
        <v>12</v>
      </c>
      <c r="B16" s="242" t="s">
        <v>7229</v>
      </c>
      <c r="C16" s="242" t="s">
        <v>7220</v>
      </c>
      <c r="D16" s="243" t="s">
        <v>792</v>
      </c>
      <c r="E16" s="242" t="s">
        <v>7230</v>
      </c>
      <c r="F16" s="242" t="s">
        <v>7231</v>
      </c>
      <c r="G16" s="242" t="s">
        <v>795</v>
      </c>
      <c r="H16" s="242" t="str">
        <f t="shared" si="0"/>
        <v>monumentos.gov.pt</v>
      </c>
      <c r="I16" s="305" t="s">
        <v>7232</v>
      </c>
      <c r="J16" s="258" t="str">
        <f>HYPERLINK("https://www.google.com/maps/search/Castelo%20de%20Vila%20Nova%20de%20Cerveira%20Norte%20Portugal/@41.9361,-8.7401,17z","🏰 Castelo de Vila Nova de Cer…")</f>
        <v>🏰 Castelo de Vila Nova de Cer…</v>
      </c>
    </row>
    <row r="17" spans="1:10" ht="110" customHeight="1" x14ac:dyDescent="0.35">
      <c r="A17" s="338">
        <v>13</v>
      </c>
      <c r="B17" s="239" t="s">
        <v>7233</v>
      </c>
      <c r="C17" s="239" t="s">
        <v>7209</v>
      </c>
      <c r="D17" s="240" t="s">
        <v>792</v>
      </c>
      <c r="E17" s="239" t="s">
        <v>7234</v>
      </c>
      <c r="F17" s="239" t="s">
        <v>7235</v>
      </c>
      <c r="G17" s="239" t="s">
        <v>876</v>
      </c>
      <c r="H17" s="239" t="str">
        <f>HYPERLINK("https://cm-valenca.pt","cm-valenca.pt")</f>
        <v>cm-valenca.pt</v>
      </c>
      <c r="I17" s="304" t="s">
        <v>7236</v>
      </c>
      <c r="J17" s="257" t="str">
        <f>HYPERLINK("https://www.google.com/maps/search/Castelo%20de%20Valen%C3%A7a%20Norte%20Portugal/@41.9331,-8.6301,17z","🏰 Castelo de Valença")</f>
        <v>🏰 Castelo de Valença</v>
      </c>
    </row>
    <row r="18" spans="1:10" ht="110" customHeight="1" x14ac:dyDescent="0.35">
      <c r="A18" s="336">
        <v>14</v>
      </c>
      <c r="B18" s="242" t="s">
        <v>7237</v>
      </c>
      <c r="C18" s="242" t="s">
        <v>7220</v>
      </c>
      <c r="D18" s="243" t="s">
        <v>792</v>
      </c>
      <c r="E18" s="242" t="s">
        <v>7238</v>
      </c>
      <c r="F18" s="242" t="s">
        <v>7217</v>
      </c>
      <c r="G18" s="242" t="s">
        <v>876</v>
      </c>
      <c r="H18" s="242" t="str">
        <f t="shared" ref="H18:H28" si="1">HYPERLINK("https://monumentos.gov.pt","monumentos.gov.pt")</f>
        <v>monumentos.gov.pt</v>
      </c>
      <c r="I18" s="305" t="s">
        <v>7239</v>
      </c>
      <c r="J18" s="258" t="str">
        <f>HYPERLINK("https://www.google.com/maps/search/Castelo%20de%20Caminha%20Norte%20Portugal/@41.8721,-8.8381,17z","🏰 Castelo de Caminha")</f>
        <v>🏰 Castelo de Caminha</v>
      </c>
    </row>
    <row r="19" spans="1:10" ht="110" customHeight="1" x14ac:dyDescent="0.35">
      <c r="A19" s="338">
        <v>15</v>
      </c>
      <c r="B19" s="239" t="s">
        <v>7240</v>
      </c>
      <c r="C19" s="239" t="s">
        <v>7215</v>
      </c>
      <c r="D19" s="240" t="s">
        <v>792</v>
      </c>
      <c r="E19" s="239" t="s">
        <v>7241</v>
      </c>
      <c r="F19" s="239" t="s">
        <v>7242</v>
      </c>
      <c r="G19" s="239" t="s">
        <v>876</v>
      </c>
      <c r="H19" s="239" t="str">
        <f t="shared" si="1"/>
        <v>monumentos.gov.pt</v>
      </c>
      <c r="I19" s="304" t="s">
        <v>7243</v>
      </c>
      <c r="J19" s="257" t="str">
        <f>HYPERLINK("https://www.google.com/maps/search/Castelo%20de%20Chaves%20Norte%20Portugal/@41.7381,-7.4701,17z","🏰 Castelo de Chaves")</f>
        <v>🏰 Castelo de Chaves</v>
      </c>
    </row>
    <row r="20" spans="1:10" ht="110" customHeight="1" x14ac:dyDescent="0.35">
      <c r="A20" s="336">
        <v>16</v>
      </c>
      <c r="B20" s="242" t="s">
        <v>7208</v>
      </c>
      <c r="C20" s="242" t="s">
        <v>7205</v>
      </c>
      <c r="D20" s="243" t="s">
        <v>792</v>
      </c>
      <c r="E20" s="242" t="s">
        <v>7244</v>
      </c>
      <c r="F20" s="242" t="s">
        <v>7245</v>
      </c>
      <c r="G20" s="242" t="s">
        <v>7246</v>
      </c>
      <c r="H20" s="242" t="str">
        <f t="shared" si="1"/>
        <v>monumentos.gov.pt</v>
      </c>
      <c r="I20" s="305" t="s">
        <v>7247</v>
      </c>
      <c r="J20" s="258" t="str">
        <f>HYPERLINK("https://www.google.com/maps/search/Castelo%20de%20Bragan%C3%A7a%20Norte%20Portugal/@41.8061,-6.7471,17z","🏰 Castelo de Bragança")</f>
        <v>🏰 Castelo de Bragança</v>
      </c>
    </row>
    <row r="21" spans="1:10" ht="110" customHeight="1" x14ac:dyDescent="0.35">
      <c r="A21" s="338">
        <v>17</v>
      </c>
      <c r="B21" s="239" t="s">
        <v>7248</v>
      </c>
      <c r="C21" s="239" t="s">
        <v>7249</v>
      </c>
      <c r="D21" s="240" t="s">
        <v>792</v>
      </c>
      <c r="E21" s="239" t="s">
        <v>7250</v>
      </c>
      <c r="F21" s="239" t="s">
        <v>7217</v>
      </c>
      <c r="G21" s="239" t="s">
        <v>876</v>
      </c>
      <c r="H21" s="239" t="str">
        <f t="shared" si="1"/>
        <v>monumentos.gov.pt</v>
      </c>
      <c r="I21" s="304" t="s">
        <v>7251</v>
      </c>
      <c r="J21" s="257" t="str">
        <f>HYPERLINK("https://www.google.com/maps/search/Castelo%20de%20Miranda%20do%20Douro%20Norte%20Portugal/@41.4981,-6.2741,17z","🏰 Castelo de Miranda do Douro")</f>
        <v>🏰 Castelo de Miranda do Douro</v>
      </c>
    </row>
    <row r="22" spans="1:10" ht="110" customHeight="1" x14ac:dyDescent="0.35">
      <c r="A22" s="336">
        <v>18</v>
      </c>
      <c r="B22" s="242" t="s">
        <v>7252</v>
      </c>
      <c r="C22" s="242" t="s">
        <v>7220</v>
      </c>
      <c r="D22" s="243" t="s">
        <v>792</v>
      </c>
      <c r="E22" s="242" t="s">
        <v>7253</v>
      </c>
      <c r="F22" s="242" t="s">
        <v>7254</v>
      </c>
      <c r="G22" s="242" t="s">
        <v>7255</v>
      </c>
      <c r="H22" s="242" t="str">
        <f t="shared" si="1"/>
        <v>monumentos.gov.pt</v>
      </c>
      <c r="I22" s="305" t="s">
        <v>7256</v>
      </c>
      <c r="J22" s="258" t="str">
        <f>HYPERLINK("https://www.google.com/maps/search/Castelo%20de%20Montalegre%20Norte%20Portugal/@41.8221,-7.7901,17z","🏰 Castelo de Montalegre")</f>
        <v>🏰 Castelo de Montalegre</v>
      </c>
    </row>
    <row r="23" spans="1:10" ht="110" customHeight="1" x14ac:dyDescent="0.35">
      <c r="A23" s="338">
        <v>19</v>
      </c>
      <c r="B23" s="239" t="s">
        <v>3311</v>
      </c>
      <c r="C23" s="239" t="s">
        <v>7209</v>
      </c>
      <c r="D23" s="240" t="s">
        <v>792</v>
      </c>
      <c r="E23" s="239" t="s">
        <v>7257</v>
      </c>
      <c r="F23" s="239" t="s">
        <v>7258</v>
      </c>
      <c r="G23" s="239" t="s">
        <v>7259</v>
      </c>
      <c r="H23" s="239" t="str">
        <f t="shared" si="1"/>
        <v>monumentos.gov.pt</v>
      </c>
      <c r="I23" s="304" t="s">
        <v>7260</v>
      </c>
      <c r="J23" s="257" t="str">
        <f>HYPERLINK("https://www.google.com/maps/search/Castelo%20de%20Lindoso%20Norte%20Portugal/@41.8681,-8.1941,17z","🏰 Castelo de Lindoso")</f>
        <v>🏰 Castelo de Lindoso</v>
      </c>
    </row>
    <row r="24" spans="1:10" ht="110" customHeight="1" x14ac:dyDescent="0.35">
      <c r="A24" s="336">
        <v>20</v>
      </c>
      <c r="B24" s="242" t="s">
        <v>7261</v>
      </c>
      <c r="C24" s="242" t="s">
        <v>7220</v>
      </c>
      <c r="D24" s="243" t="s">
        <v>792</v>
      </c>
      <c r="E24" s="242" t="s">
        <v>7262</v>
      </c>
      <c r="F24" s="242" t="s">
        <v>7263</v>
      </c>
      <c r="G24" s="242" t="s">
        <v>7264</v>
      </c>
      <c r="H24" s="242" t="str">
        <f t="shared" si="1"/>
        <v>monumentos.gov.pt</v>
      </c>
      <c r="I24" s="305" t="s">
        <v>7265</v>
      </c>
      <c r="J24" s="258" t="str">
        <f>HYPERLINK("https://www.google.com/maps/search/Torre%20de%20Menagem%20de%20Barcelos%20Norte%20Portugal/@41.5351,-8.6201,17z","🏰 Torre de Menagem de Barcelos")</f>
        <v>🏰 Torre de Menagem de Barcelos</v>
      </c>
    </row>
    <row r="25" spans="1:10" ht="110" customHeight="1" x14ac:dyDescent="0.35">
      <c r="A25" s="338">
        <v>21</v>
      </c>
      <c r="B25" s="239" t="s">
        <v>7266</v>
      </c>
      <c r="C25" s="239" t="s">
        <v>7205</v>
      </c>
      <c r="D25" s="240" t="s">
        <v>792</v>
      </c>
      <c r="E25" s="239" t="s">
        <v>7267</v>
      </c>
      <c r="F25" s="239" t="s">
        <v>7217</v>
      </c>
      <c r="G25" s="239" t="s">
        <v>876</v>
      </c>
      <c r="H25" s="239" t="str">
        <f t="shared" si="1"/>
        <v>monumentos.gov.pt</v>
      </c>
      <c r="I25" s="304" t="s">
        <v>7268</v>
      </c>
      <c r="J25" s="257" t="str">
        <f>HYPERLINK("https://www.google.com/maps/search/Castelo%20de%20Lamego%20Norte%20Portugal/@41.1021,-7.8121,17z","🏰 Castelo de Lamego")</f>
        <v>🏰 Castelo de Lamego</v>
      </c>
    </row>
    <row r="26" spans="1:10" ht="110" customHeight="1" x14ac:dyDescent="0.35">
      <c r="A26" s="336">
        <v>22</v>
      </c>
      <c r="B26" s="242" t="s">
        <v>7269</v>
      </c>
      <c r="C26" s="242" t="s">
        <v>7270</v>
      </c>
      <c r="D26" s="243" t="s">
        <v>792</v>
      </c>
      <c r="E26" s="242" t="s">
        <v>7271</v>
      </c>
      <c r="F26" s="242" t="s">
        <v>7272</v>
      </c>
      <c r="G26" s="242" t="s">
        <v>7255</v>
      </c>
      <c r="H26" s="242" t="str">
        <f t="shared" si="1"/>
        <v>monumentos.gov.pt</v>
      </c>
      <c r="I26" s="305" t="s">
        <v>7273</v>
      </c>
      <c r="J26" s="258" t="str">
        <f>HYPERLINK("https://www.google.com/maps/search/Castelo%20de%20Penedono%20Norte%20Portugal/@40.9961,-7.4001,17z","🏰 Castelo de Penedono")</f>
        <v>🏰 Castelo de Penedono</v>
      </c>
    </row>
    <row r="27" spans="1:10" ht="110" customHeight="1" x14ac:dyDescent="0.35">
      <c r="A27" s="338">
        <v>23</v>
      </c>
      <c r="B27" s="239" t="s">
        <v>7274</v>
      </c>
      <c r="C27" s="239" t="s">
        <v>7275</v>
      </c>
      <c r="D27" s="240" t="s">
        <v>792</v>
      </c>
      <c r="E27" s="239" t="s">
        <v>7276</v>
      </c>
      <c r="F27" s="239" t="s">
        <v>7217</v>
      </c>
      <c r="G27" s="239" t="s">
        <v>876</v>
      </c>
      <c r="H27" s="239" t="str">
        <f t="shared" si="1"/>
        <v>monumentos.gov.pt</v>
      </c>
      <c r="I27" s="304" t="s">
        <v>7277</v>
      </c>
      <c r="J27" s="257" t="str">
        <f>HYPERLINK("https://www.google.com/maps/search/Castelo%20de%20Num%C3%A3o%20Norte%20Portugal/@41.0901,-7.2741,17z","🏰 Castelo de Numão")</f>
        <v>🏰 Castelo de Numão</v>
      </c>
    </row>
    <row r="28" spans="1:10" ht="110" customHeight="1" x14ac:dyDescent="0.35">
      <c r="A28" s="336">
        <v>24</v>
      </c>
      <c r="B28" s="242" t="s">
        <v>7278</v>
      </c>
      <c r="C28" s="242" t="s">
        <v>7220</v>
      </c>
      <c r="D28" s="243" t="s">
        <v>792</v>
      </c>
      <c r="E28" s="242" t="s">
        <v>1923</v>
      </c>
      <c r="F28" s="242" t="s">
        <v>7217</v>
      </c>
      <c r="G28" s="242" t="s">
        <v>876</v>
      </c>
      <c r="H28" s="242" t="str">
        <f t="shared" si="1"/>
        <v>monumentos.gov.pt</v>
      </c>
      <c r="I28" s="305" t="s">
        <v>7279</v>
      </c>
      <c r="J28" s="258" t="str">
        <f>HYPERLINK("https://www.google.com/maps/search/Castelo%20de%20Freixo%20de%20Espada%20%C3%A0%20Cinta%20Norte%20Portugal/@41.0911,-6.8121,17z","🏰 Castelo de Freixo de Espada…")</f>
        <v>🏰 Castelo de Freixo de Espada…</v>
      </c>
    </row>
    <row r="29" spans="1:10" ht="22" customHeight="1" x14ac:dyDescent="0.35">
      <c r="A29" s="1475" t="s">
        <v>7280</v>
      </c>
      <c r="B29" s="1313"/>
      <c r="C29" s="1313"/>
      <c r="D29" s="1313"/>
      <c r="E29" s="1313"/>
      <c r="F29" s="1313"/>
      <c r="G29" s="1313"/>
      <c r="H29" s="1313"/>
      <c r="I29" s="1313"/>
    </row>
    <row r="30" spans="1:10" ht="110" customHeight="1" x14ac:dyDescent="0.35">
      <c r="A30" s="358">
        <v>1</v>
      </c>
      <c r="B30" s="259" t="s">
        <v>7281</v>
      </c>
      <c r="C30" s="259" t="s">
        <v>7191</v>
      </c>
      <c r="D30" s="260" t="s">
        <v>836</v>
      </c>
      <c r="E30" s="259" t="s">
        <v>7282</v>
      </c>
      <c r="F30" s="259" t="s">
        <v>7193</v>
      </c>
      <c r="G30" s="259" t="s">
        <v>7194</v>
      </c>
      <c r="H30" s="259" t="str">
        <f>HYPERLINK("https://monumentos.gov.pt","monumentos.gov.pt")</f>
        <v>monumentos.gov.pt</v>
      </c>
      <c r="I30" s="304" t="s">
        <v>7283</v>
      </c>
      <c r="J30" s="286" t="str">
        <f>HYPERLINK("https://www.google.com/maps/search/Castelo%20de%20Alcanede%20Centro%20Portugal/@39.4147,-8.8222,17z","🏰 Castelo de Alcanede")</f>
        <v>🏰 Castelo de Alcanede</v>
      </c>
    </row>
    <row r="31" spans="1:10" ht="110" customHeight="1" x14ac:dyDescent="0.35">
      <c r="A31" s="352">
        <v>2</v>
      </c>
      <c r="B31" s="262" t="s">
        <v>7284</v>
      </c>
      <c r="C31" s="262" t="s">
        <v>7191</v>
      </c>
      <c r="D31" s="263" t="s">
        <v>836</v>
      </c>
      <c r="E31" s="262" t="s">
        <v>7285</v>
      </c>
      <c r="F31" s="262" t="s">
        <v>7193</v>
      </c>
      <c r="G31" s="262" t="s">
        <v>7194</v>
      </c>
      <c r="H31" s="262" t="str">
        <f>HYPERLINK("https://monumentos.gov.pt","monumentos.gov.pt")</f>
        <v>monumentos.gov.pt</v>
      </c>
      <c r="I31" s="305" t="s">
        <v>7286</v>
      </c>
      <c r="J31" s="287" t="str">
        <f>HYPERLINK("https://www.google.com/maps/search/Castelo%20de%20Alcoba%C3%A7a%20Centro%20Portugal/@39.5513,-8.9796,17z","🏰 Castelo de Alcobaça")</f>
        <v>🏰 Castelo de Alcobaça</v>
      </c>
    </row>
    <row r="32" spans="1:10" ht="110" customHeight="1" x14ac:dyDescent="0.35">
      <c r="A32" s="358">
        <v>3</v>
      </c>
      <c r="B32" s="259" t="s">
        <v>1428</v>
      </c>
      <c r="C32" s="259" t="s">
        <v>7205</v>
      </c>
      <c r="D32" s="260" t="s">
        <v>836</v>
      </c>
      <c r="E32" s="259" t="s">
        <v>7287</v>
      </c>
      <c r="F32" s="259" t="s">
        <v>7193</v>
      </c>
      <c r="G32" s="259" t="s">
        <v>7194</v>
      </c>
      <c r="H32" s="259" t="str">
        <f>HYPERLINK("https://monumentos.gov.pt","monumentos.gov.pt")</f>
        <v>monumentos.gov.pt</v>
      </c>
      <c r="I32" s="304" t="s">
        <v>7288</v>
      </c>
      <c r="J32" s="286" t="str">
        <f>HYPERLINK("https://www.google.com/maps/search/Castelo%20de%20Almourol%20Centro%20Portugal/@39.4615,-8.384,17z","🏰 Castelo de Almourol")</f>
        <v>🏰 Castelo de Almourol</v>
      </c>
    </row>
    <row r="33" spans="1:10" ht="110" customHeight="1" x14ac:dyDescent="0.35">
      <c r="A33" s="352">
        <v>4</v>
      </c>
      <c r="B33" s="262" t="s">
        <v>7289</v>
      </c>
      <c r="C33" s="262" t="s">
        <v>7205</v>
      </c>
      <c r="D33" s="263" t="s">
        <v>836</v>
      </c>
      <c r="E33" s="262" t="s">
        <v>7290</v>
      </c>
      <c r="F33" s="262" t="s">
        <v>7193</v>
      </c>
      <c r="G33" s="262" t="s">
        <v>7194</v>
      </c>
      <c r="H33" s="262" t="str">
        <f>HYPERLINK("https://monumentos.gov.pt","monumentos.gov.pt")</f>
        <v>monumentos.gov.pt</v>
      </c>
      <c r="I33" s="305" t="s">
        <v>7291</v>
      </c>
      <c r="J33" s="287" t="str">
        <f>HYPERLINK("https://www.google.com/maps/search/Castelo%20de%20Leiria%20Centro%20Portugal/@39.7473,-8.808,17z","🏰 Castelo de Leiria")</f>
        <v>🏰 Castelo de Leiria</v>
      </c>
    </row>
    <row r="34" spans="1:10" ht="110" customHeight="1" x14ac:dyDescent="0.35">
      <c r="A34" s="358">
        <v>5</v>
      </c>
      <c r="B34" s="259" t="s">
        <v>7292</v>
      </c>
      <c r="C34" s="259" t="s">
        <v>7205</v>
      </c>
      <c r="D34" s="260" t="s">
        <v>836</v>
      </c>
      <c r="E34" s="259" t="s">
        <v>7293</v>
      </c>
      <c r="F34" s="259" t="s">
        <v>7193</v>
      </c>
      <c r="G34" s="259" t="s">
        <v>7194</v>
      </c>
      <c r="H34" s="261" t="str">
        <f>HYPERLINK("https://aldeias-historicas.pt","aldeias-historicas.pt")</f>
        <v>aldeias-historicas.pt</v>
      </c>
      <c r="I34" s="304" t="s">
        <v>7294</v>
      </c>
      <c r="J34" s="286" t="str">
        <f>HYPERLINK("https://www.google.com/maps/search/Castelo%20de%20Monsanto%20Centro%20Portugal/@39.9575,-7.1123,17z","🏰 Castelo de Monsanto")</f>
        <v>🏰 Castelo de Monsanto</v>
      </c>
    </row>
    <row r="35" spans="1:10" ht="110" customHeight="1" x14ac:dyDescent="0.35">
      <c r="A35" s="352">
        <v>6</v>
      </c>
      <c r="B35" s="262" t="s">
        <v>7295</v>
      </c>
      <c r="C35" s="262" t="s">
        <v>7205</v>
      </c>
      <c r="D35" s="263" t="s">
        <v>836</v>
      </c>
      <c r="E35" s="262" t="s">
        <v>7296</v>
      </c>
      <c r="F35" s="262" t="s">
        <v>7193</v>
      </c>
      <c r="G35" s="262" t="s">
        <v>7194</v>
      </c>
      <c r="H35" s="262" t="str">
        <f>HYPERLINK("https://monumentos.gov.pt","monumentos.gov.pt")</f>
        <v>monumentos.gov.pt</v>
      </c>
      <c r="I35" s="305" t="s">
        <v>7297</v>
      </c>
      <c r="J35" s="287" t="str">
        <f>HYPERLINK("https://www.google.com/maps/search/Castelo%20de%20Tomar%20Centro%20Portugal/@39.6038,-8.419,17z","🏰 Castelo de Tomar")</f>
        <v>🏰 Castelo de Tomar</v>
      </c>
    </row>
    <row r="36" spans="1:10" ht="110" customHeight="1" x14ac:dyDescent="0.35">
      <c r="A36" s="358">
        <v>7</v>
      </c>
      <c r="B36" s="259" t="s">
        <v>976</v>
      </c>
      <c r="C36" s="259" t="s">
        <v>7205</v>
      </c>
      <c r="D36" s="260" t="s">
        <v>836</v>
      </c>
      <c r="E36" s="259" t="s">
        <v>7298</v>
      </c>
      <c r="F36" s="259" t="s">
        <v>7193</v>
      </c>
      <c r="G36" s="259" t="s">
        <v>7194</v>
      </c>
      <c r="H36" s="259" t="str">
        <f>HYPERLINK("https://obidos.pt","obidos.pt")</f>
        <v>obidos.pt</v>
      </c>
      <c r="I36" s="304" t="s">
        <v>7299</v>
      </c>
      <c r="J36" s="286" t="str">
        <f>HYPERLINK("https://www.google.com/maps/search/Castelo%20de%20%C3%93bidos%20Centro%20Portugal/@39.3639,-9.1572,17z","🏰 Castelo de Óbidos")</f>
        <v>🏰 Castelo de Óbidos</v>
      </c>
    </row>
    <row r="37" spans="1:10" ht="110" customHeight="1" x14ac:dyDescent="0.35">
      <c r="A37" s="352">
        <v>8</v>
      </c>
      <c r="B37" s="262" t="s">
        <v>7300</v>
      </c>
      <c r="C37" s="262" t="s">
        <v>7205</v>
      </c>
      <c r="D37" s="263" t="s">
        <v>836</v>
      </c>
      <c r="E37" s="262" t="s">
        <v>7301</v>
      </c>
      <c r="F37" s="262" t="s">
        <v>7193</v>
      </c>
      <c r="G37" s="262" t="s">
        <v>7194</v>
      </c>
      <c r="H37" s="262" t="str">
        <f>HYPERLINK("https://cm-pombal.pt","cm-pombal.pt")</f>
        <v>cm-pombal.pt</v>
      </c>
      <c r="I37" s="305" t="s">
        <v>7302</v>
      </c>
      <c r="J37" s="287" t="str">
        <f>HYPERLINK("https://www.google.com/maps/search/Castelo%20de%20Pombal%20Centro%20Portugal/@39.915,-8.6253,17z","🏰 Castelo de Pombal")</f>
        <v>🏰 Castelo de Pombal</v>
      </c>
    </row>
    <row r="38" spans="1:10" ht="110" customHeight="1" x14ac:dyDescent="0.35">
      <c r="A38" s="358">
        <v>9</v>
      </c>
      <c r="B38" s="259" t="s">
        <v>7303</v>
      </c>
      <c r="C38" s="259" t="s">
        <v>7209</v>
      </c>
      <c r="D38" s="260" t="s">
        <v>836</v>
      </c>
      <c r="E38" s="259" t="s">
        <v>7304</v>
      </c>
      <c r="F38" s="259" t="s">
        <v>7193</v>
      </c>
      <c r="G38" s="259" t="s">
        <v>7194</v>
      </c>
      <c r="H38" s="261" t="str">
        <f>HYPERLINK("https://aldeias-historicas.pt","aldeias-historicas.pt")</f>
        <v>aldeias-historicas.pt</v>
      </c>
      <c r="I38" s="304" t="s">
        <v>7305</v>
      </c>
      <c r="J38" s="286" t="str">
        <f>HYPERLINK("https://www.google.com/maps/search/Castelo%20de%20Sortelha%20Centro%20Portugal/@40.3308,-7.212,17z","🏰 Castelo de Sortelha")</f>
        <v>🏰 Castelo de Sortelha</v>
      </c>
    </row>
    <row r="39" spans="1:10" ht="110" customHeight="1" x14ac:dyDescent="0.35">
      <c r="A39" s="352">
        <v>10</v>
      </c>
      <c r="B39" s="262" t="s">
        <v>7306</v>
      </c>
      <c r="C39" s="262" t="s">
        <v>7205</v>
      </c>
      <c r="D39" s="263" t="s">
        <v>836</v>
      </c>
      <c r="E39" s="262" t="s">
        <v>7307</v>
      </c>
      <c r="F39" s="262" t="s">
        <v>7217</v>
      </c>
      <c r="G39" s="262" t="s">
        <v>876</v>
      </c>
      <c r="H39" s="262" t="str">
        <f>HYPERLINK("https://cm-coimbra.pt","cm-coimbra.pt")</f>
        <v>cm-coimbra.pt</v>
      </c>
      <c r="I39" s="305" t="s">
        <v>7308</v>
      </c>
      <c r="J39" s="287" t="str">
        <f>HYPERLINK("https://www.google.com/maps/search/Castelo%20de%20Coimbra%20Centro%20Portugal/@40.2091,-8.4271,17z","🏰 Castelo de Coimbra")</f>
        <v>🏰 Castelo de Coimbra</v>
      </c>
    </row>
    <row r="40" spans="1:10" ht="110" customHeight="1" x14ac:dyDescent="0.35">
      <c r="A40" s="358">
        <v>11</v>
      </c>
      <c r="B40" s="259" t="s">
        <v>7289</v>
      </c>
      <c r="C40" s="259" t="s">
        <v>7205</v>
      </c>
      <c r="D40" s="260" t="s">
        <v>836</v>
      </c>
      <c r="E40" s="259" t="s">
        <v>7309</v>
      </c>
      <c r="F40" s="259" t="s">
        <v>7310</v>
      </c>
      <c r="G40" s="259" t="s">
        <v>7311</v>
      </c>
      <c r="H40" s="259" t="str">
        <f>HYPERLINK("https://monumentos.gov.pt","monumentos.gov.pt")</f>
        <v>monumentos.gov.pt</v>
      </c>
      <c r="I40" s="304" t="s">
        <v>7312</v>
      </c>
      <c r="J40" s="286" t="str">
        <f>HYPERLINK("https://www.google.com/maps/search/Castelo%20de%20Leiria%20Centro%20Portugal/@39.7461,-8.8071,17z","🏰 Castelo de Leiria")</f>
        <v>🏰 Castelo de Leiria</v>
      </c>
    </row>
    <row r="41" spans="1:10" ht="110" customHeight="1" x14ac:dyDescent="0.35">
      <c r="A41" s="352">
        <v>12</v>
      </c>
      <c r="B41" s="262" t="s">
        <v>7295</v>
      </c>
      <c r="C41" s="262" t="s">
        <v>7313</v>
      </c>
      <c r="D41" s="263" t="s">
        <v>836</v>
      </c>
      <c r="E41" s="262" t="s">
        <v>1406</v>
      </c>
      <c r="F41" s="262" t="s">
        <v>7245</v>
      </c>
      <c r="G41" s="262" t="s">
        <v>7314</v>
      </c>
      <c r="H41" s="262" t="str">
        <f>HYPERLINK("https://monumentos.gov.pt","monumentos.gov.pt")</f>
        <v>monumentos.gov.pt</v>
      </c>
      <c r="I41" s="305" t="s">
        <v>7315</v>
      </c>
      <c r="J41" s="287" t="str">
        <f>HYPERLINK("https://www.google.com/maps/search/Castelo%20de%20Tomar%20Centro%20Portugal/@39.6041,-8.4111,17z","🏰 Castelo de Tomar")</f>
        <v>🏰 Castelo de Tomar</v>
      </c>
    </row>
    <row r="42" spans="1:10" ht="110" customHeight="1" x14ac:dyDescent="0.35">
      <c r="A42" s="358">
        <v>13</v>
      </c>
      <c r="B42" s="259" t="s">
        <v>7316</v>
      </c>
      <c r="C42" s="259" t="s">
        <v>7205</v>
      </c>
      <c r="D42" s="260" t="s">
        <v>836</v>
      </c>
      <c r="E42" s="259" t="s">
        <v>7317</v>
      </c>
      <c r="F42" s="259" t="s">
        <v>7318</v>
      </c>
      <c r="G42" s="259" t="s">
        <v>876</v>
      </c>
      <c r="H42" s="259" t="str">
        <f>HYPERLINK("https://cm-abrantes.pt","cm-abrantes.pt")</f>
        <v>cm-abrantes.pt</v>
      </c>
      <c r="I42" s="304" t="s">
        <v>7319</v>
      </c>
      <c r="J42" s="286" t="str">
        <f>HYPERLINK("https://www.google.com/maps/search/Castelo%20de%20Abrantes%20Centro%20Portugal/@39.4601,-8.1981,17z","🏰 Castelo de Abrantes")</f>
        <v>🏰 Castelo de Abrantes</v>
      </c>
    </row>
    <row r="43" spans="1:10" ht="110" customHeight="1" x14ac:dyDescent="0.35">
      <c r="A43" s="352">
        <v>14</v>
      </c>
      <c r="B43" s="262" t="s">
        <v>7300</v>
      </c>
      <c r="C43" s="262" t="s">
        <v>7205</v>
      </c>
      <c r="D43" s="263" t="s">
        <v>836</v>
      </c>
      <c r="E43" s="262" t="s">
        <v>7320</v>
      </c>
      <c r="F43" s="262" t="s">
        <v>7217</v>
      </c>
      <c r="G43" s="262" t="s">
        <v>876</v>
      </c>
      <c r="H43" s="262" t="str">
        <f>HYPERLINK("https://cm-pombal.pt","cm-pombal.pt")</f>
        <v>cm-pombal.pt</v>
      </c>
      <c r="I43" s="305" t="s">
        <v>7321</v>
      </c>
      <c r="J43" s="287" t="str">
        <f>HYPERLINK("https://www.google.com/maps/search/Castelo%20de%20Pombal%20Centro%20Portugal/@39.9141,-8.6271,17z","🏰 Castelo de Pombal")</f>
        <v>🏰 Castelo de Pombal</v>
      </c>
    </row>
    <row r="44" spans="1:10" ht="110" customHeight="1" x14ac:dyDescent="0.35">
      <c r="A44" s="358">
        <v>15</v>
      </c>
      <c r="B44" s="259" t="s">
        <v>7322</v>
      </c>
      <c r="C44" s="259" t="s">
        <v>7205</v>
      </c>
      <c r="D44" s="260" t="s">
        <v>836</v>
      </c>
      <c r="E44" s="259" t="s">
        <v>7323</v>
      </c>
      <c r="F44" s="259" t="s">
        <v>7324</v>
      </c>
      <c r="G44" s="259" t="s">
        <v>7255</v>
      </c>
      <c r="H44" s="259" t="str">
        <f>HYPERLINK("https://monumentos.gov.pt","monumentos.gov.pt")</f>
        <v>monumentos.gov.pt</v>
      </c>
      <c r="I44" s="304" t="s">
        <v>7325</v>
      </c>
      <c r="J44" s="286" t="str">
        <f>HYPERLINK("https://www.google.com/maps/search/Castelo%20de%20Penela%20Centro%20Portugal/@40.0281,-8.3821,17z","🏰 Castelo de Penela")</f>
        <v>🏰 Castelo de Penela</v>
      </c>
    </row>
    <row r="45" spans="1:10" ht="110" customHeight="1" x14ac:dyDescent="0.35">
      <c r="A45" s="352">
        <v>16</v>
      </c>
      <c r="B45" s="262" t="s">
        <v>7326</v>
      </c>
      <c r="C45" s="262" t="s">
        <v>7270</v>
      </c>
      <c r="D45" s="263" t="s">
        <v>836</v>
      </c>
      <c r="E45" s="262" t="s">
        <v>7327</v>
      </c>
      <c r="F45" s="262" t="s">
        <v>7328</v>
      </c>
      <c r="G45" s="262" t="s">
        <v>7246</v>
      </c>
      <c r="H45" s="264" t="str">
        <f>HYPERLINK("https://cm-montemor-o-velho.pt","cm-montemor-o-velho.pt")</f>
        <v>cm-montemor-o-velho.pt</v>
      </c>
      <c r="I45" s="305" t="s">
        <v>7329</v>
      </c>
      <c r="J45" s="287" t="str">
        <f>HYPERLINK("https://www.google.com/maps/search/Castelo%20de%20Montemor-o-Velho%20Centro%20Portugal/@40.1731,-8.6871,17z","🏰 Castelo de Montemor-o-Velho")</f>
        <v>🏰 Castelo de Montemor-o-Velho</v>
      </c>
    </row>
    <row r="46" spans="1:10" ht="110" customHeight="1" x14ac:dyDescent="0.35">
      <c r="A46" s="358">
        <v>17</v>
      </c>
      <c r="B46" s="259" t="s">
        <v>7330</v>
      </c>
      <c r="C46" s="259" t="s">
        <v>7215</v>
      </c>
      <c r="D46" s="260" t="s">
        <v>836</v>
      </c>
      <c r="E46" s="259" t="s">
        <v>7331</v>
      </c>
      <c r="F46" s="259" t="s">
        <v>7217</v>
      </c>
      <c r="G46" s="259" t="s">
        <v>876</v>
      </c>
      <c r="H46" s="259" t="str">
        <f>HYPERLINK("https://monumentos.gov.pt","monumentos.gov.pt")</f>
        <v>monumentos.gov.pt</v>
      </c>
      <c r="I46" s="304" t="s">
        <v>7332</v>
      </c>
      <c r="J46" s="286" t="str">
        <f>HYPERLINK("https://www.google.com/maps/search/Castelo%20de%20Santa%20Olaia%20%28Figueira%29%20Centro%20Portugal/@40.1601,-8.8601,17z","🏰 Castelo de Santa Olaia (Fig…")</f>
        <v>🏰 Castelo de Santa Olaia (Fig…</v>
      </c>
    </row>
    <row r="47" spans="1:10" ht="110" customHeight="1" x14ac:dyDescent="0.35">
      <c r="A47" s="352">
        <v>18</v>
      </c>
      <c r="B47" s="262" t="s">
        <v>7333</v>
      </c>
      <c r="C47" s="262" t="s">
        <v>7205</v>
      </c>
      <c r="D47" s="263" t="s">
        <v>836</v>
      </c>
      <c r="E47" s="262" t="s">
        <v>2049</v>
      </c>
      <c r="F47" s="262" t="s">
        <v>7217</v>
      </c>
      <c r="G47" s="262" t="s">
        <v>876</v>
      </c>
      <c r="H47" s="262" t="str">
        <f>HYPERLINK("https://monumentos.gov.pt","monumentos.gov.pt")</f>
        <v>monumentos.gov.pt</v>
      </c>
      <c r="I47" s="305" t="s">
        <v>7334</v>
      </c>
      <c r="J47" s="287" t="str">
        <f>HYPERLINK("https://www.google.com/maps/search/Castelo%20de%20Seia%20%28Torres%20Vermelhas%29%20Centro%20Portugal/@40.4181,-7.7041,17z","🏰 Castelo de Seia (Torres Ver…")</f>
        <v>🏰 Castelo de Seia (Torres Ver…</v>
      </c>
    </row>
    <row r="48" spans="1:10" ht="110" customHeight="1" x14ac:dyDescent="0.35">
      <c r="A48" s="358">
        <v>19</v>
      </c>
      <c r="B48" s="259" t="s">
        <v>7335</v>
      </c>
      <c r="C48" s="259" t="s">
        <v>7205</v>
      </c>
      <c r="D48" s="260" t="s">
        <v>836</v>
      </c>
      <c r="E48" s="259" t="s">
        <v>4719</v>
      </c>
      <c r="F48" s="259" t="s">
        <v>7217</v>
      </c>
      <c r="G48" s="259" t="s">
        <v>876</v>
      </c>
      <c r="H48" s="259" t="str">
        <f>HYPERLINK("https://monumentos.gov.pt","monumentos.gov.pt")</f>
        <v>monumentos.gov.pt</v>
      </c>
      <c r="I48" s="304" t="s">
        <v>7336</v>
      </c>
      <c r="J48" s="286" t="str">
        <f>HYPERLINK("https://www.google.com/maps/search/Castelo%20de%20Viseu%20Centro%20Portugal/@40.6611,-7.9101,17z","🏰 Castelo de Viseu")</f>
        <v>🏰 Castelo de Viseu</v>
      </c>
    </row>
    <row r="49" spans="1:10" ht="110" customHeight="1" x14ac:dyDescent="0.35">
      <c r="A49" s="352">
        <v>20</v>
      </c>
      <c r="B49" s="262" t="s">
        <v>7337</v>
      </c>
      <c r="C49" s="262" t="s">
        <v>7205</v>
      </c>
      <c r="D49" s="263" t="s">
        <v>836</v>
      </c>
      <c r="E49" s="262" t="s">
        <v>7338</v>
      </c>
      <c r="F49" s="262" t="s">
        <v>7217</v>
      </c>
      <c r="G49" s="262" t="s">
        <v>876</v>
      </c>
      <c r="H49" s="262" t="str">
        <f>HYPERLINK("https://cm-trancoso.pt","cm-trancoso.pt")</f>
        <v>cm-trancoso.pt</v>
      </c>
      <c r="I49" s="305" t="s">
        <v>7339</v>
      </c>
      <c r="J49" s="287" t="str">
        <f>HYPERLINK("https://www.google.com/maps/search/Castelo%20de%20Trancoso%20Centro%20Portugal/@40.7821,-7.3481,17z","🏰 Castelo de Trancoso")</f>
        <v>🏰 Castelo de Trancoso</v>
      </c>
    </row>
    <row r="50" spans="1:10" ht="110" customHeight="1" x14ac:dyDescent="0.35">
      <c r="A50" s="358">
        <v>21</v>
      </c>
      <c r="B50" s="259" t="s">
        <v>7340</v>
      </c>
      <c r="C50" s="259" t="s">
        <v>7205</v>
      </c>
      <c r="D50" s="260" t="s">
        <v>836</v>
      </c>
      <c r="E50" s="259" t="s">
        <v>7341</v>
      </c>
      <c r="F50" s="259" t="s">
        <v>7217</v>
      </c>
      <c r="G50" s="259" t="s">
        <v>876</v>
      </c>
      <c r="H50" s="259" t="str">
        <f>HYPERLINK("https://monumentos.gov.pt","monumentos.gov.pt")</f>
        <v>monumentos.gov.pt</v>
      </c>
      <c r="I50" s="304" t="s">
        <v>7342</v>
      </c>
      <c r="J50" s="286" t="str">
        <f>HYPERLINK("https://www.google.com/maps/search/Castelo%20de%20Pinhel%20Centro%20Portugal/@40.7761,-7.0641,17z","🏰 Castelo de Pinhel")</f>
        <v>🏰 Castelo de Pinhel</v>
      </c>
    </row>
    <row r="51" spans="1:10" ht="110" customHeight="1" x14ac:dyDescent="0.35">
      <c r="A51" s="352">
        <v>22</v>
      </c>
      <c r="B51" s="262" t="s">
        <v>7343</v>
      </c>
      <c r="C51" s="262" t="s">
        <v>7344</v>
      </c>
      <c r="D51" s="263" t="s">
        <v>836</v>
      </c>
      <c r="E51" s="262" t="s">
        <v>7345</v>
      </c>
      <c r="F51" s="262" t="s">
        <v>7346</v>
      </c>
      <c r="G51" s="262" t="s">
        <v>876</v>
      </c>
      <c r="H51" s="262" t="str">
        <f>HYPERLINK("https://monumentos.gov.pt","monumentos.gov.pt")</f>
        <v>monumentos.gov.pt</v>
      </c>
      <c r="I51" s="305" t="s">
        <v>7347</v>
      </c>
      <c r="J51" s="287" t="str">
        <f>HYPERLINK("https://www.google.com/maps/search/Castelo%20de%20Almeida%20Centro%20Portugal/@40.7291,-6.9041,17z","🏰 Castelo de Almeida")</f>
        <v>🏰 Castelo de Almeida</v>
      </c>
    </row>
    <row r="52" spans="1:10" ht="110" customHeight="1" x14ac:dyDescent="0.35">
      <c r="A52" s="358">
        <v>23</v>
      </c>
      <c r="B52" s="259" t="s">
        <v>7348</v>
      </c>
      <c r="C52" s="259" t="s">
        <v>7205</v>
      </c>
      <c r="D52" s="260" t="s">
        <v>836</v>
      </c>
      <c r="E52" s="259" t="s">
        <v>7348</v>
      </c>
      <c r="F52" s="259" t="s">
        <v>7349</v>
      </c>
      <c r="G52" s="259" t="s">
        <v>7259</v>
      </c>
      <c r="H52" s="259" t="str">
        <f>HYPERLINK("https://monumentos.gov.pt","monumentos.gov.pt")</f>
        <v>monumentos.gov.pt</v>
      </c>
      <c r="I52" s="304" t="s">
        <v>7350</v>
      </c>
      <c r="J52" s="286" t="str">
        <f>HYPERLINK("https://www.google.com/maps/search/Castelo%20de%20Belmonte%20Centro%20Portugal/@40.3561,-7.3561,17z","🏰 Castelo de Belmonte")</f>
        <v>🏰 Castelo de Belmonte</v>
      </c>
    </row>
    <row r="53" spans="1:10" ht="110" customHeight="1" x14ac:dyDescent="0.35">
      <c r="A53" s="352">
        <v>24</v>
      </c>
      <c r="B53" s="262" t="s">
        <v>7303</v>
      </c>
      <c r="C53" s="262" t="s">
        <v>7205</v>
      </c>
      <c r="D53" s="263" t="s">
        <v>836</v>
      </c>
      <c r="E53" s="262" t="s">
        <v>1451</v>
      </c>
      <c r="F53" s="262" t="s">
        <v>7351</v>
      </c>
      <c r="G53" s="262" t="s">
        <v>876</v>
      </c>
      <c r="H53" s="264" t="str">
        <f>HYPERLINK("https://aldeias-historicas.pt","aldeias-historicas.pt")</f>
        <v>aldeias-historicas.pt</v>
      </c>
      <c r="I53" s="305" t="s">
        <v>7334</v>
      </c>
      <c r="J53" s="287" t="str">
        <f>HYPERLINK("https://www.google.com/maps/search/Castelo%20de%20Sortelha%20Centro%20Portugal/@40.3021,-7.1701,17z","🏰 Castelo de Sortelha")</f>
        <v>🏰 Castelo de Sortelha</v>
      </c>
    </row>
    <row r="54" spans="1:10" ht="110" customHeight="1" x14ac:dyDescent="0.35">
      <c r="A54" s="358">
        <v>25</v>
      </c>
      <c r="B54" s="259" t="s">
        <v>7352</v>
      </c>
      <c r="C54" s="259" t="s">
        <v>7353</v>
      </c>
      <c r="D54" s="260" t="s">
        <v>836</v>
      </c>
      <c r="E54" s="259" t="s">
        <v>7354</v>
      </c>
      <c r="F54" s="259" t="s">
        <v>7217</v>
      </c>
      <c r="G54" s="259" t="s">
        <v>876</v>
      </c>
      <c r="H54" s="259" t="str">
        <f>HYPERLINK("https://monumentos.gov.pt","monumentos.gov.pt")</f>
        <v>monumentos.gov.pt</v>
      </c>
      <c r="I54" s="304" t="s">
        <v>7355</v>
      </c>
      <c r="J54" s="286" t="str">
        <f>HYPERLINK("https://www.google.com/maps/search/Castelo%20de%20Idanha-a-Velha%20Centro%20Portugal/@39.9991,-7.1471,17z","🏰 Castelo de Idanha-a-Velha")</f>
        <v>🏰 Castelo de Idanha-a-Velha</v>
      </c>
    </row>
    <row r="55" spans="1:10" ht="110" customHeight="1" x14ac:dyDescent="0.35">
      <c r="A55" s="352">
        <v>26</v>
      </c>
      <c r="B55" s="262" t="s">
        <v>7356</v>
      </c>
      <c r="C55" s="262" t="s">
        <v>7205</v>
      </c>
      <c r="D55" s="263" t="s">
        <v>836</v>
      </c>
      <c r="E55" s="262" t="s">
        <v>2059</v>
      </c>
      <c r="F55" s="262" t="s">
        <v>7217</v>
      </c>
      <c r="G55" s="262" t="s">
        <v>876</v>
      </c>
      <c r="H55" s="262" t="str">
        <f>HYPERLINK("https://monumentos.gov.pt","monumentos.gov.pt")</f>
        <v>monumentos.gov.pt</v>
      </c>
      <c r="I55" s="305" t="s">
        <v>7334</v>
      </c>
      <c r="J55" s="287" t="str">
        <f>HYPERLINK("https://www.google.com/maps/search/Castelo%20de%20Penamacor%20Centro%20Portugal/@40.1671,-7.1731,17z","🏰 Castelo de Penamacor")</f>
        <v>🏰 Castelo de Penamacor</v>
      </c>
    </row>
    <row r="56" spans="1:10" ht="110" customHeight="1" x14ac:dyDescent="0.35">
      <c r="A56" s="358">
        <v>27</v>
      </c>
      <c r="B56" s="259" t="s">
        <v>7357</v>
      </c>
      <c r="C56" s="259" t="s">
        <v>7209</v>
      </c>
      <c r="D56" s="260" t="s">
        <v>836</v>
      </c>
      <c r="E56" s="259" t="s">
        <v>7358</v>
      </c>
      <c r="F56" s="259" t="s">
        <v>7359</v>
      </c>
      <c r="G56" s="259" t="s">
        <v>7255</v>
      </c>
      <c r="H56" s="259" t="str">
        <f>HYPERLINK("https://monumentos.gov.pt","monumentos.gov.pt")</f>
        <v>monumentos.gov.pt</v>
      </c>
      <c r="I56" s="304" t="s">
        <v>7360</v>
      </c>
      <c r="J56" s="286" t="str">
        <f>HYPERLINK("https://www.google.com/maps/search/Castelo%20de%20Sabugal%20Centro%20Portugal/@40.3521,-7.0921,17z","🏰 Castelo de Sabugal")</f>
        <v>🏰 Castelo de Sabugal</v>
      </c>
    </row>
    <row r="57" spans="1:10" ht="110" customHeight="1" x14ac:dyDescent="0.35">
      <c r="A57" s="352">
        <v>28</v>
      </c>
      <c r="B57" s="262" t="s">
        <v>7361</v>
      </c>
      <c r="C57" s="262" t="s">
        <v>7209</v>
      </c>
      <c r="D57" s="263" t="s">
        <v>836</v>
      </c>
      <c r="E57" s="262" t="s">
        <v>7362</v>
      </c>
      <c r="F57" s="262" t="s">
        <v>7217</v>
      </c>
      <c r="G57" s="262" t="s">
        <v>876</v>
      </c>
      <c r="H57" s="262" t="str">
        <f>HYPERLINK("https://monumentos.gov.pt","monumentos.gov.pt")</f>
        <v>monumentos.gov.pt</v>
      </c>
      <c r="I57" s="305" t="s">
        <v>7363</v>
      </c>
      <c r="J57" s="287" t="str">
        <f>HYPERLINK("https://www.google.com/maps/search/Castelo%20de%20Castelo%20Branco%20Centro%20Portugal/@39.8221,-7.4941,17z","🏰 Castelo de Castelo Branco")</f>
        <v>🏰 Castelo de Castelo Branco</v>
      </c>
    </row>
    <row r="58" spans="1:10" ht="110" customHeight="1" x14ac:dyDescent="0.35">
      <c r="A58" s="358">
        <v>29</v>
      </c>
      <c r="B58" s="259" t="s">
        <v>7292</v>
      </c>
      <c r="C58" s="259" t="s">
        <v>7205</v>
      </c>
      <c r="D58" s="260" t="s">
        <v>836</v>
      </c>
      <c r="E58" s="259" t="s">
        <v>1438</v>
      </c>
      <c r="F58" s="259" t="s">
        <v>7351</v>
      </c>
      <c r="G58" s="259" t="s">
        <v>876</v>
      </c>
      <c r="H58" s="261" t="str">
        <f>HYPERLINK("https://aldeias-historicas.pt","aldeias-historicas.pt")</f>
        <v>aldeias-historicas.pt</v>
      </c>
      <c r="I58" s="304" t="s">
        <v>7334</v>
      </c>
      <c r="J58" s="286" t="str">
        <f>HYPERLINK("https://www.google.com/maps/search/Castelo%20de%20Monsanto%20Centro%20Portugal/@40.0371,-7.1141,17z","🏰 Castelo de Monsanto")</f>
        <v>🏰 Castelo de Monsanto</v>
      </c>
    </row>
    <row r="59" spans="1:10" ht="22" customHeight="1" x14ac:dyDescent="0.35">
      <c r="A59" s="1480" t="s">
        <v>7364</v>
      </c>
      <c r="B59" s="1313"/>
      <c r="C59" s="1313"/>
      <c r="D59" s="1313"/>
      <c r="E59" s="1313"/>
      <c r="F59" s="1313"/>
      <c r="G59" s="1313"/>
      <c r="H59" s="1313"/>
      <c r="I59" s="1313"/>
    </row>
    <row r="60" spans="1:10" ht="110" customHeight="1" x14ac:dyDescent="0.35">
      <c r="A60" s="360">
        <v>1</v>
      </c>
      <c r="B60" s="245" t="s">
        <v>7365</v>
      </c>
      <c r="C60" s="245" t="s">
        <v>7366</v>
      </c>
      <c r="D60" s="246" t="s">
        <v>913</v>
      </c>
      <c r="E60" s="245" t="s">
        <v>7367</v>
      </c>
      <c r="F60" s="245" t="s">
        <v>7368</v>
      </c>
      <c r="G60" s="245" t="s">
        <v>7369</v>
      </c>
      <c r="H60" s="245" t="str">
        <f>HYPERLINK("https://monumentos.gov.pt","monumentos.gov.pt")</f>
        <v>monumentos.gov.pt</v>
      </c>
      <c r="I60" s="305" t="s">
        <v>7370</v>
      </c>
      <c r="J60" s="265" t="str">
        <f>HYPERLINK("https://www.google.com/maps/search/Castelo%20de%20S%C3%A3o%20Jorge%20Lisboa%20Portugal/@38.7139,-9.1334,17z","🏰 Castelo de São Jorge")</f>
        <v>🏰 Castelo de São Jorge</v>
      </c>
    </row>
    <row r="61" spans="1:10" ht="110" customHeight="1" x14ac:dyDescent="0.35">
      <c r="A61" s="340">
        <v>2</v>
      </c>
      <c r="B61" s="248" t="s">
        <v>7371</v>
      </c>
      <c r="C61" s="248" t="s">
        <v>7205</v>
      </c>
      <c r="D61" s="249" t="s">
        <v>913</v>
      </c>
      <c r="E61" s="248" t="s">
        <v>7372</v>
      </c>
      <c r="F61" s="248" t="s">
        <v>7373</v>
      </c>
      <c r="G61" s="248" t="s">
        <v>7374</v>
      </c>
      <c r="H61" s="248" t="str">
        <f>HYPERLINK("https://cm-palmela.pt","cm-palmela.pt")</f>
        <v>cm-palmela.pt</v>
      </c>
      <c r="I61" s="304" t="s">
        <v>7375</v>
      </c>
      <c r="J61" s="266" t="str">
        <f>HYPERLINK("https://www.google.com/maps/search/Castelo%20de%20Palmela%20Lisboa%20Portugal/@38.5688,-8.8992,17z","🏰 Castelo de Palmela")</f>
        <v>🏰 Castelo de Palmela</v>
      </c>
    </row>
    <row r="62" spans="1:10" ht="110" customHeight="1" x14ac:dyDescent="0.35">
      <c r="A62" s="360">
        <v>3</v>
      </c>
      <c r="B62" s="245" t="s">
        <v>7376</v>
      </c>
      <c r="C62" s="245" t="s">
        <v>7205</v>
      </c>
      <c r="D62" s="246" t="s">
        <v>913</v>
      </c>
      <c r="E62" s="245" t="s">
        <v>7376</v>
      </c>
      <c r="F62" s="245" t="s">
        <v>7377</v>
      </c>
      <c r="G62" s="245" t="s">
        <v>876</v>
      </c>
      <c r="H62" s="245" t="str">
        <f>HYPERLINK("https://cm-sesimbra.pt","cm-sesimbra.pt")</f>
        <v>cm-sesimbra.pt</v>
      </c>
      <c r="I62" s="305" t="s">
        <v>7378</v>
      </c>
      <c r="J62" s="265" t="str">
        <f>HYPERLINK("https://www.google.com/maps/search/Castelo%20de%20Sesimbra%20Lisboa%20Portugal/@38.4442,-9.0962,17z","🏰 Castelo de Sesimbra")</f>
        <v>🏰 Castelo de Sesimbra</v>
      </c>
    </row>
    <row r="63" spans="1:10" ht="110" customHeight="1" x14ac:dyDescent="0.35">
      <c r="A63" s="340">
        <v>4</v>
      </c>
      <c r="B63" s="248" t="s">
        <v>7379</v>
      </c>
      <c r="C63" s="248" t="s">
        <v>7209</v>
      </c>
      <c r="D63" s="249" t="s">
        <v>913</v>
      </c>
      <c r="E63" s="248" t="s">
        <v>7380</v>
      </c>
      <c r="F63" s="248" t="s">
        <v>7381</v>
      </c>
      <c r="G63" s="248" t="s">
        <v>876</v>
      </c>
      <c r="H63" s="248" t="str">
        <f>HYPERLINK("https://monumentos.gov.pt","monumentos.gov.pt")</f>
        <v>monumentos.gov.pt</v>
      </c>
      <c r="I63" s="304" t="s">
        <v>7382</v>
      </c>
      <c r="J63" s="266" t="str">
        <f>HYPERLINK("https://www.google.com/maps/search/Castelo%20de%20Torres%20Vedras%20Lisboa%20Portugal/@39.0901,-9.2591,17z","🏰 Castelo de Torres Vedras")</f>
        <v>🏰 Castelo de Torres Vedras</v>
      </c>
    </row>
    <row r="64" spans="1:10" ht="110" customHeight="1" x14ac:dyDescent="0.35">
      <c r="A64" s="360">
        <v>5</v>
      </c>
      <c r="B64" s="245" t="s">
        <v>976</v>
      </c>
      <c r="C64" s="245" t="s">
        <v>7205</v>
      </c>
      <c r="D64" s="246" t="s">
        <v>913</v>
      </c>
      <c r="E64" s="245" t="s">
        <v>7383</v>
      </c>
      <c r="F64" s="245" t="s">
        <v>7384</v>
      </c>
      <c r="G64" s="245" t="s">
        <v>7385</v>
      </c>
      <c r="H64" s="245" t="str">
        <f>HYPERLINK("https://obidos.pt","obidos.pt")</f>
        <v>obidos.pt</v>
      </c>
      <c r="I64" s="305" t="s">
        <v>7386</v>
      </c>
      <c r="J64" s="265" t="str">
        <f>HYPERLINK("https://www.google.com/maps/search/Castelo%20de%20%C3%93bidos%20Lisboa%20Portugal/@39.3621,-9.1581,17z","🏰 Castelo de Óbidos")</f>
        <v>🏰 Castelo de Óbidos</v>
      </c>
    </row>
    <row r="65" spans="1:10" ht="110" customHeight="1" x14ac:dyDescent="0.35">
      <c r="A65" s="340">
        <v>6</v>
      </c>
      <c r="B65" s="248" t="s">
        <v>7387</v>
      </c>
      <c r="C65" s="248" t="s">
        <v>7388</v>
      </c>
      <c r="D65" s="249" t="s">
        <v>913</v>
      </c>
      <c r="E65" s="248" t="s">
        <v>7389</v>
      </c>
      <c r="F65" s="248" t="s">
        <v>7390</v>
      </c>
      <c r="G65" s="248" t="s">
        <v>7391</v>
      </c>
      <c r="H65" s="248" t="str">
        <f>HYPERLINK("https://monumentos.gov.pt","monumentos.gov.pt")</f>
        <v>monumentos.gov.pt</v>
      </c>
      <c r="I65" s="304" t="s">
        <v>7392</v>
      </c>
      <c r="J65" s="266" t="str">
        <f>HYPERLINK("https://www.google.com/maps/search/Castelo%20de%20Sintra%20%28Mouros%29%20Lisboa%20Portugal/@38.7924,-9.3911,17z","🏰 Castelo de Sintra (Mouros)")</f>
        <v>🏰 Castelo de Sintra (Mouros)</v>
      </c>
    </row>
    <row r="66" spans="1:10" ht="110" customHeight="1" x14ac:dyDescent="0.35">
      <c r="A66" s="360">
        <v>7</v>
      </c>
      <c r="B66" s="245" t="s">
        <v>7393</v>
      </c>
      <c r="C66" s="245" t="s">
        <v>7209</v>
      </c>
      <c r="D66" s="246" t="s">
        <v>913</v>
      </c>
      <c r="E66" s="245" t="s">
        <v>7394</v>
      </c>
      <c r="F66" s="245" t="s">
        <v>7217</v>
      </c>
      <c r="G66" s="245" t="s">
        <v>876</v>
      </c>
      <c r="H66" s="245" t="str">
        <f>HYPERLINK("https://monumentos.gov.pt","monumentos.gov.pt")</f>
        <v>monumentos.gov.pt</v>
      </c>
      <c r="I66" s="305" t="s">
        <v>7395</v>
      </c>
      <c r="J66" s="265" t="str">
        <f>HYPERLINK("https://www.google.com/maps/search/Castelo%20de%20Alenquer%20Lisboa%20Portugal/@39.0591,-9.0101,17z","🏰 Castelo de Alenquer")</f>
        <v>🏰 Castelo de Alenquer</v>
      </c>
    </row>
    <row r="67" spans="1:10" ht="110" customHeight="1" x14ac:dyDescent="0.35">
      <c r="A67" s="340">
        <v>8</v>
      </c>
      <c r="B67" s="248" t="s">
        <v>7396</v>
      </c>
      <c r="C67" s="248" t="s">
        <v>7397</v>
      </c>
      <c r="D67" s="249" t="s">
        <v>913</v>
      </c>
      <c r="E67" s="248" t="s">
        <v>7398</v>
      </c>
      <c r="F67" s="248" t="s">
        <v>7217</v>
      </c>
      <c r="G67" s="248" t="s">
        <v>876</v>
      </c>
      <c r="H67" s="248" t="str">
        <f>HYPERLINK("https://monumentos.gov.pt","monumentos.gov.pt")</f>
        <v>monumentos.gov.pt</v>
      </c>
      <c r="I67" s="304" t="s">
        <v>7399</v>
      </c>
      <c r="J67" s="266" t="str">
        <f>HYPERLINK("https://www.google.com/maps/search/Castelo%20de%20Almada%20Lisboa%20Portugal/@38.6791,-9.1581,17z","🏰 Castelo de Almada")</f>
        <v>🏰 Castelo de Almada</v>
      </c>
    </row>
    <row r="68" spans="1:10" ht="22" customHeight="1" x14ac:dyDescent="0.35">
      <c r="A68" s="1478" t="s">
        <v>7400</v>
      </c>
      <c r="B68" s="1313"/>
      <c r="C68" s="1313"/>
      <c r="D68" s="1313"/>
      <c r="E68" s="1313"/>
      <c r="F68" s="1313"/>
      <c r="G68" s="1313"/>
      <c r="H68" s="1313"/>
      <c r="I68" s="1313"/>
    </row>
    <row r="69" spans="1:10" ht="110" customHeight="1" x14ac:dyDescent="0.35">
      <c r="A69" s="346">
        <v>1</v>
      </c>
      <c r="B69" s="267" t="s">
        <v>1433</v>
      </c>
      <c r="C69" s="267" t="s">
        <v>7209</v>
      </c>
      <c r="D69" s="268" t="s">
        <v>853</v>
      </c>
      <c r="E69" s="267" t="s">
        <v>7401</v>
      </c>
      <c r="F69" s="267" t="s">
        <v>7193</v>
      </c>
      <c r="G69" s="267" t="s">
        <v>7194</v>
      </c>
      <c r="H69" s="267" t="str">
        <f>HYPERLINK("https://cm-marvao.pt","cm-marvao.pt")</f>
        <v>cm-marvao.pt</v>
      </c>
      <c r="I69" s="305" t="s">
        <v>7402</v>
      </c>
      <c r="J69" s="288" t="str">
        <f>HYPERLINK("https://www.google.com/maps/search/Castelo%20de%20Marv%C3%A3o%20Alentejo%20Portugal/@39.3949,-7.3768,17z","🏰 Castelo de Marvão")</f>
        <v>🏰 Castelo de Marvão</v>
      </c>
    </row>
    <row r="70" spans="1:10" ht="110" customHeight="1" x14ac:dyDescent="0.35">
      <c r="A70" s="362">
        <v>2</v>
      </c>
      <c r="B70" s="270" t="s">
        <v>7403</v>
      </c>
      <c r="C70" s="270" t="s">
        <v>7209</v>
      </c>
      <c r="D70" s="271" t="s">
        <v>853</v>
      </c>
      <c r="E70" s="270" t="s">
        <v>7404</v>
      </c>
      <c r="F70" s="270" t="s">
        <v>7193</v>
      </c>
      <c r="G70" s="270" t="s">
        <v>7194</v>
      </c>
      <c r="H70" s="270" t="str">
        <f>HYPERLINK("https://cm-elvas.pt","cm-elvas.pt")</f>
        <v>cm-elvas.pt</v>
      </c>
      <c r="I70" s="304" t="s">
        <v>7405</v>
      </c>
      <c r="J70" s="289" t="str">
        <f>HYPERLINK("https://www.google.com/maps/search/Castelo%20de%20Elvas%20Alentejo%20Portugal/@38.8833,-7.1643,17z","🏰 Castelo de Elvas")</f>
        <v>🏰 Castelo de Elvas</v>
      </c>
    </row>
    <row r="71" spans="1:10" ht="110" customHeight="1" x14ac:dyDescent="0.35">
      <c r="A71" s="346">
        <v>3</v>
      </c>
      <c r="B71" s="267" t="s">
        <v>7406</v>
      </c>
      <c r="C71" s="267" t="s">
        <v>7407</v>
      </c>
      <c r="D71" s="268" t="s">
        <v>853</v>
      </c>
      <c r="E71" s="267" t="s">
        <v>7408</v>
      </c>
      <c r="F71" s="267" t="s">
        <v>7193</v>
      </c>
      <c r="G71" s="267" t="s">
        <v>7194</v>
      </c>
      <c r="H71" s="267" t="str">
        <f>HYPERLINK("https://cm-arraiolos.pt","cm-arraiolos.pt")</f>
        <v>cm-arraiolos.pt</v>
      </c>
      <c r="I71" s="305" t="s">
        <v>7409</v>
      </c>
      <c r="J71" s="288" t="str">
        <f>HYPERLINK("https://www.google.com/maps/search/Castelo%20de%20Arraiolos%20Alentejo%20Portugal/@38.7255,-7.9863,17z","🏰 Castelo de Arraiolos")</f>
        <v>🏰 Castelo de Arraiolos</v>
      </c>
    </row>
    <row r="72" spans="1:10" ht="110" customHeight="1" x14ac:dyDescent="0.35">
      <c r="A72" s="362">
        <v>4</v>
      </c>
      <c r="B72" s="270" t="s">
        <v>7410</v>
      </c>
      <c r="C72" s="270" t="s">
        <v>7407</v>
      </c>
      <c r="D72" s="271" t="s">
        <v>853</v>
      </c>
      <c r="E72" s="270" t="s">
        <v>7411</v>
      </c>
      <c r="F72" s="270" t="s">
        <v>7193</v>
      </c>
      <c r="G72" s="270" t="s">
        <v>7194</v>
      </c>
      <c r="H72" s="270" t="str">
        <f t="shared" ref="H72:H88" si="2">HYPERLINK("https://monumentos.gov.pt","monumentos.gov.pt")</f>
        <v>monumentos.gov.pt</v>
      </c>
      <c r="I72" s="304" t="s">
        <v>7412</v>
      </c>
      <c r="J72" s="289" t="str">
        <f>HYPERLINK("https://www.google.com/maps/search/Castelo%20de%20Beja%20Alentejo%20Portugal/@38.0175,-7.8647,17z","🏰 Castelo de Beja")</f>
        <v>🏰 Castelo de Beja</v>
      </c>
    </row>
    <row r="73" spans="1:10" ht="110" customHeight="1" x14ac:dyDescent="0.35">
      <c r="A73" s="346">
        <v>5</v>
      </c>
      <c r="B73" s="267" t="s">
        <v>7413</v>
      </c>
      <c r="C73" s="267" t="s">
        <v>7407</v>
      </c>
      <c r="D73" s="268" t="s">
        <v>853</v>
      </c>
      <c r="E73" s="267" t="s">
        <v>7414</v>
      </c>
      <c r="F73" s="267" t="s">
        <v>7193</v>
      </c>
      <c r="G73" s="267" t="s">
        <v>7194</v>
      </c>
      <c r="H73" s="267" t="str">
        <f t="shared" si="2"/>
        <v>monumentos.gov.pt</v>
      </c>
      <c r="I73" s="305" t="s">
        <v>7415</v>
      </c>
      <c r="J73" s="288" t="str">
        <f>HYPERLINK("https://www.google.com/maps/search/Castelo%20de%20Vila%20Vi%C3%A7osa%20Alentejo%20Portugal/@38.7788,-7.4147,17z","🏰 Castelo de Vila Viçosa")</f>
        <v>🏰 Castelo de Vila Viçosa</v>
      </c>
    </row>
    <row r="74" spans="1:10" ht="110" customHeight="1" x14ac:dyDescent="0.35">
      <c r="A74" s="362">
        <v>6</v>
      </c>
      <c r="B74" s="270" t="s">
        <v>941</v>
      </c>
      <c r="C74" s="270" t="s">
        <v>7407</v>
      </c>
      <c r="D74" s="271" t="s">
        <v>853</v>
      </c>
      <c r="E74" s="270" t="s">
        <v>7416</v>
      </c>
      <c r="F74" s="270"/>
      <c r="G74" s="270"/>
      <c r="H74" s="270" t="str">
        <f t="shared" si="2"/>
        <v>monumentos.gov.pt</v>
      </c>
      <c r="I74" s="304" t="s">
        <v>7417</v>
      </c>
      <c r="J74" s="289" t="str">
        <f>HYPERLINK("https://www.google.com/maps/search/Castelo%20de%20Sines%20Alentejo%20Portugal/@37.9556,-8.871,17z","🏰 Castelo de Sines")</f>
        <v>🏰 Castelo de Sines</v>
      </c>
    </row>
    <row r="75" spans="1:10" ht="110" customHeight="1" x14ac:dyDescent="0.35">
      <c r="A75" s="346">
        <v>7</v>
      </c>
      <c r="B75" s="267" t="s">
        <v>7418</v>
      </c>
      <c r="C75" s="267" t="s">
        <v>7209</v>
      </c>
      <c r="D75" s="268" t="s">
        <v>853</v>
      </c>
      <c r="E75" s="267" t="s">
        <v>3486</v>
      </c>
      <c r="F75" s="267" t="s">
        <v>7419</v>
      </c>
      <c r="G75" s="267" t="s">
        <v>7246</v>
      </c>
      <c r="H75" s="267" t="str">
        <f t="shared" si="2"/>
        <v>monumentos.gov.pt</v>
      </c>
      <c r="I75" s="305" t="s">
        <v>7420</v>
      </c>
      <c r="J75" s="288" t="str">
        <f>HYPERLINK("https://www.google.com/maps/search/Castelo%20de%20Estremoz%20Alentejo%20Portugal/@38.8461,-7.5891,17z","🏰 Castelo de Estremoz")</f>
        <v>🏰 Castelo de Estremoz</v>
      </c>
    </row>
    <row r="76" spans="1:10" ht="110" customHeight="1" x14ac:dyDescent="0.35">
      <c r="A76" s="362">
        <v>8</v>
      </c>
      <c r="B76" s="270" t="s">
        <v>7421</v>
      </c>
      <c r="C76" s="270" t="s">
        <v>7209</v>
      </c>
      <c r="D76" s="271" t="s">
        <v>853</v>
      </c>
      <c r="E76" s="270" t="s">
        <v>7422</v>
      </c>
      <c r="F76" s="270" t="s">
        <v>7217</v>
      </c>
      <c r="G76" s="270" t="s">
        <v>876</v>
      </c>
      <c r="H76" s="270" t="str">
        <f t="shared" si="2"/>
        <v>monumentos.gov.pt</v>
      </c>
      <c r="I76" s="304" t="s">
        <v>7423</v>
      </c>
      <c r="J76" s="289" t="str">
        <f>HYPERLINK("https://www.google.com/maps/search/Castelo%20de%20Borba%20Alentejo%20Portugal/@38.8021,-7.4551,17z","🏰 Castelo de Borba")</f>
        <v>🏰 Castelo de Borba</v>
      </c>
    </row>
    <row r="77" spans="1:10" ht="110" customHeight="1" x14ac:dyDescent="0.35">
      <c r="A77" s="346">
        <v>9</v>
      </c>
      <c r="B77" s="267" t="s">
        <v>7413</v>
      </c>
      <c r="C77" s="267" t="s">
        <v>7209</v>
      </c>
      <c r="D77" s="268" t="s">
        <v>853</v>
      </c>
      <c r="E77" s="267" t="s">
        <v>7424</v>
      </c>
      <c r="F77" s="267" t="s">
        <v>7425</v>
      </c>
      <c r="G77" s="267" t="s">
        <v>7426</v>
      </c>
      <c r="H77" s="267" t="str">
        <f t="shared" si="2"/>
        <v>monumentos.gov.pt</v>
      </c>
      <c r="I77" s="305" t="s">
        <v>7427</v>
      </c>
      <c r="J77" s="288" t="str">
        <f>HYPERLINK("https://www.google.com/maps/search/Castelo%20de%20Vila%20Vi%C3%A7osa%20Alentejo%20Portugal/@38.7791,-7.4161,17z","🏰 Castelo de Vila Viçosa")</f>
        <v>🏰 Castelo de Vila Viçosa</v>
      </c>
    </row>
    <row r="78" spans="1:10" ht="110" customHeight="1" x14ac:dyDescent="0.35">
      <c r="A78" s="362">
        <v>10</v>
      </c>
      <c r="B78" s="270" t="s">
        <v>7428</v>
      </c>
      <c r="C78" s="270" t="s">
        <v>7220</v>
      </c>
      <c r="D78" s="271" t="s">
        <v>853</v>
      </c>
      <c r="E78" s="270" t="s">
        <v>2159</v>
      </c>
      <c r="F78" s="270" t="s">
        <v>7217</v>
      </c>
      <c r="G78" s="270" t="s">
        <v>876</v>
      </c>
      <c r="H78" s="270" t="str">
        <f t="shared" si="2"/>
        <v>monumentos.gov.pt</v>
      </c>
      <c r="I78" s="304" t="s">
        <v>7429</v>
      </c>
      <c r="J78" s="289" t="str">
        <f>HYPERLINK("https://www.google.com/maps/search/Castelo%20de%20Alandroal%20Alentejo%20Portugal/@38.7001,-7.3981,17z","🏰 Castelo de Alandroal")</f>
        <v>🏰 Castelo de Alandroal</v>
      </c>
    </row>
    <row r="79" spans="1:10" ht="110" customHeight="1" x14ac:dyDescent="0.35">
      <c r="A79" s="346">
        <v>11</v>
      </c>
      <c r="B79" s="267" t="s">
        <v>7430</v>
      </c>
      <c r="C79" s="267" t="s">
        <v>7344</v>
      </c>
      <c r="D79" s="268" t="s">
        <v>853</v>
      </c>
      <c r="E79" s="267" t="s">
        <v>7431</v>
      </c>
      <c r="F79" s="267" t="s">
        <v>7217</v>
      </c>
      <c r="G79" s="267" t="s">
        <v>876</v>
      </c>
      <c r="H79" s="267" t="str">
        <f t="shared" si="2"/>
        <v>monumentos.gov.pt</v>
      </c>
      <c r="I79" s="305" t="s">
        <v>7432</v>
      </c>
      <c r="J79" s="288" t="str">
        <f>HYPERLINK("https://www.google.com/maps/search/Castelo%20de%20Juromenha%20Alentejo%20Portugal/@38.7241,-7.1521,17z","🏰 Castelo de Juromenha")</f>
        <v>🏰 Castelo de Juromenha</v>
      </c>
    </row>
    <row r="80" spans="1:10" ht="110" customHeight="1" x14ac:dyDescent="0.35">
      <c r="A80" s="362">
        <v>12</v>
      </c>
      <c r="B80" s="270" t="s">
        <v>7433</v>
      </c>
      <c r="C80" s="270" t="s">
        <v>7220</v>
      </c>
      <c r="D80" s="271" t="s">
        <v>853</v>
      </c>
      <c r="E80" s="270" t="s">
        <v>6102</v>
      </c>
      <c r="F80" s="270" t="s">
        <v>7217</v>
      </c>
      <c r="G80" s="270" t="s">
        <v>876</v>
      </c>
      <c r="H80" s="270" t="str">
        <f t="shared" si="2"/>
        <v>monumentos.gov.pt</v>
      </c>
      <c r="I80" s="304" t="s">
        <v>7429</v>
      </c>
      <c r="J80" s="289" t="str">
        <f>HYPERLINK("https://www.google.com/maps/search/Castelo%20de%20Mour%C3%A3o%20Alentejo%20Portugal/@38.3641,-7.3431,17z","🏰 Castelo de Mourão")</f>
        <v>🏰 Castelo de Mourão</v>
      </c>
    </row>
    <row r="81" spans="1:10" ht="110" customHeight="1" x14ac:dyDescent="0.35">
      <c r="A81" s="346">
        <v>13</v>
      </c>
      <c r="B81" s="267" t="s">
        <v>7434</v>
      </c>
      <c r="C81" s="267" t="s">
        <v>7209</v>
      </c>
      <c r="D81" s="268" t="s">
        <v>853</v>
      </c>
      <c r="E81" s="267" t="s">
        <v>7435</v>
      </c>
      <c r="F81" s="267" t="s">
        <v>7349</v>
      </c>
      <c r="G81" s="267" t="s">
        <v>876</v>
      </c>
      <c r="H81" s="267" t="str">
        <f t="shared" si="2"/>
        <v>monumentos.gov.pt</v>
      </c>
      <c r="I81" s="305" t="s">
        <v>7436</v>
      </c>
      <c r="J81" s="288" t="str">
        <f>HYPERLINK("https://www.google.com/maps/search/Castelo%20de%20Moura%20Alentejo%20Portugal/@38.1381,-7.4511,17z","🏰 Castelo de Moura")</f>
        <v>🏰 Castelo de Moura</v>
      </c>
    </row>
    <row r="82" spans="1:10" ht="110" customHeight="1" x14ac:dyDescent="0.35">
      <c r="A82" s="362">
        <v>14</v>
      </c>
      <c r="B82" s="270" t="s">
        <v>7437</v>
      </c>
      <c r="C82" s="270" t="s">
        <v>7209</v>
      </c>
      <c r="D82" s="271" t="s">
        <v>853</v>
      </c>
      <c r="E82" s="270" t="s">
        <v>2126</v>
      </c>
      <c r="F82" s="270" t="s">
        <v>7349</v>
      </c>
      <c r="G82" s="270" t="s">
        <v>7246</v>
      </c>
      <c r="H82" s="270" t="str">
        <f t="shared" si="2"/>
        <v>monumentos.gov.pt</v>
      </c>
      <c r="I82" s="304" t="s">
        <v>7438</v>
      </c>
      <c r="J82" s="289" t="str">
        <f>HYPERLINK("https://www.google.com/maps/search/Castelo%20de%20Serpa%20Alentejo%20Portugal/@37.9461,-7.5991,17z","🏰 Castelo de Serpa")</f>
        <v>🏰 Castelo de Serpa</v>
      </c>
    </row>
    <row r="83" spans="1:10" ht="110" customHeight="1" x14ac:dyDescent="0.35">
      <c r="A83" s="346">
        <v>15</v>
      </c>
      <c r="B83" s="267" t="s">
        <v>7439</v>
      </c>
      <c r="C83" s="267" t="s">
        <v>7205</v>
      </c>
      <c r="D83" s="268" t="s">
        <v>853</v>
      </c>
      <c r="E83" s="267" t="s">
        <v>7440</v>
      </c>
      <c r="F83" s="267" t="s">
        <v>7349</v>
      </c>
      <c r="G83" s="267" t="s">
        <v>7246</v>
      </c>
      <c r="H83" s="267" t="str">
        <f t="shared" si="2"/>
        <v>monumentos.gov.pt</v>
      </c>
      <c r="I83" s="305" t="s">
        <v>7441</v>
      </c>
      <c r="J83" s="288" t="str">
        <f>HYPERLINK("https://www.google.com/maps/search/Castelo%20de%20M%C3%A9rtola%20Alentejo%20Portugal/@37.6401,-7.6601,17z","🏰 Castelo de Mértola")</f>
        <v>🏰 Castelo de Mértola</v>
      </c>
    </row>
    <row r="84" spans="1:10" ht="110" customHeight="1" x14ac:dyDescent="0.35">
      <c r="A84" s="362">
        <v>16</v>
      </c>
      <c r="B84" s="270" t="s">
        <v>7442</v>
      </c>
      <c r="C84" s="270" t="s">
        <v>7275</v>
      </c>
      <c r="D84" s="271" t="s">
        <v>853</v>
      </c>
      <c r="E84" s="270" t="s">
        <v>7443</v>
      </c>
      <c r="F84" s="270" t="s">
        <v>7444</v>
      </c>
      <c r="G84" s="270" t="s">
        <v>795</v>
      </c>
      <c r="H84" s="270" t="str">
        <f t="shared" si="2"/>
        <v>monumentos.gov.pt</v>
      </c>
      <c r="I84" s="304" t="s">
        <v>7445</v>
      </c>
      <c r="J84" s="289" t="str">
        <f>HYPERLINK("https://www.google.com/maps/search/Castelo%20de%20Alc%C3%A1cer%20do%20Sal%20Alentejo%20Portugal/@38.3721,-8.5131,17z","🏰 Castelo de Alcácer do Sal")</f>
        <v>🏰 Castelo de Alcácer do Sal</v>
      </c>
    </row>
    <row r="85" spans="1:10" ht="110" customHeight="1" x14ac:dyDescent="0.35">
      <c r="A85" s="346">
        <v>17</v>
      </c>
      <c r="B85" s="267" t="s">
        <v>7446</v>
      </c>
      <c r="C85" s="267" t="s">
        <v>7209</v>
      </c>
      <c r="D85" s="268" t="s">
        <v>853</v>
      </c>
      <c r="E85" s="267" t="s">
        <v>7447</v>
      </c>
      <c r="F85" s="267" t="s">
        <v>7381</v>
      </c>
      <c r="G85" s="267" t="s">
        <v>7255</v>
      </c>
      <c r="H85" s="267" t="str">
        <f t="shared" si="2"/>
        <v>monumentos.gov.pt</v>
      </c>
      <c r="I85" s="305" t="s">
        <v>7448</v>
      </c>
      <c r="J85" s="288" t="str">
        <f>HYPERLINK("https://www.google.com/maps/search/Castelo%20de%20Santiago%20do%20Cac%C3%A9m%20Alentejo%20Portugal/@38.0171,-8.6991,17z","🏰 Castelo de Santiago do Cacém")</f>
        <v>🏰 Castelo de Santiago do Cacém</v>
      </c>
    </row>
    <row r="86" spans="1:10" ht="110" customHeight="1" x14ac:dyDescent="0.35">
      <c r="A86" s="362">
        <v>18</v>
      </c>
      <c r="B86" s="270" t="s">
        <v>941</v>
      </c>
      <c r="C86" s="270" t="s">
        <v>7220</v>
      </c>
      <c r="D86" s="271" t="s">
        <v>853</v>
      </c>
      <c r="E86" s="270" t="s">
        <v>7449</v>
      </c>
      <c r="F86" s="270" t="s">
        <v>7242</v>
      </c>
      <c r="G86" s="270" t="s">
        <v>7246</v>
      </c>
      <c r="H86" s="270" t="str">
        <f t="shared" si="2"/>
        <v>monumentos.gov.pt</v>
      </c>
      <c r="I86" s="304" t="s">
        <v>7450</v>
      </c>
      <c r="J86" s="289" t="str">
        <f>HYPERLINK("https://www.google.com/maps/search/Castelo%20de%20Sines%20Alentejo%20Portugal/@37.9571,-8.8721,17z","🏰 Castelo de Sines")</f>
        <v>🏰 Castelo de Sines</v>
      </c>
    </row>
    <row r="87" spans="1:10" ht="110" customHeight="1" x14ac:dyDescent="0.35">
      <c r="A87" s="346">
        <v>19</v>
      </c>
      <c r="B87" s="267" t="s">
        <v>7451</v>
      </c>
      <c r="C87" s="267" t="s">
        <v>7205</v>
      </c>
      <c r="D87" s="268" t="s">
        <v>853</v>
      </c>
      <c r="E87" s="267" t="s">
        <v>6161</v>
      </c>
      <c r="F87" s="267" t="s">
        <v>7217</v>
      </c>
      <c r="G87" s="267" t="s">
        <v>876</v>
      </c>
      <c r="H87" s="267" t="str">
        <f t="shared" si="2"/>
        <v>monumentos.gov.pt</v>
      </c>
      <c r="I87" s="305" t="s">
        <v>7452</v>
      </c>
      <c r="J87" s="288" t="str">
        <f>HYPERLINK("https://www.google.com/maps/search/Castelo%20de%20Gr%C3%A2ndola%20%28Ru%C3%ADnas%29%20Alentejo%20Portugal/@38.1791,-8.5701,17z","🏰 Castelo de Grândola (Ruínas)")</f>
        <v>🏰 Castelo de Grândola (Ruínas)</v>
      </c>
    </row>
    <row r="88" spans="1:10" ht="110" customHeight="1" x14ac:dyDescent="0.35">
      <c r="A88" s="362">
        <v>20</v>
      </c>
      <c r="B88" s="270" t="s">
        <v>7453</v>
      </c>
      <c r="C88" s="270" t="s">
        <v>7205</v>
      </c>
      <c r="D88" s="271" t="s">
        <v>853</v>
      </c>
      <c r="E88" s="270" t="s">
        <v>5664</v>
      </c>
      <c r="F88" s="270" t="s">
        <v>7217</v>
      </c>
      <c r="G88" s="270" t="s">
        <v>876</v>
      </c>
      <c r="H88" s="270" t="str">
        <f t="shared" si="2"/>
        <v>monumentos.gov.pt</v>
      </c>
      <c r="I88" s="304" t="s">
        <v>7452</v>
      </c>
      <c r="J88" s="289" t="str">
        <f>HYPERLINK("https://www.google.com/maps/search/Castelo%20de%20Ourique%20Alentejo%20Portugal/@37.6491,-8.2231,17z","🏰 Castelo de Ourique")</f>
        <v>🏰 Castelo de Ourique</v>
      </c>
    </row>
    <row r="89" spans="1:10" ht="110" customHeight="1" x14ac:dyDescent="0.35">
      <c r="A89" s="346">
        <v>21</v>
      </c>
      <c r="B89" s="267" t="s">
        <v>7454</v>
      </c>
      <c r="C89" s="267" t="s">
        <v>7220</v>
      </c>
      <c r="D89" s="268" t="s">
        <v>853</v>
      </c>
      <c r="E89" s="267" t="s">
        <v>2130</v>
      </c>
      <c r="F89" s="267" t="s">
        <v>7455</v>
      </c>
      <c r="G89" s="267" t="s">
        <v>7246</v>
      </c>
      <c r="H89" s="269" t="str">
        <f>HYPERLINK("https://cm-viana-alentejo.pt","cm-viana-alentejo.pt")</f>
        <v>cm-viana-alentejo.pt</v>
      </c>
      <c r="I89" s="305" t="s">
        <v>7456</v>
      </c>
      <c r="J89" s="288" t="str">
        <f>HYPERLINK("https://www.google.com/maps/search/Castelo%20de%20Viana%20do%20Alentejo%20Portugal/@38.3371,-8.0011,17z","🏰 Castelo de Viana do Alentejo")</f>
        <v>🏰 Castelo de Viana do Alentejo</v>
      </c>
    </row>
    <row r="90" spans="1:10" ht="110" customHeight="1" x14ac:dyDescent="0.35">
      <c r="A90" s="362">
        <v>22</v>
      </c>
      <c r="B90" s="270" t="s">
        <v>7457</v>
      </c>
      <c r="C90" s="270" t="s">
        <v>7220</v>
      </c>
      <c r="D90" s="271" t="s">
        <v>853</v>
      </c>
      <c r="E90" s="270" t="s">
        <v>7090</v>
      </c>
      <c r="F90" s="270" t="s">
        <v>7217</v>
      </c>
      <c r="G90" s="270" t="s">
        <v>876</v>
      </c>
      <c r="H90" s="270" t="str">
        <f>HYPERLINK("https://monumentos.gov.pt","monumentos.gov.pt")</f>
        <v>monumentos.gov.pt</v>
      </c>
      <c r="I90" s="304" t="s">
        <v>7429</v>
      </c>
      <c r="J90" s="289" t="str">
        <f>HYPERLINK("https://www.google.com/maps/search/Castelo%20de%20Redondo%20Alentejo%20Portugal/@38.6471,-7.5421,17z","🏰 Castelo de Redondo")</f>
        <v>🏰 Castelo de Redondo</v>
      </c>
    </row>
    <row r="91" spans="1:10" ht="110" customHeight="1" x14ac:dyDescent="0.35">
      <c r="A91" s="346">
        <v>23</v>
      </c>
      <c r="B91" s="267" t="s">
        <v>7406</v>
      </c>
      <c r="C91" s="267" t="s">
        <v>7220</v>
      </c>
      <c r="D91" s="268" t="s">
        <v>853</v>
      </c>
      <c r="E91" s="267" t="s">
        <v>7458</v>
      </c>
      <c r="F91" s="267" t="s">
        <v>7217</v>
      </c>
      <c r="G91" s="267" t="s">
        <v>876</v>
      </c>
      <c r="H91" s="267" t="str">
        <f>HYPERLINK("https://cm-arraiolos.pt","cm-arraiolos.pt")</f>
        <v>cm-arraiolos.pt</v>
      </c>
      <c r="I91" s="305" t="s">
        <v>7429</v>
      </c>
      <c r="J91" s="288" t="str">
        <f>HYPERLINK("https://www.google.com/maps/search/Castelo%20de%20Arraiolos%20Alentejo%20Portugal/@38.7201,-7.9841,17z","🏰 Castelo de Arraiolos")</f>
        <v>🏰 Castelo de Arraiolos</v>
      </c>
    </row>
    <row r="92" spans="1:10" ht="110" customHeight="1" x14ac:dyDescent="0.35">
      <c r="A92" s="362">
        <v>24</v>
      </c>
      <c r="B92" s="270" t="s">
        <v>7459</v>
      </c>
      <c r="C92" s="270" t="s">
        <v>7209</v>
      </c>
      <c r="D92" s="271" t="s">
        <v>853</v>
      </c>
      <c r="E92" s="270" t="s">
        <v>5668</v>
      </c>
      <c r="F92" s="270" t="s">
        <v>7217</v>
      </c>
      <c r="G92" s="270" t="s">
        <v>876</v>
      </c>
      <c r="H92" s="270" t="str">
        <f t="shared" ref="H92:H99" si="3">HYPERLINK("https://monumentos.gov.pt","monumentos.gov.pt")</f>
        <v>monumentos.gov.pt</v>
      </c>
      <c r="I92" s="304" t="s">
        <v>7423</v>
      </c>
      <c r="J92" s="289" t="str">
        <f>HYPERLINK("https://www.google.com/maps/search/Castelo%20de%20Monforte%20Alentejo%20Portugal/@39.0541,-7.4361,17z","🏰 Castelo de Monforte")</f>
        <v>🏰 Castelo de Monforte</v>
      </c>
    </row>
    <row r="93" spans="1:10" ht="110" customHeight="1" x14ac:dyDescent="0.35">
      <c r="A93" s="346">
        <v>25</v>
      </c>
      <c r="B93" s="267" t="s">
        <v>7460</v>
      </c>
      <c r="C93" s="267" t="s">
        <v>7209</v>
      </c>
      <c r="D93" s="268" t="s">
        <v>853</v>
      </c>
      <c r="E93" s="267" t="s">
        <v>2538</v>
      </c>
      <c r="F93" s="267" t="s">
        <v>7217</v>
      </c>
      <c r="G93" s="267" t="s">
        <v>876</v>
      </c>
      <c r="H93" s="267" t="str">
        <f t="shared" si="3"/>
        <v>monumentos.gov.pt</v>
      </c>
      <c r="I93" s="305" t="s">
        <v>7423</v>
      </c>
      <c r="J93" s="288" t="str">
        <f>HYPERLINK("https://www.google.com/maps/search/Castelo%20de%20Portalegre%20Alentejo%20Portugal/@39.2941,-7.4291,17z","🏰 Castelo de Portalegre")</f>
        <v>🏰 Castelo de Portalegre</v>
      </c>
    </row>
    <row r="94" spans="1:10" ht="110" customHeight="1" x14ac:dyDescent="0.35">
      <c r="A94" s="362">
        <v>26</v>
      </c>
      <c r="B94" s="270" t="s">
        <v>7461</v>
      </c>
      <c r="C94" s="270" t="s">
        <v>7220</v>
      </c>
      <c r="D94" s="271" t="s">
        <v>853</v>
      </c>
      <c r="E94" s="270" t="s">
        <v>2139</v>
      </c>
      <c r="F94" s="270" t="s">
        <v>7242</v>
      </c>
      <c r="G94" s="270" t="s">
        <v>876</v>
      </c>
      <c r="H94" s="270" t="str">
        <f t="shared" si="3"/>
        <v>monumentos.gov.pt</v>
      </c>
      <c r="I94" s="304" t="s">
        <v>7429</v>
      </c>
      <c r="J94" s="289" t="str">
        <f>HYPERLINK("https://www.google.com/maps/search/Castelo%20de%20Campo%20Maior%20Alentejo%20Portugal/@39.0191,-7.0641,17z","🏰 Castelo de Campo Maior")</f>
        <v>🏰 Castelo de Campo Maior</v>
      </c>
    </row>
    <row r="95" spans="1:10" ht="110" customHeight="1" x14ac:dyDescent="0.35">
      <c r="A95" s="346">
        <v>27</v>
      </c>
      <c r="B95" s="267" t="s">
        <v>7462</v>
      </c>
      <c r="C95" s="267" t="s">
        <v>7209</v>
      </c>
      <c r="D95" s="268" t="s">
        <v>853</v>
      </c>
      <c r="E95" s="267" t="s">
        <v>7463</v>
      </c>
      <c r="F95" s="267" t="s">
        <v>7217</v>
      </c>
      <c r="G95" s="267" t="s">
        <v>876</v>
      </c>
      <c r="H95" s="267" t="str">
        <f t="shared" si="3"/>
        <v>monumentos.gov.pt</v>
      </c>
      <c r="I95" s="305" t="s">
        <v>7464</v>
      </c>
      <c r="J95" s="288" t="str">
        <f>HYPERLINK("https://www.google.com/maps/search/Castelo%20de%20Ouguela%20Alentejo%20Portugal/@39.0561,-7.0191,17z","🏰 Castelo de Ouguela")</f>
        <v>🏰 Castelo de Ouguela</v>
      </c>
    </row>
    <row r="96" spans="1:10" ht="110" customHeight="1" x14ac:dyDescent="0.35">
      <c r="A96" s="362">
        <v>28</v>
      </c>
      <c r="B96" s="270" t="s">
        <v>7465</v>
      </c>
      <c r="C96" s="270" t="s">
        <v>7220</v>
      </c>
      <c r="D96" s="271" t="s">
        <v>853</v>
      </c>
      <c r="E96" s="270" t="s">
        <v>5660</v>
      </c>
      <c r="F96" s="270" t="s">
        <v>7359</v>
      </c>
      <c r="G96" s="270" t="s">
        <v>7259</v>
      </c>
      <c r="H96" s="270" t="str">
        <f t="shared" si="3"/>
        <v>monumentos.gov.pt</v>
      </c>
      <c r="I96" s="304" t="s">
        <v>7466</v>
      </c>
      <c r="J96" s="289" t="str">
        <f>HYPERLINK("https://www.google.com/maps/search/Castelo%20de%20Alter%20do%20Ch%C3%A3o%20Alentejo%20Portugal/@39.2021,-7.6601,17z","🏰 Castelo de Alter do Chão")</f>
        <v>🏰 Castelo de Alter do Chão</v>
      </c>
    </row>
    <row r="97" spans="1:10" ht="110" customHeight="1" x14ac:dyDescent="0.35">
      <c r="A97" s="346">
        <v>29</v>
      </c>
      <c r="B97" s="267" t="s">
        <v>7467</v>
      </c>
      <c r="C97" s="267" t="s">
        <v>7220</v>
      </c>
      <c r="D97" s="268" t="s">
        <v>853</v>
      </c>
      <c r="E97" s="267" t="s">
        <v>7468</v>
      </c>
      <c r="F97" s="267" t="s">
        <v>7217</v>
      </c>
      <c r="G97" s="267" t="s">
        <v>876</v>
      </c>
      <c r="H97" s="267" t="str">
        <f t="shared" si="3"/>
        <v>monumentos.gov.pt</v>
      </c>
      <c r="I97" s="305" t="s">
        <v>7429</v>
      </c>
      <c r="J97" s="288" t="str">
        <f>HYPERLINK("https://www.google.com/maps/search/Castelo%20de%20Crato%20Alentejo%20Portugal/@39.2801,-7.6461,17z","🏰 Castelo de Crato")</f>
        <v>🏰 Castelo de Crato</v>
      </c>
    </row>
    <row r="98" spans="1:10" ht="110" customHeight="1" x14ac:dyDescent="0.35">
      <c r="A98" s="362">
        <v>30</v>
      </c>
      <c r="B98" s="270" t="s">
        <v>7469</v>
      </c>
      <c r="C98" s="270" t="s">
        <v>7220</v>
      </c>
      <c r="D98" s="271" t="s">
        <v>853</v>
      </c>
      <c r="E98" s="270" t="s">
        <v>7470</v>
      </c>
      <c r="F98" s="270" t="s">
        <v>7217</v>
      </c>
      <c r="G98" s="270" t="s">
        <v>876</v>
      </c>
      <c r="H98" s="270" t="str">
        <f t="shared" si="3"/>
        <v>monumentos.gov.pt</v>
      </c>
      <c r="I98" s="304" t="s">
        <v>7429</v>
      </c>
      <c r="J98" s="289" t="str">
        <f>HYPERLINK("https://www.google.com/maps/search/Castelo%20de%20Avis%20Alentejo%20Portugal/@39.0711,-7.8901,17z","🏰 Castelo de Avis")</f>
        <v>🏰 Castelo de Avis</v>
      </c>
    </row>
    <row r="99" spans="1:10" ht="110" customHeight="1" x14ac:dyDescent="0.35">
      <c r="A99" s="346">
        <v>31</v>
      </c>
      <c r="B99" s="267" t="s">
        <v>7471</v>
      </c>
      <c r="C99" s="267" t="s">
        <v>7220</v>
      </c>
      <c r="D99" s="268" t="s">
        <v>853</v>
      </c>
      <c r="E99" s="267" t="s">
        <v>6383</v>
      </c>
      <c r="F99" s="267" t="s">
        <v>7217</v>
      </c>
      <c r="G99" s="267" t="s">
        <v>876</v>
      </c>
      <c r="H99" s="267" t="str">
        <f t="shared" si="3"/>
        <v>monumentos.gov.pt</v>
      </c>
      <c r="I99" s="305" t="s">
        <v>7429</v>
      </c>
      <c r="J99" s="288" t="str">
        <f>HYPERLINK("https://www.google.com/maps/search/Castelo%20de%20Mora%20Alentejo%20Portugal/@38.9381,-8.1611,17z","🏰 Castelo de Mora")</f>
        <v>🏰 Castelo de Mora</v>
      </c>
    </row>
    <row r="100" spans="1:10" ht="22" customHeight="1" x14ac:dyDescent="0.35">
      <c r="A100" s="1477" t="s">
        <v>7472</v>
      </c>
      <c r="B100" s="1313"/>
      <c r="C100" s="1313"/>
      <c r="D100" s="1313"/>
      <c r="E100" s="1313"/>
      <c r="F100" s="1313"/>
      <c r="G100" s="1313"/>
      <c r="H100" s="1313"/>
      <c r="I100" s="1313"/>
    </row>
    <row r="101" spans="1:10" ht="110" customHeight="1" x14ac:dyDescent="0.35">
      <c r="A101" s="348">
        <v>1</v>
      </c>
      <c r="B101" s="273" t="s">
        <v>7473</v>
      </c>
      <c r="C101" s="273" t="s">
        <v>7191</v>
      </c>
      <c r="D101" s="274" t="s">
        <v>767</v>
      </c>
      <c r="E101" s="273" t="s">
        <v>7474</v>
      </c>
      <c r="F101" s="273" t="s">
        <v>7193</v>
      </c>
      <c r="G101" s="273" t="s">
        <v>7194</v>
      </c>
      <c r="H101" s="273" t="str">
        <f>HYPERLINK("https://cm-aljezur.pt","cm-aljezur.pt")</f>
        <v>cm-aljezur.pt</v>
      </c>
      <c r="I101" s="304" t="s">
        <v>7475</v>
      </c>
      <c r="J101" s="275" t="str">
        <f>HYPERLINK("https://www.google.com/maps/search/Castelo%20de%20Aljezur%20Algarve%20Portugal/@37.3195,-8.8016,17z","🏰 Castelo de Aljezur")</f>
        <v>🏰 Castelo de Aljezur</v>
      </c>
    </row>
    <row r="102" spans="1:10" ht="110" customHeight="1" x14ac:dyDescent="0.35">
      <c r="A102" s="354">
        <v>2</v>
      </c>
      <c r="B102" s="277" t="s">
        <v>7476</v>
      </c>
      <c r="C102" s="277" t="s">
        <v>7191</v>
      </c>
      <c r="D102" s="278" t="s">
        <v>767</v>
      </c>
      <c r="E102" s="277" t="s">
        <v>7477</v>
      </c>
      <c r="F102" s="277" t="s">
        <v>7193</v>
      </c>
      <c r="G102" s="277" t="s">
        <v>7194</v>
      </c>
      <c r="H102" s="277" t="str">
        <f>HYPERLINK("https://monumentos.gov.pt","monumentos.gov.pt")</f>
        <v>monumentos.gov.pt</v>
      </c>
      <c r="I102" s="305" t="s">
        <v>7478</v>
      </c>
      <c r="J102" s="280" t="str">
        <f>HYPERLINK("https://www.google.com/maps/search/Castelo%20de%20Alvor%20Algarve%20Portugal/@37.1309,-8.5941,17z","🏰 Castelo de Alvor")</f>
        <v>🏰 Castelo de Alvor</v>
      </c>
    </row>
    <row r="103" spans="1:10" ht="110" customHeight="1" x14ac:dyDescent="0.35">
      <c r="A103" s="348">
        <v>3</v>
      </c>
      <c r="B103" s="273" t="s">
        <v>7479</v>
      </c>
      <c r="C103" s="273" t="s">
        <v>7191</v>
      </c>
      <c r="D103" s="274" t="s">
        <v>767</v>
      </c>
      <c r="E103" s="273" t="s">
        <v>7480</v>
      </c>
      <c r="F103" s="273" t="s">
        <v>7193</v>
      </c>
      <c r="G103" s="273" t="s">
        <v>7194</v>
      </c>
      <c r="H103" s="273" t="str">
        <f>HYPERLINK("https://cm-silves.pt","cm-silves.pt")</f>
        <v>cm-silves.pt</v>
      </c>
      <c r="I103" s="304" t="s">
        <v>7481</v>
      </c>
      <c r="J103" s="275" t="str">
        <f>HYPERLINK("https://www.google.com/maps/search/Castelo%20de%20Silves%20Algarve%20Portugal/@37.1906,-8.4385,17z","🏰 Castelo de Silves")</f>
        <v>🏰 Castelo de Silves</v>
      </c>
    </row>
    <row r="104" spans="1:10" ht="110" customHeight="1" x14ac:dyDescent="0.35">
      <c r="A104" s="354">
        <v>4</v>
      </c>
      <c r="B104" s="277" t="s">
        <v>7479</v>
      </c>
      <c r="C104" s="277" t="s">
        <v>7482</v>
      </c>
      <c r="D104" s="278" t="s">
        <v>767</v>
      </c>
      <c r="E104" s="277" t="s">
        <v>7483</v>
      </c>
      <c r="F104" s="277" t="s">
        <v>7484</v>
      </c>
      <c r="G104" s="277" t="s">
        <v>7485</v>
      </c>
      <c r="H104" s="277" t="str">
        <f>HYPERLINK("https://cm-silves.pt","cm-silves.pt")</f>
        <v>cm-silves.pt</v>
      </c>
      <c r="I104" s="305" t="s">
        <v>7486</v>
      </c>
      <c r="J104" s="280" t="str">
        <f>HYPERLINK("https://www.google.com/maps/search/Castelo%20de%20Silves%20Algarve%20Portugal/@37.1901,-8.4381,17z","🏰 Castelo de Silves")</f>
        <v>🏰 Castelo de Silves</v>
      </c>
    </row>
    <row r="105" spans="1:10" ht="110" customHeight="1" x14ac:dyDescent="0.35">
      <c r="A105" s="348">
        <v>5</v>
      </c>
      <c r="B105" s="273" t="s">
        <v>7487</v>
      </c>
      <c r="C105" s="273" t="s">
        <v>7209</v>
      </c>
      <c r="D105" s="274" t="s">
        <v>767</v>
      </c>
      <c r="E105" s="273" t="s">
        <v>5247</v>
      </c>
      <c r="F105" s="273" t="s">
        <v>7488</v>
      </c>
      <c r="G105" s="273" t="s">
        <v>7489</v>
      </c>
      <c r="H105" s="273" t="str">
        <f>HYPERLINK("https://cm-tavira.pt","cm-tavira.pt")</f>
        <v>cm-tavira.pt</v>
      </c>
      <c r="I105" s="304" t="s">
        <v>7490</v>
      </c>
      <c r="J105" s="275" t="str">
        <f>HYPERLINK("https://www.google.com/maps/search/Castelo%20de%20Tavira%20Algarve%20Portugal/@37.1251,-7.6491,17z","🏰 Castelo de Tavira")</f>
        <v>🏰 Castelo de Tavira</v>
      </c>
    </row>
    <row r="106" spans="1:10" ht="110" customHeight="1" x14ac:dyDescent="0.35">
      <c r="A106" s="354">
        <v>6</v>
      </c>
      <c r="B106" s="277" t="s">
        <v>7491</v>
      </c>
      <c r="C106" s="277" t="s">
        <v>7209</v>
      </c>
      <c r="D106" s="278" t="s">
        <v>767</v>
      </c>
      <c r="E106" s="277" t="s">
        <v>7491</v>
      </c>
      <c r="F106" s="277" t="s">
        <v>7492</v>
      </c>
      <c r="G106" s="277" t="s">
        <v>7246</v>
      </c>
      <c r="H106" s="277" t="str">
        <f t="shared" ref="H106:H111" si="4">HYPERLINK("https://monumentos.gov.pt","monumentos.gov.pt")</f>
        <v>monumentos.gov.pt</v>
      </c>
      <c r="I106" s="305" t="s">
        <v>7493</v>
      </c>
      <c r="J106" s="280" t="str">
        <f>HYPERLINK("https://www.google.com/maps/search/Castelo%20de%20Castro%20Marim%20Algarve%20Portugal/@37.2191,-7.4441,17z","🏰 Castelo de Castro Marim")</f>
        <v>🏰 Castelo de Castro Marim</v>
      </c>
    </row>
    <row r="107" spans="1:10" ht="110" customHeight="1" x14ac:dyDescent="0.35">
      <c r="A107" s="348">
        <v>7</v>
      </c>
      <c r="B107" s="273" t="s">
        <v>7494</v>
      </c>
      <c r="C107" s="273" t="s">
        <v>7397</v>
      </c>
      <c r="D107" s="274" t="s">
        <v>767</v>
      </c>
      <c r="E107" s="273" t="s">
        <v>7495</v>
      </c>
      <c r="F107" s="273" t="s">
        <v>7496</v>
      </c>
      <c r="G107" s="273" t="s">
        <v>7374</v>
      </c>
      <c r="H107" s="273" t="str">
        <f t="shared" si="4"/>
        <v>monumentos.gov.pt</v>
      </c>
      <c r="I107" s="304" t="s">
        <v>7497</v>
      </c>
      <c r="J107" s="275" t="str">
        <f>HYPERLINK("https://www.google.com/maps/search/Fortaleza%20de%20Sagres%20Algarve%20Portugal/@37.0041,-8.9451,17z","🏰 Fortaleza de Sagres")</f>
        <v>🏰 Fortaleza de Sagres</v>
      </c>
    </row>
    <row r="108" spans="1:10" ht="110" customHeight="1" x14ac:dyDescent="0.35">
      <c r="A108" s="354">
        <v>8</v>
      </c>
      <c r="B108" s="277" t="s">
        <v>7498</v>
      </c>
      <c r="C108" s="277" t="s">
        <v>7220</v>
      </c>
      <c r="D108" s="278" t="s">
        <v>767</v>
      </c>
      <c r="E108" s="277" t="s">
        <v>7499</v>
      </c>
      <c r="F108" s="277" t="s">
        <v>7492</v>
      </c>
      <c r="G108" s="277" t="s">
        <v>7246</v>
      </c>
      <c r="H108" s="277" t="str">
        <f t="shared" si="4"/>
        <v>monumentos.gov.pt</v>
      </c>
      <c r="I108" s="305" t="s">
        <v>7500</v>
      </c>
      <c r="J108" s="280" t="str">
        <f>HYPERLINK("https://www.google.com/maps/search/Fortaleza%20de%20Alcoutim%20Algarve%20Portugal/@37.4731,-7.4701,17z","🏰 Fortaleza de Alcoutim")</f>
        <v>🏰 Fortaleza de Alcoutim</v>
      </c>
    </row>
    <row r="109" spans="1:10" ht="110" customHeight="1" x14ac:dyDescent="0.35">
      <c r="A109" s="348">
        <v>9</v>
      </c>
      <c r="B109" s="273" t="s">
        <v>7501</v>
      </c>
      <c r="C109" s="273" t="s">
        <v>7249</v>
      </c>
      <c r="D109" s="274" t="s">
        <v>767</v>
      </c>
      <c r="E109" s="273" t="s">
        <v>7502</v>
      </c>
      <c r="F109" s="273" t="s">
        <v>7217</v>
      </c>
      <c r="G109" s="273" t="s">
        <v>876</v>
      </c>
      <c r="H109" s="273" t="str">
        <f t="shared" si="4"/>
        <v>monumentos.gov.pt</v>
      </c>
      <c r="I109" s="304" t="s">
        <v>7503</v>
      </c>
      <c r="J109" s="275" t="str">
        <f>HYPERLINK("https://www.google.com/maps/search/Forte%20de%20Beliche%20%E2%80%94%20Sagres%20Algarve%20Portugal/@37.0251,-8.9921,17z","🏰 Forte de Beliche — Sagres")</f>
        <v>🏰 Forte de Beliche — Sagres</v>
      </c>
    </row>
    <row r="110" spans="1:10" ht="110" customHeight="1" x14ac:dyDescent="0.35">
      <c r="A110" s="354">
        <v>10</v>
      </c>
      <c r="B110" s="277" t="s">
        <v>7504</v>
      </c>
      <c r="C110" s="277" t="s">
        <v>7344</v>
      </c>
      <c r="D110" s="278" t="s">
        <v>767</v>
      </c>
      <c r="E110" s="277" t="s">
        <v>7505</v>
      </c>
      <c r="F110" s="277" t="s">
        <v>7217</v>
      </c>
      <c r="G110" s="277" t="s">
        <v>876</v>
      </c>
      <c r="H110" s="277" t="str">
        <f t="shared" si="4"/>
        <v>monumentos.gov.pt</v>
      </c>
      <c r="I110" s="305" t="s">
        <v>7506</v>
      </c>
      <c r="J110" s="280" t="str">
        <f>HYPERLINK("https://www.google.com/maps/search/Fortaleza%20de%20Arrifana%20Algarve%20Portugal/@37.2981,-8.8701,17z","🏰 Fortaleza de Arrifana")</f>
        <v>🏰 Fortaleza de Arrifana</v>
      </c>
    </row>
    <row r="111" spans="1:10" ht="110" customHeight="1" x14ac:dyDescent="0.35">
      <c r="A111" s="348">
        <v>11</v>
      </c>
      <c r="B111" s="273" t="s">
        <v>7507</v>
      </c>
      <c r="C111" s="273" t="s">
        <v>7209</v>
      </c>
      <c r="D111" s="274" t="s">
        <v>767</v>
      </c>
      <c r="E111" s="273" t="s">
        <v>7508</v>
      </c>
      <c r="F111" s="273" t="s">
        <v>7509</v>
      </c>
      <c r="G111" s="273" t="s">
        <v>7510</v>
      </c>
      <c r="H111" s="273" t="str">
        <f t="shared" si="4"/>
        <v>monumentos.gov.pt</v>
      </c>
      <c r="I111" s="304" t="s">
        <v>7511</v>
      </c>
      <c r="J111" s="275" t="str">
        <f>HYPERLINK("https://www.google.com/maps/search/Castelo%20de%20Loul%C3%A9%20Algarve%20Portugal/@37.1411,-8.0241,17z","🏰 Castelo de Loulé")</f>
        <v>🏰 Castelo de Loulé</v>
      </c>
    </row>
    <row r="112" spans="1:10" ht="22" customHeight="1" x14ac:dyDescent="0.35">
      <c r="A112" s="1369" t="s">
        <v>7512</v>
      </c>
      <c r="B112" s="1313"/>
      <c r="C112" s="1313"/>
      <c r="D112" s="1313"/>
      <c r="E112" s="1313"/>
      <c r="F112" s="1313"/>
      <c r="G112" s="1313"/>
      <c r="H112" s="1313"/>
      <c r="I112" s="1313"/>
    </row>
    <row r="113" spans="1:10" ht="110" customHeight="1" x14ac:dyDescent="0.35">
      <c r="A113" s="344">
        <v>1</v>
      </c>
      <c r="B113" s="281" t="s">
        <v>7513</v>
      </c>
      <c r="C113" s="281" t="s">
        <v>7249</v>
      </c>
      <c r="D113" s="282" t="s">
        <v>522</v>
      </c>
      <c r="E113" s="281" t="s">
        <v>3070</v>
      </c>
      <c r="F113" s="281" t="s">
        <v>7514</v>
      </c>
      <c r="G113" s="281" t="s">
        <v>7246</v>
      </c>
      <c r="H113" s="281" t="str">
        <f>HYPERLINK("https://monumentos.gov.pt","monumentos.gov.pt")</f>
        <v>monumentos.gov.pt</v>
      </c>
      <c r="I113" s="305" t="s">
        <v>7515</v>
      </c>
      <c r="J113" s="290" t="str">
        <f>HYPERLINK("https://www.google.com/maps/search/Forte%20de%20S%C3%A3o%20Br%C3%A1s%20%E2%80%94%20Ponta%20Delgada%20A%C3%A7ores%20Portugal/@37.7381,-25.6651,17z","🏰 Forte de São Brás — Ponta D…")</f>
        <v>🏰 Forte de São Brás — Ponta D…</v>
      </c>
    </row>
    <row r="114" spans="1:10" ht="110" customHeight="1" x14ac:dyDescent="0.35">
      <c r="A114" s="342">
        <v>2</v>
      </c>
      <c r="B114" s="284" t="s">
        <v>7516</v>
      </c>
      <c r="C114" s="284" t="s">
        <v>7249</v>
      </c>
      <c r="D114" s="367" t="s">
        <v>522</v>
      </c>
      <c r="E114" s="284" t="s">
        <v>7517</v>
      </c>
      <c r="F114" s="284" t="s">
        <v>7217</v>
      </c>
      <c r="G114" s="284" t="s">
        <v>876</v>
      </c>
      <c r="H114" s="284" t="str">
        <f>HYPERLINK("https://monumentos.gov.pt","monumentos.gov.pt")</f>
        <v>monumentos.gov.pt</v>
      </c>
      <c r="I114" s="304" t="s">
        <v>7518</v>
      </c>
      <c r="J114" s="364" t="str">
        <f>HYPERLINK("https://www.google.com/maps/search/Castelo%20de%20Angra%20do%20Hero%C3%ADsmo%20%E2%80%94%20Monte%20Brasil%20A%C3%A7ores%20Portugal/@38.6521,-27.2331,17z","🏰 Castelo de Angra do Heroísm…")</f>
        <v>🏰 Castelo de Angra do Heroísm…</v>
      </c>
    </row>
    <row r="115" spans="1:10" ht="110" customHeight="1" x14ac:dyDescent="0.35">
      <c r="A115" s="344">
        <v>3</v>
      </c>
      <c r="B115" s="281" t="s">
        <v>7519</v>
      </c>
      <c r="C115" s="281" t="s">
        <v>7249</v>
      </c>
      <c r="D115" s="282" t="s">
        <v>522</v>
      </c>
      <c r="E115" s="281" t="s">
        <v>1065</v>
      </c>
      <c r="F115" s="281" t="s">
        <v>7217</v>
      </c>
      <c r="G115" s="281" t="s">
        <v>7520</v>
      </c>
      <c r="H115" s="281" t="str">
        <f>HYPERLINK("https://monumentos.gov.pt","monumentos.gov.pt")</f>
        <v>monumentos.gov.pt</v>
      </c>
      <c r="I115" s="305" t="s">
        <v>7521</v>
      </c>
      <c r="J115" s="290" t="str">
        <f>HYPERLINK("https://www.google.com/maps/search/Forte%20de%20S%C3%A3o%20Sebasti%C3%A3o%20%E2%80%94%20Terceira%20A%C3%A7ores%20Portugal/@38.6571,-27.2151,17z","🏰 Forte de São Sebastião — Te…")</f>
        <v>🏰 Forte de São Sebastião — Te…</v>
      </c>
    </row>
    <row r="116" spans="1:10" ht="22" customHeight="1" x14ac:dyDescent="0.35">
      <c r="A116" s="1370" t="s">
        <v>871</v>
      </c>
      <c r="B116" s="1313"/>
      <c r="C116" s="1313"/>
      <c r="D116" s="1313"/>
      <c r="E116" s="1313"/>
      <c r="F116" s="1313"/>
      <c r="G116" s="1313"/>
      <c r="H116" s="1313"/>
      <c r="I116" s="1313"/>
    </row>
    <row r="117" spans="1:10" ht="110" customHeight="1" x14ac:dyDescent="0.35">
      <c r="A117" s="350">
        <v>1</v>
      </c>
      <c r="B117" s="251" t="s">
        <v>7522</v>
      </c>
      <c r="C117" s="251" t="s">
        <v>7344</v>
      </c>
      <c r="D117" s="252" t="s">
        <v>524</v>
      </c>
      <c r="E117" s="251" t="s">
        <v>7523</v>
      </c>
      <c r="F117" s="251" t="s">
        <v>7524</v>
      </c>
      <c r="G117" s="251" t="s">
        <v>7246</v>
      </c>
      <c r="H117" s="251" t="str">
        <f>HYPERLINK("https://monumentos.gov.pt","monumentos.gov.pt")</f>
        <v>monumentos.gov.pt</v>
      </c>
      <c r="I117" s="304" t="s">
        <v>7525</v>
      </c>
      <c r="J117" s="291" t="str">
        <f>HYPERLINK("https://www.google.com/maps/search/Forte%20de%20S%C3%A3o%20Tiago%20%E2%80%94%20Funchal%20Madeira%20Portugal/@32.6421,-16.8991,17z","🏰 Forte de São Tiago — Funchal")</f>
        <v>🏰 Forte de São Tiago — Funchal</v>
      </c>
    </row>
    <row r="118" spans="1:10" ht="110" customHeight="1" x14ac:dyDescent="0.35">
      <c r="A118" s="356">
        <v>2</v>
      </c>
      <c r="B118" s="254" t="s">
        <v>7526</v>
      </c>
      <c r="C118" s="254" t="s">
        <v>7344</v>
      </c>
      <c r="D118" s="255" t="s">
        <v>524</v>
      </c>
      <c r="E118" s="254" t="s">
        <v>7527</v>
      </c>
      <c r="F118" s="254" t="s">
        <v>7528</v>
      </c>
      <c r="G118" s="254" t="s">
        <v>7246</v>
      </c>
      <c r="H118" s="254" t="str">
        <f>HYPERLINK("https://monumentos.gov.pt","monumentos.gov.pt")</f>
        <v>monumentos.gov.pt</v>
      </c>
      <c r="I118" s="305" t="s">
        <v>7525</v>
      </c>
      <c r="J118" s="366" t="str">
        <f>HYPERLINK("https://www.google.com/maps/search/Fortaleza%20do%20Pico%20%E2%80%94%20Funchal%20Madeira%20Portugal/@32.6531,-16.9101,17z","🏰 Fortaleza do Pico — Funchal")</f>
        <v>🏰 Fortaleza do Pico — Funchal</v>
      </c>
    </row>
    <row r="119" spans="1:10" ht="110" customHeight="1" x14ac:dyDescent="0.35">
      <c r="A119" s="350">
        <v>3</v>
      </c>
      <c r="B119" s="251" t="s">
        <v>7529</v>
      </c>
      <c r="C119" s="251" t="s">
        <v>7344</v>
      </c>
      <c r="D119" s="252" t="s">
        <v>524</v>
      </c>
      <c r="E119" s="251" t="s">
        <v>7530</v>
      </c>
      <c r="F119" s="251" t="s">
        <v>7217</v>
      </c>
      <c r="G119" s="251" t="s">
        <v>876</v>
      </c>
      <c r="H119" s="251" t="str">
        <f>HYPERLINK("https://monumentos.gov.pt","monumentos.gov.pt")</f>
        <v>monumentos.gov.pt</v>
      </c>
      <c r="I119" s="304" t="s">
        <v>7531</v>
      </c>
      <c r="J119" s="291" t="str">
        <f>HYPERLINK("https://www.google.com/maps/search/Forte%20de%20S%C3%A3o%20Jo%C3%A3o%20Baptista%20%E2%80%94%20Porto%20Santo%20Madeira%20Portugal/@33.0601,-16.3401,17z","🏰 Forte de São João Baptista …")</f>
        <v>🏰 Forte de São João Baptista …</v>
      </c>
    </row>
    <row r="121" spans="1:10" x14ac:dyDescent="0.35">
      <c r="A121" s="1353" t="s">
        <v>7532</v>
      </c>
      <c r="B121" s="1354"/>
      <c r="C121" s="1354"/>
      <c r="D121" s="1354"/>
      <c r="E121" s="1354"/>
      <c r="F121" s="1354"/>
      <c r="G121" s="1354"/>
      <c r="H121" s="1354"/>
      <c r="I121" s="1354"/>
    </row>
  </sheetData>
  <mergeCells count="10">
    <mergeCell ref="A121:I121"/>
    <mergeCell ref="A116:I116"/>
    <mergeCell ref="A1:I1"/>
    <mergeCell ref="A4:I4"/>
    <mergeCell ref="A100:I100"/>
    <mergeCell ref="A29:I29"/>
    <mergeCell ref="A59:I59"/>
    <mergeCell ref="A112:I112"/>
    <mergeCell ref="A2:I2"/>
    <mergeCell ref="A68:I68"/>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95"/>
  <sheetViews>
    <sheetView workbookViewId="0">
      <pane ySplit="3" topLeftCell="A189" activePane="bottomLeft" state="frozen"/>
      <selection pane="bottomLeft" activeCell="I204" sqref="I204"/>
    </sheetView>
  </sheetViews>
  <sheetFormatPr defaultRowHeight="14.5" x14ac:dyDescent="0.35"/>
  <cols>
    <col min="1" max="1" width="4" customWidth="1"/>
    <col min="2" max="2" width="40" customWidth="1"/>
    <col min="3" max="3" width="12" customWidth="1"/>
    <col min="4" max="4" width="36" customWidth="1"/>
    <col min="5" max="5" width="14" customWidth="1"/>
    <col min="6" max="6" width="16" customWidth="1"/>
    <col min="7" max="7" width="22" customWidth="1"/>
    <col min="8" max="8" width="14" customWidth="1"/>
    <col min="9" max="9" width="52" customWidth="1"/>
    <col min="10" max="10" width="26" customWidth="1"/>
  </cols>
  <sheetData>
    <row r="1" spans="1:10" ht="32" customHeight="1" x14ac:dyDescent="0.35">
      <c r="A1" s="1476" t="s">
        <v>7533</v>
      </c>
      <c r="B1" s="1313"/>
      <c r="C1" s="1313"/>
      <c r="D1" s="1313"/>
      <c r="E1" s="1313"/>
      <c r="F1" s="1313"/>
      <c r="G1" s="1313"/>
      <c r="H1" s="1313"/>
      <c r="I1" s="1313"/>
      <c r="J1" s="1313"/>
    </row>
    <row r="2" spans="1:10" ht="16" customHeight="1" x14ac:dyDescent="0.35">
      <c r="A2" s="1365" t="s">
        <v>7534</v>
      </c>
      <c r="B2" s="1313"/>
      <c r="C2" s="1313"/>
      <c r="D2" s="1313"/>
      <c r="E2" s="1313"/>
      <c r="F2" s="1313"/>
      <c r="G2" s="1313"/>
      <c r="H2" s="1313"/>
      <c r="I2" s="1313"/>
      <c r="J2" s="1313"/>
    </row>
    <row r="3" spans="1:10" ht="24" customHeight="1" x14ac:dyDescent="0.35">
      <c r="A3" s="238" t="s">
        <v>141</v>
      </c>
      <c r="B3" s="238" t="s">
        <v>785</v>
      </c>
      <c r="C3" s="238" t="s">
        <v>619</v>
      </c>
      <c r="D3" s="238" t="s">
        <v>16417</v>
      </c>
      <c r="E3" s="238" t="s">
        <v>906</v>
      </c>
      <c r="F3" s="238" t="s">
        <v>8764</v>
      </c>
      <c r="G3" s="238" t="s">
        <v>909</v>
      </c>
      <c r="H3" s="238" t="s">
        <v>788</v>
      </c>
      <c r="I3" s="303" t="s">
        <v>8</v>
      </c>
      <c r="J3" s="238" t="s">
        <v>789</v>
      </c>
    </row>
    <row r="4" spans="1:10" ht="22" customHeight="1" x14ac:dyDescent="0.35">
      <c r="A4" s="1479" t="s">
        <v>7535</v>
      </c>
      <c r="B4" s="1313"/>
      <c r="C4" s="1313"/>
      <c r="D4" s="1313"/>
      <c r="E4" s="1313"/>
      <c r="F4" s="1313"/>
      <c r="G4" s="1313"/>
      <c r="H4" s="1313"/>
      <c r="I4" s="1313"/>
      <c r="J4" s="1313"/>
    </row>
    <row r="5" spans="1:10" ht="110" customHeight="1" x14ac:dyDescent="0.35">
      <c r="A5" s="338">
        <v>1</v>
      </c>
      <c r="B5" s="239" t="s">
        <v>7536</v>
      </c>
      <c r="C5" s="239" t="s">
        <v>792</v>
      </c>
      <c r="D5" s="240" t="s">
        <v>3082</v>
      </c>
      <c r="E5" s="239" t="s">
        <v>7537</v>
      </c>
      <c r="F5" s="239" t="s">
        <v>7538</v>
      </c>
      <c r="G5" s="239" t="s">
        <v>7539</v>
      </c>
      <c r="H5" s="239" t="s">
        <v>7540</v>
      </c>
      <c r="I5" s="304" t="s">
        <v>7541</v>
      </c>
      <c r="J5" s="257" t="str">
        <f>HYPERLINK("https://www.google.com/maps/search/Pal%C3%A1cio%20da%20Bolsa%20Porto%20Portugal/@41.1415,-8.6157,17z","🏛 Palácio da Bolsa")</f>
        <v>🏛 Palácio da Bolsa</v>
      </c>
    </row>
    <row r="6" spans="1:10" ht="110" customHeight="1" x14ac:dyDescent="0.35">
      <c r="A6" s="336">
        <v>2</v>
      </c>
      <c r="B6" s="242" t="s">
        <v>7542</v>
      </c>
      <c r="C6" s="242" t="s">
        <v>792</v>
      </c>
      <c r="D6" s="243" t="s">
        <v>3082</v>
      </c>
      <c r="E6" s="242" t="s">
        <v>7543</v>
      </c>
      <c r="F6" s="242" t="s">
        <v>7544</v>
      </c>
      <c r="G6" s="242" t="s">
        <v>7545</v>
      </c>
      <c r="H6" s="242" t="s">
        <v>876</v>
      </c>
      <c r="I6" s="305" t="s">
        <v>7546</v>
      </c>
      <c r="J6" s="258" t="str">
        <f>HYPERLINK("https://www.google.com/maps/search/Pal%C3%A1cio%20do%20Freixo%20Porto%20Portugal/@41.1428,-8.5752,17z","🏛 Palácio do Freixo")</f>
        <v>🏛 Palácio do Freixo</v>
      </c>
    </row>
    <row r="7" spans="1:10" ht="110" customHeight="1" x14ac:dyDescent="0.35">
      <c r="A7" s="338">
        <v>3</v>
      </c>
      <c r="B7" s="239" t="s">
        <v>7547</v>
      </c>
      <c r="C7" s="239" t="s">
        <v>792</v>
      </c>
      <c r="D7" s="240" t="s">
        <v>3082</v>
      </c>
      <c r="E7" s="239" t="s">
        <v>7548</v>
      </c>
      <c r="F7" s="239" t="s">
        <v>7549</v>
      </c>
      <c r="G7" s="239" t="s">
        <v>7550</v>
      </c>
      <c r="H7" s="239" t="s">
        <v>7551</v>
      </c>
      <c r="I7" s="304" t="s">
        <v>7552</v>
      </c>
      <c r="J7" s="257" t="str">
        <f>HYPERLINK("https://www.google.com/maps/search/Pa%C3%A7o%20Episcopal%20do%20Porto%20Portugal/@41.1428,-8.6111,17z","🏛 Paço Episcopal do Porto")</f>
        <v>🏛 Paço Episcopal do Porto</v>
      </c>
    </row>
    <row r="8" spans="1:10" ht="110" customHeight="1" x14ac:dyDescent="0.35">
      <c r="A8" s="336">
        <v>4</v>
      </c>
      <c r="B8" s="242" t="s">
        <v>7553</v>
      </c>
      <c r="C8" s="242" t="s">
        <v>792</v>
      </c>
      <c r="D8" s="243" t="s">
        <v>3082</v>
      </c>
      <c r="E8" s="242" t="s">
        <v>7554</v>
      </c>
      <c r="F8" s="242" t="s">
        <v>6942</v>
      </c>
      <c r="G8" s="242" t="s">
        <v>7555</v>
      </c>
      <c r="H8" s="242" t="s">
        <v>876</v>
      </c>
      <c r="I8" s="305" t="s">
        <v>7556</v>
      </c>
      <c r="J8" s="258" t="str">
        <f>HYPERLINK("https://www.google.com/maps/search/Pal%C3%A1cio%20de%20Cristal%20%28Jardins%29%20Porto%20Portugal/@41.1469,-8.6256,17z","🏛 Palácio de Cristal (Jardins)")</f>
        <v>🏛 Palácio de Cristal (Jardins)</v>
      </c>
    </row>
    <row r="9" spans="1:10" ht="110" customHeight="1" x14ac:dyDescent="0.35">
      <c r="A9" s="338">
        <v>5</v>
      </c>
      <c r="B9" s="239" t="s">
        <v>7557</v>
      </c>
      <c r="C9" s="239" t="s">
        <v>792</v>
      </c>
      <c r="D9" s="240" t="s">
        <v>3082</v>
      </c>
      <c r="E9" s="239" t="s">
        <v>7558</v>
      </c>
      <c r="F9" s="239" t="s">
        <v>7559</v>
      </c>
      <c r="G9" s="239" t="s">
        <v>7560</v>
      </c>
      <c r="H9" s="239" t="s">
        <v>876</v>
      </c>
      <c r="I9" s="304" t="s">
        <v>7561</v>
      </c>
      <c r="J9" s="257" t="str">
        <f>HYPERLINK("https://www.google.com/maps/search/Palacete%20Visconde%20de%20Vilar%20d%27Allen%20Porto%20Portugal/@41.1558,-8.6415,17z","🏛 Palacete Visconde de Vilar …")</f>
        <v>🏛 Palacete Visconde de Vilar …</v>
      </c>
    </row>
    <row r="10" spans="1:10" ht="110" customHeight="1" x14ac:dyDescent="0.35">
      <c r="A10" s="336">
        <v>6</v>
      </c>
      <c r="B10" s="242" t="s">
        <v>7562</v>
      </c>
      <c r="C10" s="242" t="s">
        <v>792</v>
      </c>
      <c r="D10" s="243" t="s">
        <v>3082</v>
      </c>
      <c r="E10" s="242" t="s">
        <v>7563</v>
      </c>
      <c r="F10" s="242" t="s">
        <v>7564</v>
      </c>
      <c r="G10" s="242" t="s">
        <v>7565</v>
      </c>
      <c r="H10" s="242" t="s">
        <v>3096</v>
      </c>
      <c r="I10" s="305" t="s">
        <v>7566</v>
      </c>
      <c r="J10" s="258" t="str">
        <f>HYPERLINK("https://www.google.com/maps/search/Pal%C3%A1cio%20de%20S%C3%A3o%20Jo%C3%A3o%20Novo%20Porto%20Portugal/@41.1419,-8.6186,17z","🏛 Palácio de São João Novo")</f>
        <v>🏛 Palácio de São João Novo</v>
      </c>
    </row>
    <row r="11" spans="1:10" ht="110" customHeight="1" x14ac:dyDescent="0.35">
      <c r="A11" s="338">
        <v>7</v>
      </c>
      <c r="B11" s="239" t="s">
        <v>7567</v>
      </c>
      <c r="C11" s="239" t="s">
        <v>792</v>
      </c>
      <c r="D11" s="240" t="s">
        <v>7568</v>
      </c>
      <c r="E11" s="239" t="s">
        <v>7569</v>
      </c>
      <c r="F11" s="239" t="s">
        <v>7570</v>
      </c>
      <c r="G11" s="239" t="s">
        <v>7571</v>
      </c>
      <c r="H11" s="239" t="s">
        <v>876</v>
      </c>
      <c r="I11" s="321" t="s">
        <v>7572</v>
      </c>
      <c r="J11" s="257" t="str">
        <f>HYPERLINK("https://www.google.com/maps/search/Solar%20dos%20Condes%20de%20Resende%20Porto/Gaia%20Portugal/@41.0847,-8.5997,17z","🏛 Solar dos Condes de Resende")</f>
        <v>🏛 Solar dos Condes de Resende</v>
      </c>
    </row>
    <row r="12" spans="1:10" ht="110" customHeight="1" x14ac:dyDescent="0.35">
      <c r="A12" s="336">
        <v>8</v>
      </c>
      <c r="B12" s="242" t="s">
        <v>7573</v>
      </c>
      <c r="C12" s="242" t="s">
        <v>792</v>
      </c>
      <c r="D12" s="243" t="s">
        <v>3082</v>
      </c>
      <c r="E12" s="242" t="s">
        <v>7574</v>
      </c>
      <c r="F12" s="242" t="s">
        <v>7575</v>
      </c>
      <c r="G12" s="242" t="s">
        <v>7576</v>
      </c>
      <c r="H12" s="242" t="s">
        <v>7577</v>
      </c>
      <c r="I12" s="305" t="s">
        <v>7578</v>
      </c>
      <c r="J12" s="258" t="str">
        <f>HYPERLINK("https://www.google.com/maps/search/Palacete%20Pinto%20Leite%20Porto%20Portugal/@41.1495,-8.6231,17z","🏛 Palacete Pinto Leite")</f>
        <v>🏛 Palacete Pinto Leite</v>
      </c>
    </row>
    <row r="13" spans="1:10" ht="110" customHeight="1" x14ac:dyDescent="0.35">
      <c r="A13" s="338">
        <v>9</v>
      </c>
      <c r="B13" s="239" t="s">
        <v>7579</v>
      </c>
      <c r="C13" s="239" t="s">
        <v>792</v>
      </c>
      <c r="D13" s="240" t="s">
        <v>1791</v>
      </c>
      <c r="E13" s="239" t="s">
        <v>7580</v>
      </c>
      <c r="F13" s="239" t="s">
        <v>7581</v>
      </c>
      <c r="G13" s="239" t="s">
        <v>7560</v>
      </c>
      <c r="H13" s="239" t="s">
        <v>7551</v>
      </c>
      <c r="I13" s="304" t="s">
        <v>7582</v>
      </c>
      <c r="J13" s="257" t="str">
        <f>HYPERLINK("https://www.google.com/maps/search/Pal%C3%A1cio%20dos%20Duques%20de%20Bragan%C3%A7a%20Guimar%C3%A3es%20Portugal/@41.4475,-8.2911,17z","🏛 Palácio dos Duques de Braga…")</f>
        <v>🏛 Palácio dos Duques de Braga…</v>
      </c>
    </row>
    <row r="14" spans="1:10" ht="110" customHeight="1" x14ac:dyDescent="0.35">
      <c r="A14" s="336">
        <v>10</v>
      </c>
      <c r="B14" s="242" t="s">
        <v>7583</v>
      </c>
      <c r="C14" s="242" t="s">
        <v>792</v>
      </c>
      <c r="D14" s="243" t="s">
        <v>1552</v>
      </c>
      <c r="E14" s="242" t="s">
        <v>7584</v>
      </c>
      <c r="F14" s="242" t="s">
        <v>7585</v>
      </c>
      <c r="G14" s="242" t="s">
        <v>7586</v>
      </c>
      <c r="H14" s="242" t="s">
        <v>7587</v>
      </c>
      <c r="I14" s="305" t="s">
        <v>7588</v>
      </c>
      <c r="J14" s="258" t="str">
        <f>HYPERLINK("https://www.google.com/maps/search/Pal%C3%A1cio%20do%20Raio%20Braga%20Portugal/@41.5492,-8.4216,17z","🏛 Palácio do Raio")</f>
        <v>🏛 Palácio do Raio</v>
      </c>
    </row>
    <row r="15" spans="1:10" ht="110" customHeight="1" x14ac:dyDescent="0.35">
      <c r="A15" s="338">
        <v>11</v>
      </c>
      <c r="B15" s="239" t="s">
        <v>7589</v>
      </c>
      <c r="C15" s="239" t="s">
        <v>792</v>
      </c>
      <c r="D15" s="240" t="s">
        <v>1552</v>
      </c>
      <c r="E15" s="239" t="s">
        <v>7590</v>
      </c>
      <c r="F15" s="239" t="s">
        <v>7591</v>
      </c>
      <c r="G15" s="239" t="s">
        <v>7592</v>
      </c>
      <c r="H15" s="239" t="s">
        <v>7587</v>
      </c>
      <c r="I15" s="304" t="s">
        <v>7593</v>
      </c>
      <c r="J15" s="257" t="str">
        <f>HYPERLINK("https://www.google.com/maps/search/Pal%C3%A1cio%20dos%20Biscainhos%20Braga%20Portugal/@41.5511,-8.4294,17z","🏛 Palácio dos Biscainhos")</f>
        <v>🏛 Palácio dos Biscainhos</v>
      </c>
    </row>
    <row r="16" spans="1:10" ht="110" customHeight="1" x14ac:dyDescent="0.35">
      <c r="A16" s="336">
        <v>12</v>
      </c>
      <c r="B16" s="242" t="s">
        <v>7594</v>
      </c>
      <c r="C16" s="242" t="s">
        <v>792</v>
      </c>
      <c r="D16" s="243" t="s">
        <v>1791</v>
      </c>
      <c r="E16" s="242" t="s">
        <v>7595</v>
      </c>
      <c r="F16" s="242" t="s">
        <v>7596</v>
      </c>
      <c r="G16" s="242" t="s">
        <v>7597</v>
      </c>
      <c r="H16" s="242" t="s">
        <v>7598</v>
      </c>
      <c r="I16" s="305" t="s">
        <v>7599</v>
      </c>
      <c r="J16" s="258" t="str">
        <f>HYPERLINK("https://www.google.com/maps/search/Pal%C3%A1cio%20de%20Vila%20Flor%20Guimar%C3%A3es%20Portugal/@41.4387,-8.2974,17z","🏛 Palácio de Vila Flor")</f>
        <v>🏛 Palácio de Vila Flor</v>
      </c>
    </row>
    <row r="17" spans="1:10" ht="110" customHeight="1" x14ac:dyDescent="0.35">
      <c r="A17" s="338">
        <v>13</v>
      </c>
      <c r="B17" s="239" t="s">
        <v>7600</v>
      </c>
      <c r="C17" s="239" t="s">
        <v>792</v>
      </c>
      <c r="D17" s="240" t="s">
        <v>1552</v>
      </c>
      <c r="E17" s="239" t="s">
        <v>7601</v>
      </c>
      <c r="F17" s="239" t="s">
        <v>7602</v>
      </c>
      <c r="G17" s="239" t="s">
        <v>7603</v>
      </c>
      <c r="H17" s="239" t="s">
        <v>876</v>
      </c>
      <c r="I17" s="304" t="s">
        <v>7604</v>
      </c>
      <c r="J17" s="257" t="str">
        <f>HYPERLINK("https://www.google.com/maps/search/Pa%C3%A7o%20Arquiepiscopal%20de%20Braga%20Portugal/@41.5505,-8.4271,17z","🏛 Paço Arquiepiscopal de Braga")</f>
        <v>🏛 Paço Arquiepiscopal de Braga</v>
      </c>
    </row>
    <row r="18" spans="1:10" ht="110" customHeight="1" x14ac:dyDescent="0.35">
      <c r="A18" s="336">
        <v>14</v>
      </c>
      <c r="B18" s="242" t="s">
        <v>7605</v>
      </c>
      <c r="C18" s="242" t="s">
        <v>792</v>
      </c>
      <c r="D18" s="243" t="s">
        <v>1552</v>
      </c>
      <c r="E18" s="242" t="s">
        <v>7606</v>
      </c>
      <c r="F18" s="242" t="s">
        <v>5484</v>
      </c>
      <c r="G18" s="242" t="s">
        <v>7565</v>
      </c>
      <c r="H18" s="242" t="s">
        <v>3096</v>
      </c>
      <c r="I18" s="322" t="s">
        <v>7607</v>
      </c>
      <c r="J18" s="258" t="str">
        <f>HYPERLINK("https://www.google.com/maps/search/Palacete%20Dona%20Chica%20Braga%20Portugal/@41.5878,-8.4286,17z","🏛 Palacete Dona Chica")</f>
        <v>🏛 Palacete Dona Chica</v>
      </c>
    </row>
    <row r="19" spans="1:10" ht="110" customHeight="1" x14ac:dyDescent="0.35">
      <c r="A19" s="338">
        <v>15</v>
      </c>
      <c r="B19" s="239" t="s">
        <v>7608</v>
      </c>
      <c r="C19" s="239" t="s">
        <v>792</v>
      </c>
      <c r="D19" s="240" t="s">
        <v>1864</v>
      </c>
      <c r="E19" s="239" t="s">
        <v>7609</v>
      </c>
      <c r="F19" s="239" t="s">
        <v>7610</v>
      </c>
      <c r="G19" s="239" t="s">
        <v>7560</v>
      </c>
      <c r="H19" s="239" t="s">
        <v>7587</v>
      </c>
      <c r="I19" s="304" t="s">
        <v>7611</v>
      </c>
      <c r="J19" s="257" t="str">
        <f>HYPERLINK("https://www.google.com/maps/search/Pa%C3%A7o%20de%20Giela%20Arcos%20de%20Valdevez%20Portugal/@41.8488,-8.4069,17z","🏛 Paço de Giela")</f>
        <v>🏛 Paço de Giela</v>
      </c>
    </row>
    <row r="20" spans="1:10" ht="110" customHeight="1" x14ac:dyDescent="0.35">
      <c r="A20" s="336">
        <v>16</v>
      </c>
      <c r="B20" s="242" t="s">
        <v>7612</v>
      </c>
      <c r="C20" s="242" t="s">
        <v>792</v>
      </c>
      <c r="D20" s="243" t="s">
        <v>5479</v>
      </c>
      <c r="E20" s="242" t="s">
        <v>7613</v>
      </c>
      <c r="F20" s="242" t="s">
        <v>7614</v>
      </c>
      <c r="G20" s="242" t="s">
        <v>7550</v>
      </c>
      <c r="H20" s="242" t="s">
        <v>7615</v>
      </c>
      <c r="I20" s="305" t="s">
        <v>7616</v>
      </c>
      <c r="J20" s="258" t="str">
        <f>HYPERLINK("https://www.google.com/maps/search/Pal%C3%A1cio%20da%20Brejoeira%20Mon%C3%A7%C3%A3o%20Portugal/@42.0416,-8.4831,17z","🏛 Palácio da Brejoeira")</f>
        <v>🏛 Palácio da Brejoeira</v>
      </c>
    </row>
    <row r="21" spans="1:10" ht="110" customHeight="1" x14ac:dyDescent="0.35">
      <c r="A21" s="338">
        <v>17</v>
      </c>
      <c r="B21" s="239" t="s">
        <v>7617</v>
      </c>
      <c r="C21" s="239" t="s">
        <v>792</v>
      </c>
      <c r="D21" s="240" t="s">
        <v>1149</v>
      </c>
      <c r="E21" s="239" t="s">
        <v>7618</v>
      </c>
      <c r="F21" s="239" t="s">
        <v>7619</v>
      </c>
      <c r="G21" s="239" t="s">
        <v>7620</v>
      </c>
      <c r="H21" s="239" t="s">
        <v>7577</v>
      </c>
      <c r="I21" s="304" t="s">
        <v>7621</v>
      </c>
      <c r="J21" s="257" t="str">
        <f>HYPERLINK("https://www.google.com/maps/search/Pa%C3%A7o%20de%20Lanheses%20Viana%20do%20Castelo%20Portugal/@41.7336,-8.6756,17z","🏛 Paço de Lanheses")</f>
        <v>🏛 Paço de Lanheses</v>
      </c>
    </row>
    <row r="22" spans="1:10" ht="110" customHeight="1" x14ac:dyDescent="0.35">
      <c r="A22" s="336">
        <v>18</v>
      </c>
      <c r="B22" s="242" t="s">
        <v>7622</v>
      </c>
      <c r="C22" s="242" t="s">
        <v>792</v>
      </c>
      <c r="D22" s="243" t="s">
        <v>1985</v>
      </c>
      <c r="E22" s="242" t="s">
        <v>7623</v>
      </c>
      <c r="F22" s="242" t="s">
        <v>7624</v>
      </c>
      <c r="G22" s="242" t="s">
        <v>7625</v>
      </c>
      <c r="H22" s="242" t="s">
        <v>7626</v>
      </c>
      <c r="I22" s="322" t="s">
        <v>7627</v>
      </c>
      <c r="J22" s="258" t="str">
        <f>HYPERLINK("https://www.google.com/maps/search/Pa%C3%A7o%20de%20Calheiros%20Ponte%20de%20Lima%20Portugal/@41.8021,-8.5471,17z","🏛 Paço de Calheiros")</f>
        <v>🏛 Paço de Calheiros</v>
      </c>
    </row>
    <row r="23" spans="1:10" ht="110" customHeight="1" x14ac:dyDescent="0.35">
      <c r="A23" s="338">
        <v>19</v>
      </c>
      <c r="B23" s="239" t="s">
        <v>7628</v>
      </c>
      <c r="C23" s="239" t="s">
        <v>792</v>
      </c>
      <c r="D23" s="240" t="s">
        <v>1149</v>
      </c>
      <c r="E23" s="239" t="s">
        <v>7629</v>
      </c>
      <c r="F23" s="239" t="s">
        <v>7630</v>
      </c>
      <c r="G23" s="239" t="s">
        <v>7576</v>
      </c>
      <c r="H23" s="239" t="s">
        <v>3096</v>
      </c>
      <c r="I23" s="304" t="s">
        <v>7631</v>
      </c>
      <c r="J23" s="257" t="str">
        <f>HYPERLINK("https://www.google.com/maps/search/Casa%20do%20Ameal%20Viana%20do%20Castelo%20Portugal/@41.6961,-8.8219,17z","🏛 Casa do Ameal")</f>
        <v>🏛 Casa do Ameal</v>
      </c>
    </row>
    <row r="24" spans="1:10" ht="110" customHeight="1" x14ac:dyDescent="0.35">
      <c r="A24" s="336">
        <v>20</v>
      </c>
      <c r="B24" s="242" t="s">
        <v>7632</v>
      </c>
      <c r="C24" s="242" t="s">
        <v>792</v>
      </c>
      <c r="D24" s="243" t="s">
        <v>1985</v>
      </c>
      <c r="E24" s="242" t="s">
        <v>7633</v>
      </c>
      <c r="F24" s="242" t="s">
        <v>7634</v>
      </c>
      <c r="G24" s="242" t="s">
        <v>7635</v>
      </c>
      <c r="H24" s="242" t="s">
        <v>876</v>
      </c>
      <c r="I24" s="305" t="s">
        <v>7636</v>
      </c>
      <c r="J24" s="258" t="str">
        <f>HYPERLINK("https://www.google.com/maps/search/Solar%20de%20Bertiandos%20Ponte%20de%20Lima%20Portugal/@41.7611,-8.6319,17z","🏛 Solar de Bertiandos")</f>
        <v>🏛 Solar de Bertiandos</v>
      </c>
    </row>
    <row r="25" spans="1:10" ht="110" customHeight="1" x14ac:dyDescent="0.35">
      <c r="A25" s="338">
        <v>21</v>
      </c>
      <c r="B25" s="239" t="s">
        <v>7637</v>
      </c>
      <c r="C25" s="239" t="s">
        <v>792</v>
      </c>
      <c r="D25" s="240" t="s">
        <v>5578</v>
      </c>
      <c r="E25" s="239" t="s">
        <v>6928</v>
      </c>
      <c r="F25" s="239" t="s">
        <v>6929</v>
      </c>
      <c r="G25" s="239" t="s">
        <v>7550</v>
      </c>
      <c r="H25" s="239" t="s">
        <v>7638</v>
      </c>
      <c r="I25" s="321" t="s">
        <v>7639</v>
      </c>
      <c r="J25" s="257" t="str">
        <f>HYPERLINK("https://www.google.com/maps/search/Pal%C3%A1cio%20de%20Mateus%20Vila%20Real%20Portugal/@41.2968,-7.7121,17z","🏛 Palácio de Mateus")</f>
        <v>🏛 Palácio de Mateus</v>
      </c>
    </row>
    <row r="26" spans="1:10" ht="110" customHeight="1" x14ac:dyDescent="0.35">
      <c r="A26" s="336">
        <v>22</v>
      </c>
      <c r="B26" s="242" t="s">
        <v>7640</v>
      </c>
      <c r="C26" s="242" t="s">
        <v>792</v>
      </c>
      <c r="D26" s="243" t="s">
        <v>1964</v>
      </c>
      <c r="E26" s="242" t="s">
        <v>7641</v>
      </c>
      <c r="F26" s="242" t="s">
        <v>6968</v>
      </c>
      <c r="G26" s="242" t="s">
        <v>7642</v>
      </c>
      <c r="H26" s="242" t="s">
        <v>876</v>
      </c>
      <c r="I26" s="322" t="s">
        <v>7643</v>
      </c>
      <c r="J26" s="258" t="str">
        <f>HYPERLINK("https://www.google.com/maps/search/Vidago%20Palace%20Chaves%20Portugal/@41.6386,-7.5739,17z","🏛 Vidago Palace")</f>
        <v>🏛 Vidago Palace</v>
      </c>
    </row>
    <row r="27" spans="1:10" ht="110" customHeight="1" x14ac:dyDescent="0.35">
      <c r="A27" s="338">
        <v>23</v>
      </c>
      <c r="B27" s="239" t="s">
        <v>7644</v>
      </c>
      <c r="C27" s="239" t="s">
        <v>792</v>
      </c>
      <c r="D27" s="240" t="s">
        <v>1184</v>
      </c>
      <c r="E27" s="239" t="s">
        <v>7645</v>
      </c>
      <c r="F27" s="239" t="s">
        <v>7646</v>
      </c>
      <c r="G27" s="239" t="s">
        <v>7647</v>
      </c>
      <c r="H27" s="239" t="s">
        <v>3096</v>
      </c>
      <c r="I27" s="304" t="s">
        <v>7648</v>
      </c>
      <c r="J27" s="257" t="str">
        <f>HYPERLINK("https://www.google.com/maps/search/Casa%20da%20Cal%C3%A7ada%20Amarante%20Portugal/@41.2683,-8.0781,17z","🏛 Casa da Calçada")</f>
        <v>🏛 Casa da Calçada</v>
      </c>
    </row>
    <row r="28" spans="1:10" ht="110" customHeight="1" x14ac:dyDescent="0.35">
      <c r="A28" s="336">
        <v>24</v>
      </c>
      <c r="B28" s="242" t="s">
        <v>7649</v>
      </c>
      <c r="C28" s="242" t="s">
        <v>792</v>
      </c>
      <c r="D28" s="243" t="s">
        <v>7019</v>
      </c>
      <c r="E28" s="242" t="s">
        <v>7650</v>
      </c>
      <c r="F28" s="242" t="s">
        <v>7020</v>
      </c>
      <c r="G28" s="242" t="s">
        <v>7560</v>
      </c>
      <c r="H28" s="242" t="s">
        <v>7651</v>
      </c>
      <c r="I28" s="305" t="s">
        <v>7652</v>
      </c>
      <c r="J28" s="258" t="str">
        <f>HYPERLINK("https://www.google.com/maps/search/Casa%20de%20Santar%20Nelas%20Portugal/@40.5695,-7.9286,17z","🏛 Casa de Santar")</f>
        <v>🏛 Casa de Santar</v>
      </c>
    </row>
    <row r="29" spans="1:10" ht="110" customHeight="1" x14ac:dyDescent="0.35">
      <c r="A29" s="338">
        <v>25</v>
      </c>
      <c r="B29" s="239" t="s">
        <v>7653</v>
      </c>
      <c r="C29" s="239" t="s">
        <v>792</v>
      </c>
      <c r="D29" s="240" t="s">
        <v>1928</v>
      </c>
      <c r="E29" s="239" t="s">
        <v>7654</v>
      </c>
      <c r="F29" s="239" t="s">
        <v>7655</v>
      </c>
      <c r="G29" s="239" t="s">
        <v>7565</v>
      </c>
      <c r="H29" s="239" t="s">
        <v>3096</v>
      </c>
      <c r="I29" s="304" t="s">
        <v>7656</v>
      </c>
      <c r="J29" s="257" t="str">
        <f>HYPERLINK("https://www.google.com/maps/search/Solar%20dos%20Pintos%20%28Marco%29%20Marco%20de%20Canaveses%20Portugal/@41.1895,-8.1512,17z","🏛 Solar dos Pintos (Marco)")</f>
        <v>🏛 Solar dos Pintos (Marco)</v>
      </c>
    </row>
    <row r="30" spans="1:10" ht="110" customHeight="1" x14ac:dyDescent="0.35">
      <c r="A30" s="336">
        <v>26</v>
      </c>
      <c r="B30" s="242" t="s">
        <v>7657</v>
      </c>
      <c r="C30" s="242" t="s">
        <v>792</v>
      </c>
      <c r="D30" s="243" t="s">
        <v>1932</v>
      </c>
      <c r="E30" s="242" t="s">
        <v>7658</v>
      </c>
      <c r="F30" s="242" t="s">
        <v>7659</v>
      </c>
      <c r="G30" s="242" t="s">
        <v>7565</v>
      </c>
      <c r="H30" s="242" t="s">
        <v>3096</v>
      </c>
      <c r="I30" s="322" t="s">
        <v>7660</v>
      </c>
      <c r="J30" s="258" t="str">
        <f>HYPERLINK("https://www.google.com/maps/search/Solar%20de%20Pancas%20Mes%C3%A3o%20Frio%20Portugal/@41.1611,-7.8894,17z","🏛 Solar de Pancas")</f>
        <v>🏛 Solar de Pancas</v>
      </c>
    </row>
    <row r="31" spans="1:10" ht="110" customHeight="1" x14ac:dyDescent="0.35">
      <c r="A31" s="338">
        <v>27</v>
      </c>
      <c r="B31" s="239" t="s">
        <v>7661</v>
      </c>
      <c r="C31" s="239" t="s">
        <v>792</v>
      </c>
      <c r="D31" s="240" t="s">
        <v>1860</v>
      </c>
      <c r="E31" s="239" t="s">
        <v>7662</v>
      </c>
      <c r="F31" s="239" t="s">
        <v>7663</v>
      </c>
      <c r="G31" s="239" t="s">
        <v>7664</v>
      </c>
      <c r="H31" s="239" t="s">
        <v>876</v>
      </c>
      <c r="I31" s="321" t="s">
        <v>7665</v>
      </c>
      <c r="J31" s="257" t="str">
        <f>HYPERLINK("https://www.google.com/maps/search/Palacete%20de%20Alij%C3%B3%20%E2%80%94%20Pousada%20Forrester%20Portugal/@41.2753,-7.4744,17z","🏛 Palacete de Alijó — Pousada…")</f>
        <v>🏛 Palacete de Alijó — Pousada…</v>
      </c>
    </row>
    <row r="32" spans="1:10" ht="110" customHeight="1" x14ac:dyDescent="0.35">
      <c r="A32" s="336">
        <v>28</v>
      </c>
      <c r="B32" s="242" t="s">
        <v>7666</v>
      </c>
      <c r="C32" s="242" t="s">
        <v>792</v>
      </c>
      <c r="D32" s="243" t="s">
        <v>1976</v>
      </c>
      <c r="E32" s="242" t="s">
        <v>7667</v>
      </c>
      <c r="F32" s="242" t="s">
        <v>7668</v>
      </c>
      <c r="G32" s="242" t="s">
        <v>7669</v>
      </c>
      <c r="H32" s="242" t="s">
        <v>3096</v>
      </c>
      <c r="I32" s="322" t="s">
        <v>7670</v>
      </c>
      <c r="J32" s="258" t="str">
        <f>HYPERLINK("https://www.google.com/maps/search/Pa%C3%A7o%20de%20Vilar%20de%20Perdizes%20Montalegre%20Portugal/@41.8415,-7.6325,17z","🏛 Paço de Vilar de Perdizes")</f>
        <v>🏛 Paço de Vilar de Perdizes</v>
      </c>
    </row>
    <row r="33" spans="1:10" ht="110" customHeight="1" x14ac:dyDescent="0.35">
      <c r="A33" s="338">
        <v>29</v>
      </c>
      <c r="B33" s="239" t="s">
        <v>7671</v>
      </c>
      <c r="C33" s="239" t="s">
        <v>792</v>
      </c>
      <c r="D33" s="240" t="s">
        <v>1784</v>
      </c>
      <c r="E33" s="239" t="s">
        <v>7672</v>
      </c>
      <c r="F33" s="239" t="s">
        <v>7673</v>
      </c>
      <c r="G33" s="239" t="s">
        <v>7674</v>
      </c>
      <c r="H33" s="239" t="s">
        <v>876</v>
      </c>
      <c r="I33" s="304" t="s">
        <v>7675</v>
      </c>
      <c r="J33" s="257" t="str">
        <f>HYPERLINK("https://www.google.com/maps/search/Solar%20dos%20Condes%20de%20Bragan%C3%A7a%20%28Cidadela%29%20Portugal/@41.8038,-6.7491,17z","🏛 Solar dos Condes de Braganç…")</f>
        <v>🏛 Solar dos Condes de Braganç…</v>
      </c>
    </row>
    <row r="34" spans="1:10" ht="110" customHeight="1" x14ac:dyDescent="0.35">
      <c r="A34" s="336">
        <v>30</v>
      </c>
      <c r="B34" s="242" t="s">
        <v>7676</v>
      </c>
      <c r="C34" s="242" t="s">
        <v>836</v>
      </c>
      <c r="D34" s="243" t="s">
        <v>5497</v>
      </c>
      <c r="E34" s="242" t="s">
        <v>7677</v>
      </c>
      <c r="F34" s="242" t="s">
        <v>7678</v>
      </c>
      <c r="G34" s="242" t="s">
        <v>7679</v>
      </c>
      <c r="H34" s="242" t="s">
        <v>7651</v>
      </c>
      <c r="I34" s="305" t="s">
        <v>7680</v>
      </c>
      <c r="J34" s="258" t="str">
        <f>HYPERLINK("https://www.google.com/maps/search/Pa%C3%A7o%20das%20Escolas%20%E2%80%94%20Universidade%20de%20Coimbra%20Portugal/@40.2074,-8.4265,17z","🏛 Paço das Escolas — Universi…")</f>
        <v>🏛 Paço das Escolas — Universi…</v>
      </c>
    </row>
    <row r="35" spans="1:10" ht="110" customHeight="1" x14ac:dyDescent="0.35">
      <c r="A35" s="338">
        <v>31</v>
      </c>
      <c r="B35" s="239" t="s">
        <v>7681</v>
      </c>
      <c r="C35" s="239" t="s">
        <v>836</v>
      </c>
      <c r="D35" s="240" t="s">
        <v>7682</v>
      </c>
      <c r="E35" s="239" t="s">
        <v>7683</v>
      </c>
      <c r="F35" s="239" t="s">
        <v>7684</v>
      </c>
      <c r="G35" s="239" t="s">
        <v>7685</v>
      </c>
      <c r="H35" s="239" t="s">
        <v>7686</v>
      </c>
      <c r="I35" s="304" t="s">
        <v>7687</v>
      </c>
      <c r="J35" s="257" t="str">
        <f>HYPERLINK("https://www.google.com/maps/search/Pal%C3%A1cio%20de%20Bu%C3%A7aco%20%28Palace%20Hotel%29%20Luso%20Portugal/@40.3756,-8.3653,17z","🏛 Palácio de Buçaco (Palace H…")</f>
        <v>🏛 Palácio de Buçaco (Palace H…</v>
      </c>
    </row>
    <row r="36" spans="1:10" ht="110" customHeight="1" x14ac:dyDescent="0.35">
      <c r="A36" s="336">
        <v>32</v>
      </c>
      <c r="B36" s="242" t="s">
        <v>7688</v>
      </c>
      <c r="C36" s="242" t="s">
        <v>836</v>
      </c>
      <c r="D36" s="243" t="s">
        <v>7331</v>
      </c>
      <c r="E36" s="242" t="s">
        <v>7689</v>
      </c>
      <c r="F36" s="242" t="s">
        <v>7690</v>
      </c>
      <c r="G36" s="242" t="s">
        <v>7691</v>
      </c>
      <c r="H36" s="242" t="s">
        <v>7551</v>
      </c>
      <c r="I36" s="305" t="s">
        <v>7692</v>
      </c>
      <c r="J36" s="258" t="str">
        <f>HYPERLINK("https://www.google.com/maps/search/Pal%C3%A1cio%20de%20Sotto%20Maior%20%28Belle%20%C3%89poque%29%20Figueira%20da%20Foz%20Portugal/@40.1554,-8.8622,17z","🏛 Palácio de Sotto Maior (Bel…")</f>
        <v>🏛 Palácio de Sotto Maior (Bel…</v>
      </c>
    </row>
    <row r="37" spans="1:10" ht="110" customHeight="1" x14ac:dyDescent="0.35">
      <c r="A37" s="338">
        <v>33</v>
      </c>
      <c r="B37" s="239" t="s">
        <v>7693</v>
      </c>
      <c r="C37" s="239" t="s">
        <v>836</v>
      </c>
      <c r="D37" s="240" t="s">
        <v>7331</v>
      </c>
      <c r="E37" s="239" t="s">
        <v>7694</v>
      </c>
      <c r="F37" s="239" t="s">
        <v>7695</v>
      </c>
      <c r="G37" s="239" t="s">
        <v>7620</v>
      </c>
      <c r="H37" s="239" t="s">
        <v>7696</v>
      </c>
      <c r="I37" s="304" t="s">
        <v>7697</v>
      </c>
      <c r="J37" s="257" t="str">
        <f>HYPERLINK("https://www.google.com/maps/search/Pa%C3%A7o%20de%20Maiorca%20Figueira%20da%20Foz%20Portugal/@40.1658,-8.7511,17z","🏛 Paço de Maiorca")</f>
        <v>🏛 Paço de Maiorca</v>
      </c>
    </row>
    <row r="38" spans="1:10" ht="110" customHeight="1" x14ac:dyDescent="0.35">
      <c r="A38" s="336">
        <v>34</v>
      </c>
      <c r="B38" s="242" t="s">
        <v>7698</v>
      </c>
      <c r="C38" s="242" t="s">
        <v>836</v>
      </c>
      <c r="D38" s="243" t="s">
        <v>7002</v>
      </c>
      <c r="E38" s="242" t="s">
        <v>7699</v>
      </c>
      <c r="F38" s="242" t="s">
        <v>7700</v>
      </c>
      <c r="G38" s="242" t="s">
        <v>7560</v>
      </c>
      <c r="H38" s="242" t="s">
        <v>7701</v>
      </c>
      <c r="I38" s="305" t="s">
        <v>7702</v>
      </c>
      <c r="J38" s="258" t="str">
        <f>HYPERLINK("https://www.google.com/maps/search/Pal%C3%A1cio%20dos%20Condes%20de%20Anadia%20Mangualde%20Portugal/@40.6053,-7.7631,17z","🏛 Palácio dos Condes de Anadia")</f>
        <v>🏛 Palácio dos Condes de Anadia</v>
      </c>
    </row>
    <row r="39" spans="1:10" ht="110" customHeight="1" x14ac:dyDescent="0.35">
      <c r="A39" s="338">
        <v>35</v>
      </c>
      <c r="B39" s="239" t="s">
        <v>7703</v>
      </c>
      <c r="C39" s="239" t="s">
        <v>836</v>
      </c>
      <c r="D39" s="240" t="s">
        <v>7019</v>
      </c>
      <c r="E39" s="239" t="s">
        <v>7704</v>
      </c>
      <c r="F39" s="239" t="s">
        <v>7705</v>
      </c>
      <c r="G39" s="239" t="s">
        <v>7560</v>
      </c>
      <c r="H39" s="239" t="s">
        <v>7651</v>
      </c>
      <c r="I39" s="304" t="s">
        <v>7706</v>
      </c>
      <c r="J39" s="257" t="str">
        <f>HYPERLINK("https://www.google.com/maps/search/Pa%C3%A7o%20dos%20Cunhas%20%28Santar%29%20Nelas%20Portugal/@40.5695,-7.9286,17z","🏛 Paço dos Cunhas (Santar)")</f>
        <v>🏛 Paço dos Cunhas (Santar)</v>
      </c>
    </row>
    <row r="40" spans="1:10" ht="110" customHeight="1" x14ac:dyDescent="0.35">
      <c r="A40" s="336">
        <v>36</v>
      </c>
      <c r="B40" s="242" t="s">
        <v>7707</v>
      </c>
      <c r="C40" s="242" t="s">
        <v>836</v>
      </c>
      <c r="D40" s="243" t="s">
        <v>950</v>
      </c>
      <c r="E40" s="242" t="s">
        <v>7708</v>
      </c>
      <c r="F40" s="242" t="s">
        <v>7709</v>
      </c>
      <c r="G40" s="242" t="s">
        <v>7550</v>
      </c>
      <c r="H40" s="242" t="s">
        <v>876</v>
      </c>
      <c r="I40" s="322" t="s">
        <v>7710</v>
      </c>
      <c r="J40" s="258" t="str">
        <f>HYPERLINK("https://www.google.com/maps/search/Solar%20do%20Vinho%20do%20D%C3%A3o%20%E2%80%94%20Antigo%20Pa%C3%A7o%20Episcopal%20Viseu%20Portugal/@40.6631,-7.9122,17z","🏛 Solar do Vinho do Dão — Ant…")</f>
        <v>🏛 Solar do Vinho do Dão — Ant…</v>
      </c>
    </row>
    <row r="41" spans="1:10" ht="110" customHeight="1" x14ac:dyDescent="0.35">
      <c r="A41" s="338">
        <v>37</v>
      </c>
      <c r="B41" s="239" t="s">
        <v>7711</v>
      </c>
      <c r="C41" s="239" t="s">
        <v>836</v>
      </c>
      <c r="D41" s="240" t="s">
        <v>7712</v>
      </c>
      <c r="E41" s="239" t="s">
        <v>7713</v>
      </c>
      <c r="F41" s="239" t="s">
        <v>7714</v>
      </c>
      <c r="G41" s="239" t="s">
        <v>7715</v>
      </c>
      <c r="H41" s="239" t="s">
        <v>7551</v>
      </c>
      <c r="I41" s="304" t="s">
        <v>7716</v>
      </c>
      <c r="J41" s="257" t="str">
        <f>HYPERLINK("https://www.google.com/maps/search/Casa%20da%20%C3%8Dnsua%20Penalva%20do%20Castelo%20Portugal/@40.6744,-7.7011,17z","🏛 Casa da Ínsua")</f>
        <v>🏛 Casa da Ínsua</v>
      </c>
    </row>
    <row r="42" spans="1:10" ht="110" customHeight="1" x14ac:dyDescent="0.35">
      <c r="A42" s="336">
        <v>38</v>
      </c>
      <c r="B42" s="242" t="s">
        <v>7717</v>
      </c>
      <c r="C42" s="242" t="s">
        <v>913</v>
      </c>
      <c r="D42" s="243" t="s">
        <v>7718</v>
      </c>
      <c r="E42" s="242" t="s">
        <v>7719</v>
      </c>
      <c r="F42" s="242" t="s">
        <v>7720</v>
      </c>
      <c r="G42" s="242" t="s">
        <v>7721</v>
      </c>
      <c r="H42" s="242" t="s">
        <v>7722</v>
      </c>
      <c r="I42" s="305" t="s">
        <v>7723</v>
      </c>
      <c r="J42" s="258" t="str">
        <f>HYPERLINK("https://www.google.com/maps/search/Pal%C3%A1cio%20Nacional%20de%20Mafra%20Portugal/@38.9369,-9.333,17z","🏛 Palácio Nacional de Mafra")</f>
        <v>🏛 Palácio Nacional de Mafra</v>
      </c>
    </row>
    <row r="43" spans="1:10" ht="110" customHeight="1" x14ac:dyDescent="0.35">
      <c r="A43" s="338">
        <v>39</v>
      </c>
      <c r="B43" s="239" t="s">
        <v>7724</v>
      </c>
      <c r="C43" s="239" t="s">
        <v>836</v>
      </c>
      <c r="D43" s="240" t="s">
        <v>7725</v>
      </c>
      <c r="E43" s="239" t="s">
        <v>7289</v>
      </c>
      <c r="F43" s="239" t="s">
        <v>7726</v>
      </c>
      <c r="G43" s="239" t="s">
        <v>7560</v>
      </c>
      <c r="H43" s="239" t="s">
        <v>7727</v>
      </c>
      <c r="I43" s="304" t="s">
        <v>7728</v>
      </c>
      <c r="J43" s="257" t="str">
        <f>HYPERLINK("https://www.google.com/maps/search/Pal%C3%A1cio%20dos%20Governadores%20%28Castelo%20de%20Leiria%29%20Portugal/@39.7475,-8.8083,17z","🏛 Palácio dos Governadores (C…")</f>
        <v>🏛 Palácio dos Governadores (C…</v>
      </c>
    </row>
    <row r="44" spans="1:10" ht="110" customHeight="1" x14ac:dyDescent="0.35">
      <c r="A44" s="336">
        <v>40</v>
      </c>
      <c r="B44" s="242" t="s">
        <v>7729</v>
      </c>
      <c r="C44" s="242" t="s">
        <v>836</v>
      </c>
      <c r="D44" s="243" t="s">
        <v>1113</v>
      </c>
      <c r="E44" s="242" t="s">
        <v>7730</v>
      </c>
      <c r="F44" s="242" t="s">
        <v>7731</v>
      </c>
      <c r="G44" s="242" t="s">
        <v>7732</v>
      </c>
      <c r="H44" s="242" t="s">
        <v>876</v>
      </c>
      <c r="I44" s="305" t="s">
        <v>7733</v>
      </c>
      <c r="J44" s="258" t="str">
        <f>HYPERLINK("https://www.google.com/maps/search/Pal%C3%A1cio%20da%20Vila%20de%20%C3%93bidos%20%28Pousada%29%20Portugal/@39.3648,-9.1572,17z","🏛 Palácio da Vila de Óbidos (…")</f>
        <v>🏛 Palácio da Vila de Óbidos (…</v>
      </c>
    </row>
    <row r="45" spans="1:10" ht="110" customHeight="1" x14ac:dyDescent="0.35">
      <c r="A45" s="338">
        <v>41</v>
      </c>
      <c r="B45" s="239" t="s">
        <v>7734</v>
      </c>
      <c r="C45" s="239" t="s">
        <v>836</v>
      </c>
      <c r="D45" s="240" t="s">
        <v>7735</v>
      </c>
      <c r="E45" s="239" t="s">
        <v>7736</v>
      </c>
      <c r="F45" s="239" t="s">
        <v>7737</v>
      </c>
      <c r="G45" s="239" t="s">
        <v>7597</v>
      </c>
      <c r="H45" s="239" t="s">
        <v>7722</v>
      </c>
      <c r="I45" s="304" t="s">
        <v>7738</v>
      </c>
      <c r="J45" s="257" t="str">
        <f>HYPERLINK("https://www.google.com/maps/search/Pal%C3%A1cio%20da%20Vista%20Alegre%20%C3%8Dlhavo%20Portugal/@40.5894,-8.6833,17z","🏛 Palácio da Vista Alegre")</f>
        <v>🏛 Palácio da Vista Alegre</v>
      </c>
    </row>
    <row r="46" spans="1:10" ht="110" customHeight="1" x14ac:dyDescent="0.35">
      <c r="A46" s="336">
        <v>42</v>
      </c>
      <c r="B46" s="242" t="s">
        <v>7739</v>
      </c>
      <c r="C46" s="242" t="s">
        <v>836</v>
      </c>
      <c r="D46" s="243" t="s">
        <v>7331</v>
      </c>
      <c r="E46" s="242" t="s">
        <v>7740</v>
      </c>
      <c r="F46" s="242" t="s">
        <v>7741</v>
      </c>
      <c r="G46" s="242" t="s">
        <v>7742</v>
      </c>
      <c r="H46" s="242" t="s">
        <v>7587</v>
      </c>
      <c r="I46" s="305" t="s">
        <v>7743</v>
      </c>
      <c r="J46" s="258" t="str">
        <f>HYPERLINK("https://www.google.com/maps/search/Casa%20do%20Pa%C3%A7o%20%28Azulejos%20de%20Delft%29%20Figueira%20da%20Foz%20Portugal/@40.1492,-8.8583,17z","🏛 Casa do Paço (Azulejos de D…")</f>
        <v>🏛 Casa do Paço (Azulejos de D…</v>
      </c>
    </row>
    <row r="47" spans="1:10" ht="110" customHeight="1" x14ac:dyDescent="0.35">
      <c r="A47" s="338">
        <v>43</v>
      </c>
      <c r="B47" s="239" t="s">
        <v>7744</v>
      </c>
      <c r="C47" s="239" t="s">
        <v>836</v>
      </c>
      <c r="D47" s="240" t="s">
        <v>2096</v>
      </c>
      <c r="E47" s="239" t="s">
        <v>7745</v>
      </c>
      <c r="F47" s="239" t="s">
        <v>7746</v>
      </c>
      <c r="G47" s="239" t="s">
        <v>7560</v>
      </c>
      <c r="H47" s="239" t="s">
        <v>7587</v>
      </c>
      <c r="I47" s="304" t="s">
        <v>7747</v>
      </c>
      <c r="J47" s="257" t="str">
        <f>HYPERLINK("https://www.google.com/maps/search/Solar%20dos%20Pintos%20%28Gouveia%29%20Portugal/@40.4925,-7.5931,17z","🏛 Solar dos Pintos (Gouveia)")</f>
        <v>🏛 Solar dos Pintos (Gouveia)</v>
      </c>
    </row>
    <row r="48" spans="1:10" ht="110" customHeight="1" x14ac:dyDescent="0.35">
      <c r="A48" s="336">
        <v>44</v>
      </c>
      <c r="B48" s="242" t="s">
        <v>7748</v>
      </c>
      <c r="C48" s="242" t="s">
        <v>836</v>
      </c>
      <c r="D48" s="243" t="s">
        <v>1713</v>
      </c>
      <c r="E48" s="242" t="s">
        <v>6989</v>
      </c>
      <c r="F48" s="242" t="s">
        <v>7749</v>
      </c>
      <c r="G48" s="242" t="s">
        <v>7679</v>
      </c>
      <c r="H48" s="242" t="s">
        <v>7750</v>
      </c>
      <c r="I48" s="305" t="s">
        <v>7751</v>
      </c>
      <c r="J48" s="258" t="str">
        <f>HYPERLINK("https://www.google.com/maps/search/Pa%C3%A7o%20Episcopal%20de%20Castelo%20Branco%20%28Jardins%29%20Portugal/@39.8286,-7.4914,17z","🏛 Paço Episcopal de Castelo B…")</f>
        <v>🏛 Paço Episcopal de Castelo B…</v>
      </c>
    </row>
    <row r="49" spans="1:10" ht="110" customHeight="1" x14ac:dyDescent="0.35">
      <c r="A49" s="338">
        <v>45</v>
      </c>
      <c r="B49" s="239" t="s">
        <v>7752</v>
      </c>
      <c r="C49" s="239" t="s">
        <v>836</v>
      </c>
      <c r="D49" s="240" t="s">
        <v>1264</v>
      </c>
      <c r="E49" s="239" t="s">
        <v>7753</v>
      </c>
      <c r="F49" s="239" t="s">
        <v>7754</v>
      </c>
      <c r="G49" s="239" t="s">
        <v>7755</v>
      </c>
      <c r="H49" s="239" t="s">
        <v>7576</v>
      </c>
      <c r="I49" s="321" t="s">
        <v>7756</v>
      </c>
      <c r="J49" s="257" t="str">
        <f>HYPERLINK("https://www.google.com/maps/search/Pal%C3%A1cio%20da%20Borralha%20%C3%81gueda%20Portugal/@40.5714,-8.4411,17z","🏛 Palácio da Borralha")</f>
        <v>🏛 Palácio da Borralha</v>
      </c>
    </row>
    <row r="50" spans="1:10" ht="110" customHeight="1" x14ac:dyDescent="0.35">
      <c r="A50" s="336">
        <v>46</v>
      </c>
      <c r="B50" s="242" t="s">
        <v>7018</v>
      </c>
      <c r="C50" s="242" t="s">
        <v>836</v>
      </c>
      <c r="D50" s="243" t="s">
        <v>7019</v>
      </c>
      <c r="E50" s="242" t="s">
        <v>7650</v>
      </c>
      <c r="F50" s="242" t="s">
        <v>7020</v>
      </c>
      <c r="G50" s="242" t="s">
        <v>7560</v>
      </c>
      <c r="H50" s="242" t="s">
        <v>7757</v>
      </c>
      <c r="I50" s="305" t="s">
        <v>7021</v>
      </c>
      <c r="J50" s="258" t="str">
        <f>HYPERLINK("https://www.google.com/maps/search/Jardim%20de%20Santar%20Nelas%20Portugal/@40.5725,-7.8931,17z","🏛 Jardim de Santar")</f>
        <v>🏛 Jardim de Santar</v>
      </c>
    </row>
    <row r="51" spans="1:10" ht="110" customHeight="1" x14ac:dyDescent="0.35">
      <c r="A51" s="338">
        <v>47</v>
      </c>
      <c r="B51" s="239" t="s">
        <v>7758</v>
      </c>
      <c r="C51" s="239" t="s">
        <v>836</v>
      </c>
      <c r="D51" s="240" t="s">
        <v>5706</v>
      </c>
      <c r="E51" s="239" t="s">
        <v>7759</v>
      </c>
      <c r="F51" s="239" t="s">
        <v>7760</v>
      </c>
      <c r="G51" s="239" t="s">
        <v>7761</v>
      </c>
      <c r="H51" s="239" t="s">
        <v>876</v>
      </c>
      <c r="I51" s="321" t="s">
        <v>7762</v>
      </c>
      <c r="J51" s="257" t="str">
        <f>HYPERLINK("https://www.google.com/maps/search/Pa%C3%A7o%20do%20Bispo%20%28Sert%C3%A3%29%20Portugal/@39.8166,-8.1884,17z","🏛 Paço do Bispo (Sertã)")</f>
        <v>🏛 Paço do Bispo (Sertã)</v>
      </c>
    </row>
    <row r="52" spans="1:10" ht="110" customHeight="1" x14ac:dyDescent="0.35">
      <c r="A52" s="336">
        <v>48</v>
      </c>
      <c r="B52" s="242" t="s">
        <v>7763</v>
      </c>
      <c r="C52" s="242" t="s">
        <v>836</v>
      </c>
      <c r="D52" s="243" t="s">
        <v>2091</v>
      </c>
      <c r="E52" s="242" t="s">
        <v>7764</v>
      </c>
      <c r="F52" s="242" t="s">
        <v>7765</v>
      </c>
      <c r="G52" s="242" t="s">
        <v>7576</v>
      </c>
      <c r="H52" s="242" t="s">
        <v>3096</v>
      </c>
      <c r="I52" s="305" t="s">
        <v>7766</v>
      </c>
      <c r="J52" s="258" t="str">
        <f>HYPERLINK("https://www.google.com/maps/search/Casa%20da%20Cerca%20%28Alpedrinha%29%20Fund%C3%A3o%20Portugal/@40.1008,-7.4691,17z","🏛 Casa da Cerca (Alpedrinha)")</f>
        <v>🏛 Casa da Cerca (Alpedrinha)</v>
      </c>
    </row>
    <row r="53" spans="1:10" ht="110" customHeight="1" x14ac:dyDescent="0.35">
      <c r="A53" s="338">
        <v>49</v>
      </c>
      <c r="B53" s="239" t="s">
        <v>7767</v>
      </c>
      <c r="C53" s="239" t="s">
        <v>853</v>
      </c>
      <c r="D53" s="240" t="s">
        <v>1412</v>
      </c>
      <c r="E53" s="239" t="s">
        <v>7768</v>
      </c>
      <c r="F53" s="239" t="s">
        <v>7769</v>
      </c>
      <c r="G53" s="239" t="s">
        <v>7770</v>
      </c>
      <c r="H53" s="239" t="s">
        <v>7771</v>
      </c>
      <c r="I53" s="304" t="s">
        <v>7772</v>
      </c>
      <c r="J53" s="257" t="str">
        <f>HYPERLINK("https://www.google.com/maps/search/Pa%C3%A7o%20Ducal%20de%20Vila%20Vi%C3%A7osa%20%C3%89vora%20Portugal/@38.7836,-7.4216,17z","🏛 Paço Ducal de Vila Viçosa")</f>
        <v>🏛 Paço Ducal de Vila Viçosa</v>
      </c>
    </row>
    <row r="54" spans="1:10" ht="110" customHeight="1" x14ac:dyDescent="0.35">
      <c r="A54" s="336">
        <v>50</v>
      </c>
      <c r="B54" s="242" t="s">
        <v>7773</v>
      </c>
      <c r="C54" s="242" t="s">
        <v>853</v>
      </c>
      <c r="D54" s="243" t="s">
        <v>1412</v>
      </c>
      <c r="E54" s="242" t="s">
        <v>7774</v>
      </c>
      <c r="F54" s="242" t="s">
        <v>7775</v>
      </c>
      <c r="G54" s="242" t="s">
        <v>7560</v>
      </c>
      <c r="H54" s="242" t="s">
        <v>7776</v>
      </c>
      <c r="I54" s="305" t="s">
        <v>7777</v>
      </c>
      <c r="J54" s="258" t="str">
        <f>HYPERLINK("https://www.google.com/maps/search/Pa%C3%A7o%20de%20S%C3%A3o%20Miguel%20%28%C3%89vora%29%20Portugal/@38.5728,-7.9056,17z","🏛 Paço de São Miguel (Évora)")</f>
        <v>🏛 Paço de São Miguel (Évora)</v>
      </c>
    </row>
    <row r="55" spans="1:10" ht="110" customHeight="1" x14ac:dyDescent="0.35">
      <c r="A55" s="338">
        <v>51</v>
      </c>
      <c r="B55" s="239" t="s">
        <v>7778</v>
      </c>
      <c r="C55" s="239" t="s">
        <v>853</v>
      </c>
      <c r="D55" s="240" t="s">
        <v>1412</v>
      </c>
      <c r="E55" s="239" t="s">
        <v>7779</v>
      </c>
      <c r="F55" s="239" t="s">
        <v>7780</v>
      </c>
      <c r="G55" s="239" t="s">
        <v>7560</v>
      </c>
      <c r="H55" s="239" t="s">
        <v>7781</v>
      </c>
      <c r="I55" s="304" t="s">
        <v>7782</v>
      </c>
      <c r="J55" s="257" t="str">
        <f>HYPERLINK("https://www.google.com/maps/search/Pal%C3%A1cio%20Cadaval%20%28%C3%89vora%29%20Portugal/@38.5724,-7.9071,17z","🏛 Palácio Cadaval (Évora)")</f>
        <v>🏛 Palácio Cadaval (Évora)</v>
      </c>
    </row>
    <row r="56" spans="1:10" ht="110" customHeight="1" x14ac:dyDescent="0.35">
      <c r="A56" s="336">
        <v>52</v>
      </c>
      <c r="B56" s="242" t="s">
        <v>7783</v>
      </c>
      <c r="C56" s="242" t="s">
        <v>853</v>
      </c>
      <c r="D56" s="243" t="s">
        <v>1412</v>
      </c>
      <c r="E56" s="242" t="s">
        <v>7081</v>
      </c>
      <c r="F56" s="242" t="s">
        <v>7784</v>
      </c>
      <c r="G56" s="242" t="s">
        <v>7721</v>
      </c>
      <c r="H56" s="242" t="s">
        <v>876</v>
      </c>
      <c r="I56" s="305" t="s">
        <v>7785</v>
      </c>
      <c r="J56" s="258" t="str">
        <f>HYPERLINK("https://www.google.com/maps/search/Pal%C3%A1cio%20de%20D.%20Manuel%20I%20%E2%80%94%20Galeria%20das%20Damas%20%C3%89vora%20Portugal/@38.5678,-7.9094,17z","🏛 Palácio de D. Manuel I — Ga…")</f>
        <v>🏛 Palácio de D. Manuel I — Ga…</v>
      </c>
    </row>
    <row r="57" spans="1:10" ht="110" customHeight="1" x14ac:dyDescent="0.35">
      <c r="A57" s="338">
        <v>53</v>
      </c>
      <c r="B57" s="239" t="s">
        <v>7786</v>
      </c>
      <c r="C57" s="239" t="s">
        <v>853</v>
      </c>
      <c r="D57" s="240" t="s">
        <v>2538</v>
      </c>
      <c r="E57" s="239" t="s">
        <v>7787</v>
      </c>
      <c r="F57" s="239" t="s">
        <v>7788</v>
      </c>
      <c r="G57" s="239" t="s">
        <v>7789</v>
      </c>
      <c r="H57" s="239" t="s">
        <v>876</v>
      </c>
      <c r="I57" s="304" t="s">
        <v>7790</v>
      </c>
      <c r="J57" s="257" t="str">
        <f>HYPERLINK("https://www.google.com/maps/search/Pal%C3%A1cio%20Amarelo%20Portalegre%20Portugal/@39.2905,-7.4322,17z","🏛 Palácio Amarelo")</f>
        <v>🏛 Palácio Amarelo</v>
      </c>
    </row>
    <row r="58" spans="1:10" ht="110" customHeight="1" x14ac:dyDescent="0.35">
      <c r="A58" s="336">
        <v>54</v>
      </c>
      <c r="B58" s="242" t="s">
        <v>7791</v>
      </c>
      <c r="C58" s="242" t="s">
        <v>853</v>
      </c>
      <c r="D58" s="243" t="s">
        <v>7792</v>
      </c>
      <c r="E58" s="242" t="s">
        <v>7793</v>
      </c>
      <c r="F58" s="242" t="s">
        <v>7794</v>
      </c>
      <c r="G58" s="242" t="s">
        <v>7674</v>
      </c>
      <c r="H58" s="242" t="s">
        <v>876</v>
      </c>
      <c r="I58" s="305" t="s">
        <v>7795</v>
      </c>
      <c r="J58" s="258" t="str">
        <f>HYPERLINK("https://www.google.com/maps/search/Pal%C3%A1cio%20de%20Elvas%20%28Pa%C3%A7os%20do%20Concelho%29%20Portugal/@38.8814,-7.1642,17z","🏛 Palácio de Elvas (Paços do …")</f>
        <v>🏛 Palácio de Elvas (Paços do …</v>
      </c>
    </row>
    <row r="59" spans="1:10" ht="110" customHeight="1" x14ac:dyDescent="0.35">
      <c r="A59" s="338">
        <v>55</v>
      </c>
      <c r="B59" s="239" t="s">
        <v>7796</v>
      </c>
      <c r="C59" s="239" t="s">
        <v>853</v>
      </c>
      <c r="D59" s="240" t="s">
        <v>5660</v>
      </c>
      <c r="E59" s="239" t="s">
        <v>7797</v>
      </c>
      <c r="F59" s="239" t="s">
        <v>5484</v>
      </c>
      <c r="G59" s="239" t="s">
        <v>7565</v>
      </c>
      <c r="H59" s="239" t="s">
        <v>3096</v>
      </c>
      <c r="I59" s="304" t="s">
        <v>7798</v>
      </c>
      <c r="J59" s="257" t="str">
        <f>HYPERLINK("https://www.google.com/maps/search/Pal%C3%A1cio%20dos%20Condes%20de%20Alter%20Alter%20do%20Ch%C3%A3o%20Portugal/@39.1989,-7.6586,17z","🏛 Palácio dos Condes de Alter")</f>
        <v>🏛 Palácio dos Condes de Alter</v>
      </c>
    </row>
    <row r="60" spans="1:10" ht="110" customHeight="1" x14ac:dyDescent="0.35">
      <c r="A60" s="336">
        <v>56</v>
      </c>
      <c r="B60" s="242" t="s">
        <v>7799</v>
      </c>
      <c r="C60" s="242" t="s">
        <v>853</v>
      </c>
      <c r="D60" s="243" t="s">
        <v>5660</v>
      </c>
      <c r="E60" s="242" t="s">
        <v>7797</v>
      </c>
      <c r="F60" s="242" t="s">
        <v>7094</v>
      </c>
      <c r="G60" s="242" t="s">
        <v>7800</v>
      </c>
      <c r="H60" s="242" t="s">
        <v>876</v>
      </c>
      <c r="I60" s="305" t="s">
        <v>7801</v>
      </c>
      <c r="J60" s="258" t="str">
        <f>HYPERLINK("https://www.google.com/maps/search/Pal%C3%A1cio%20%C3%81lamo%20%E2%80%94%20Biblioteca%20Alter%20do%20Ch%C3%A3o%20Portugal/@39.1986,-7.6583,17z","🏛 Palácio Álamo — Biblioteca")</f>
        <v>🏛 Palácio Álamo — Biblioteca</v>
      </c>
    </row>
    <row r="61" spans="1:10" ht="110" customHeight="1" x14ac:dyDescent="0.35">
      <c r="A61" s="338">
        <v>57</v>
      </c>
      <c r="B61" s="239" t="s">
        <v>7802</v>
      </c>
      <c r="C61" s="239" t="s">
        <v>853</v>
      </c>
      <c r="D61" s="240" t="s">
        <v>1233</v>
      </c>
      <c r="E61" s="239" t="s">
        <v>7803</v>
      </c>
      <c r="F61" s="239" t="s">
        <v>7804</v>
      </c>
      <c r="G61" s="239" t="s">
        <v>7805</v>
      </c>
      <c r="H61" s="239" t="s">
        <v>876</v>
      </c>
      <c r="I61" s="304" t="s">
        <v>7806</v>
      </c>
      <c r="J61" s="257" t="str">
        <f>HYPERLINK("https://www.google.com/maps/search/Pa%C3%A7o%20de%20Alvito%20%28Pousada%29%20Beja%20Portugal/@38.2561,-7.9944,17z","🏛 Paço de Alvito (Pousada)")</f>
        <v>🏛 Paço de Alvito (Pousada)</v>
      </c>
    </row>
    <row r="62" spans="1:10" ht="110" customHeight="1" x14ac:dyDescent="0.35">
      <c r="A62" s="336">
        <v>58</v>
      </c>
      <c r="B62" s="242" t="s">
        <v>7807</v>
      </c>
      <c r="C62" s="242" t="s">
        <v>853</v>
      </c>
      <c r="D62" s="243" t="s">
        <v>7808</v>
      </c>
      <c r="E62" s="242" t="s">
        <v>7809</v>
      </c>
      <c r="F62" s="242" t="s">
        <v>7810</v>
      </c>
      <c r="G62" s="242" t="s">
        <v>7742</v>
      </c>
      <c r="H62" s="242" t="s">
        <v>7587</v>
      </c>
      <c r="I62" s="305" t="s">
        <v>7811</v>
      </c>
      <c r="J62" s="258" t="str">
        <f>HYPERLINK("https://www.google.com/maps/search/Pa%C3%A7o%20Real%20de%20%C3%89vora%20Monte%20Estremoz%20Portugal/@38.7719,-7.7164,17z","🏛 Paço Real de Évora Monte")</f>
        <v>🏛 Paço Real de Évora Monte</v>
      </c>
    </row>
    <row r="63" spans="1:10" ht="110" customHeight="1" x14ac:dyDescent="0.35">
      <c r="A63" s="338">
        <v>59</v>
      </c>
      <c r="B63" s="239" t="s">
        <v>7812</v>
      </c>
      <c r="C63" s="239" t="s">
        <v>853</v>
      </c>
      <c r="D63" s="240" t="s">
        <v>1233</v>
      </c>
      <c r="E63" s="239" t="s">
        <v>7813</v>
      </c>
      <c r="F63" s="239" t="s">
        <v>5484</v>
      </c>
      <c r="G63" s="239" t="s">
        <v>7565</v>
      </c>
      <c r="H63" s="239" t="s">
        <v>3096</v>
      </c>
      <c r="I63" s="304" t="s">
        <v>7814</v>
      </c>
      <c r="J63" s="257" t="str">
        <f>HYPERLINK("https://www.google.com/maps/search/Pa%C3%A7o%20dos%20Infantes%20%28Beja%29%20Portugal/@38.0164,-7.8653,17z","🏛 Paço dos Infantes (Beja)")</f>
        <v>🏛 Paço dos Infantes (Beja)</v>
      </c>
    </row>
    <row r="64" spans="1:10" ht="110" customHeight="1" x14ac:dyDescent="0.35">
      <c r="A64" s="336">
        <v>60</v>
      </c>
      <c r="B64" s="242" t="s">
        <v>7815</v>
      </c>
      <c r="C64" s="242" t="s">
        <v>853</v>
      </c>
      <c r="D64" s="243" t="s">
        <v>1233</v>
      </c>
      <c r="E64" s="242" t="s">
        <v>7816</v>
      </c>
      <c r="F64" s="242" t="s">
        <v>7084</v>
      </c>
      <c r="G64" s="242" t="s">
        <v>7800</v>
      </c>
      <c r="H64" s="242" t="s">
        <v>876</v>
      </c>
      <c r="I64" s="322" t="s">
        <v>7817</v>
      </c>
      <c r="J64" s="258" t="str">
        <f>HYPERLINK("https://www.google.com/maps/search/Pal%C3%A1cio%20dos%20Maldonados%20%28Beja%29%20Portugal/@38.0169,-7.8631,17z","🏛 Palácio dos Maldonados (Beja)")</f>
        <v>🏛 Palácio dos Maldonados (Beja)</v>
      </c>
    </row>
    <row r="65" spans="1:10" ht="110" customHeight="1" x14ac:dyDescent="0.35">
      <c r="A65" s="338">
        <v>61</v>
      </c>
      <c r="B65" s="239" t="s">
        <v>7818</v>
      </c>
      <c r="C65" s="239" t="s">
        <v>767</v>
      </c>
      <c r="D65" s="240" t="s">
        <v>5761</v>
      </c>
      <c r="E65" s="239" t="s">
        <v>7819</v>
      </c>
      <c r="F65" s="239" t="s">
        <v>7820</v>
      </c>
      <c r="G65" s="239" t="s">
        <v>7821</v>
      </c>
      <c r="H65" s="239" t="s">
        <v>876</v>
      </c>
      <c r="I65" s="304" t="s">
        <v>7822</v>
      </c>
      <c r="J65" s="257" t="str">
        <f>HYPERLINK("https://www.google.com/maps/search/Pal%C3%A1cio%20de%20Estoi%20%E2%80%94%20Pousada%20Faro%20Portugal/@37.097,-7.8946,17z","🏛 Palácio de Estoi — Pousada")</f>
        <v>🏛 Palácio de Estoi — Pousada</v>
      </c>
    </row>
    <row r="66" spans="1:10" ht="110" customHeight="1" x14ac:dyDescent="0.35">
      <c r="A66" s="336">
        <v>62</v>
      </c>
      <c r="B66" s="242" t="s">
        <v>7823</v>
      </c>
      <c r="C66" s="242" t="s">
        <v>767</v>
      </c>
      <c r="D66" s="243" t="s">
        <v>5761</v>
      </c>
      <c r="E66" s="242" t="s">
        <v>7824</v>
      </c>
      <c r="F66" s="242" t="s">
        <v>7825</v>
      </c>
      <c r="G66" s="242" t="s">
        <v>7550</v>
      </c>
      <c r="H66" s="242" t="s">
        <v>7826</v>
      </c>
      <c r="I66" s="305" t="s">
        <v>7827</v>
      </c>
      <c r="J66" s="258" t="str">
        <f>HYPERLINK("https://www.google.com/maps/search/Pal%C3%A1cio%20Episcopal%20de%20Faro%20Portugal/@37.0135,-7.9348,17z","🏛 Palácio Episcopal de Faro")</f>
        <v>🏛 Palácio Episcopal de Faro</v>
      </c>
    </row>
    <row r="67" spans="1:10" ht="110" customHeight="1" x14ac:dyDescent="0.35">
      <c r="A67" s="338">
        <v>63</v>
      </c>
      <c r="B67" s="239" t="s">
        <v>7828</v>
      </c>
      <c r="C67" s="239" t="s">
        <v>767</v>
      </c>
      <c r="D67" s="240" t="s">
        <v>5761</v>
      </c>
      <c r="E67" s="239" t="s">
        <v>7829</v>
      </c>
      <c r="F67" s="239" t="s">
        <v>7830</v>
      </c>
      <c r="G67" s="239" t="s">
        <v>7789</v>
      </c>
      <c r="H67" s="239" t="s">
        <v>876</v>
      </c>
      <c r="I67" s="304" t="s">
        <v>7831</v>
      </c>
      <c r="J67" s="257" t="str">
        <f>HYPERLINK("https://www.google.com/maps/search/Pal%C3%A1cio%20B%C3%ADvar%20%E2%80%94%20C%C3%A2mara%20de%20Faro%20Portugal/@37.0149,-7.9345,17z","🏛 Palácio Bívar — Câmara de F…")</f>
        <v>🏛 Palácio Bívar — Câmara de F…</v>
      </c>
    </row>
    <row r="68" spans="1:10" ht="110" customHeight="1" x14ac:dyDescent="0.35">
      <c r="A68" s="336">
        <v>64</v>
      </c>
      <c r="B68" s="242" t="s">
        <v>7832</v>
      </c>
      <c r="C68" s="242" t="s">
        <v>767</v>
      </c>
      <c r="D68" s="243" t="s">
        <v>5764</v>
      </c>
      <c r="E68" s="242" t="s">
        <v>7833</v>
      </c>
      <c r="F68" s="242" t="s">
        <v>7834</v>
      </c>
      <c r="G68" s="242" t="s">
        <v>7835</v>
      </c>
      <c r="H68" s="242" t="s">
        <v>7587</v>
      </c>
      <c r="I68" s="305" t="s">
        <v>7836</v>
      </c>
      <c r="J68" s="258" t="str">
        <f>HYPERLINK("https://www.google.com/maps/search/Pal%C3%A1cio%20da%20Galeria%20%28Museu%20Tavira%29%20Portugal/@37.1261,-7.6517,17z","🏛 Palácio da Galeria (Museu T…")</f>
        <v>🏛 Palácio da Galeria (Museu T…</v>
      </c>
    </row>
    <row r="69" spans="1:10" ht="110" customHeight="1" x14ac:dyDescent="0.35">
      <c r="A69" s="338">
        <v>65</v>
      </c>
      <c r="B69" s="239" t="s">
        <v>7837</v>
      </c>
      <c r="C69" s="239" t="s">
        <v>767</v>
      </c>
      <c r="D69" s="240" t="s">
        <v>2180</v>
      </c>
      <c r="E69" s="239" t="s">
        <v>7838</v>
      </c>
      <c r="F69" s="239" t="s">
        <v>7839</v>
      </c>
      <c r="G69" s="239" t="s">
        <v>7840</v>
      </c>
      <c r="H69" s="239" t="s">
        <v>876</v>
      </c>
      <c r="I69" s="304" t="s">
        <v>7841</v>
      </c>
      <c r="J69" s="257" t="str">
        <f>HYPERLINK("https://www.google.com/maps/search/Pal%C3%A1cio%20de%20Silves%20%E2%80%94%20Pa%C3%A7os%20do%20Concelho%20Portugal/@37.1889,-8.4394,17z","🏛 Palácio de Silves — Paços d…")</f>
        <v>🏛 Palácio de Silves — Paços d…</v>
      </c>
    </row>
    <row r="70" spans="1:10" ht="110" customHeight="1" x14ac:dyDescent="0.35">
      <c r="A70" s="336">
        <v>66</v>
      </c>
      <c r="B70" s="242" t="s">
        <v>7842</v>
      </c>
      <c r="C70" s="242" t="s">
        <v>767</v>
      </c>
      <c r="D70" s="243" t="s">
        <v>2205</v>
      </c>
      <c r="E70" s="242" t="s">
        <v>7843</v>
      </c>
      <c r="F70" s="242" t="s">
        <v>7844</v>
      </c>
      <c r="G70" s="242" t="s">
        <v>7789</v>
      </c>
      <c r="H70" s="242" t="s">
        <v>876</v>
      </c>
      <c r="I70" s="305" t="s">
        <v>7845</v>
      </c>
      <c r="J70" s="258" t="str">
        <f>HYPERLINK("https://www.google.com/maps/search/Pal%C3%A1cio%20de%20S%C3%A1rrea%20Garfias%20%28Portim%C3%A3o%29%20Portugal/@37.1386,-8.5369,17z","🏛 Palácio de Sárrea Garfias (…")</f>
        <v>🏛 Palácio de Sárrea Garfias (…</v>
      </c>
    </row>
    <row r="71" spans="1:10" ht="110" customHeight="1" x14ac:dyDescent="0.35">
      <c r="A71" s="338">
        <v>67</v>
      </c>
      <c r="B71" s="239" t="s">
        <v>7846</v>
      </c>
      <c r="C71" s="239" t="s">
        <v>767</v>
      </c>
      <c r="D71" s="240" t="s">
        <v>2190</v>
      </c>
      <c r="E71" s="239" t="s">
        <v>7847</v>
      </c>
      <c r="F71" s="239" t="s">
        <v>7848</v>
      </c>
      <c r="G71" s="239" t="s">
        <v>7550</v>
      </c>
      <c r="H71" s="239" t="s">
        <v>7849</v>
      </c>
      <c r="I71" s="304" t="s">
        <v>7850</v>
      </c>
      <c r="J71" s="257" t="str">
        <f>HYPERLINK("https://www.google.com/maps/search/Pal%C3%A1cio%20da%20Quinta%20dos%20Vales%20Lagoa%20Portugal/@37.1364,-8.4844,17z","🏛 Palácio da Quinta dos Vales")</f>
        <v>🏛 Palácio da Quinta dos Vales</v>
      </c>
    </row>
    <row r="72" spans="1:10" ht="110" customHeight="1" x14ac:dyDescent="0.35">
      <c r="A72" s="336">
        <v>68</v>
      </c>
      <c r="B72" s="242" t="s">
        <v>7851</v>
      </c>
      <c r="C72" s="242" t="s">
        <v>767</v>
      </c>
      <c r="D72" s="243" t="s">
        <v>2201</v>
      </c>
      <c r="E72" s="242" t="s">
        <v>7852</v>
      </c>
      <c r="F72" s="242" t="s">
        <v>7853</v>
      </c>
      <c r="G72" s="242" t="s">
        <v>7560</v>
      </c>
      <c r="H72" s="242" t="s">
        <v>7750</v>
      </c>
      <c r="I72" s="305" t="s">
        <v>7854</v>
      </c>
      <c r="J72" s="258" t="str">
        <f>HYPERLINK("https://www.google.com/maps/search/Solar%20do%20Governador%20%28Lagos%29%20Portugal/@37.0994,-8.6708,17z","🏛 Solar do Governador (Lagos)")</f>
        <v>🏛 Solar do Governador (Lagos)</v>
      </c>
    </row>
    <row r="73" spans="1:10" ht="110" customHeight="1" x14ac:dyDescent="0.35">
      <c r="A73" s="338">
        <v>69</v>
      </c>
      <c r="B73" s="239" t="s">
        <v>7855</v>
      </c>
      <c r="C73" s="239" t="s">
        <v>767</v>
      </c>
      <c r="D73" s="240" t="s">
        <v>2164</v>
      </c>
      <c r="E73" s="239" t="s">
        <v>7856</v>
      </c>
      <c r="F73" s="239" t="s">
        <v>7857</v>
      </c>
      <c r="G73" s="239" t="s">
        <v>7858</v>
      </c>
      <c r="H73" s="239" t="s">
        <v>876</v>
      </c>
      <c r="I73" s="304" t="s">
        <v>7859</v>
      </c>
      <c r="J73" s="257" t="str">
        <f>HYPERLINK("https://www.google.com/maps/search/Pa%C3%A7o%20Real%20de%20Monchique%20%28Ru%C3%ADnas%29%20Portugal/@37.2858,-8.5531,17z","🏛 Paço Real de Monchique (Ruí…")</f>
        <v>🏛 Paço Real de Monchique (Ruí…</v>
      </c>
    </row>
    <row r="74" spans="1:10" ht="110" customHeight="1" x14ac:dyDescent="0.35">
      <c r="A74" s="336">
        <v>70</v>
      </c>
      <c r="B74" s="242" t="s">
        <v>7860</v>
      </c>
      <c r="C74" s="242" t="s">
        <v>767</v>
      </c>
      <c r="D74" s="243" t="s">
        <v>2172</v>
      </c>
      <c r="E74" s="242" t="s">
        <v>7861</v>
      </c>
      <c r="F74" s="242" t="s">
        <v>7862</v>
      </c>
      <c r="G74" s="242" t="s">
        <v>7560</v>
      </c>
      <c r="H74" s="242" t="s">
        <v>876</v>
      </c>
      <c r="I74" s="305" t="s">
        <v>7863</v>
      </c>
      <c r="J74" s="258" t="str">
        <f>HYPERLINK("https://www.google.com/maps/search/Solar%20de%20S%C3%A3o%20Louren%C3%A7o%20%28Almancil%29%20Loul%C3%A9%20Portugal/@37.0814,-8.0069,17z","🏛 Solar de São Lourenço (Alma…")</f>
        <v>🏛 Solar de São Lourenço (Alma…</v>
      </c>
    </row>
    <row r="75" spans="1:10" ht="110" customHeight="1" x14ac:dyDescent="0.35">
      <c r="A75" s="338">
        <v>71</v>
      </c>
      <c r="B75" s="239" t="s">
        <v>7864</v>
      </c>
      <c r="C75" s="239" t="s">
        <v>522</v>
      </c>
      <c r="D75" s="240" t="s">
        <v>6629</v>
      </c>
      <c r="E75" s="239" t="s">
        <v>7865</v>
      </c>
      <c r="F75" s="239" t="s">
        <v>7866</v>
      </c>
      <c r="G75" s="239" t="s">
        <v>7867</v>
      </c>
      <c r="H75" s="239" t="s">
        <v>7587</v>
      </c>
      <c r="I75" s="304" t="s">
        <v>7868</v>
      </c>
      <c r="J75" s="257" t="str">
        <f>HYPERLINK("https://www.google.com/maps/search/Pal%C3%A1cio%20de%20Sant%27Ana%20%28Ponta%20Delgada%29%20S.%20Miguel%20Portugal/@37.7471,-25.6631,17z","🏛 Palácio de Sant'Ana (Ponta …")</f>
        <v>🏛 Palácio de Sant'Ana (Ponta …</v>
      </c>
    </row>
    <row r="76" spans="1:10" ht="110" customHeight="1" x14ac:dyDescent="0.35">
      <c r="A76" s="336">
        <v>72</v>
      </c>
      <c r="B76" s="242" t="s">
        <v>7869</v>
      </c>
      <c r="C76" s="242" t="s">
        <v>522</v>
      </c>
      <c r="D76" s="243" t="s">
        <v>2841</v>
      </c>
      <c r="E76" s="242" t="s">
        <v>7870</v>
      </c>
      <c r="F76" s="242" t="s">
        <v>7871</v>
      </c>
      <c r="G76" s="242" t="s">
        <v>7742</v>
      </c>
      <c r="H76" s="242" t="s">
        <v>7750</v>
      </c>
      <c r="I76" s="305" t="s">
        <v>7872</v>
      </c>
      <c r="J76" s="258" t="str">
        <f>HYPERLINK("https://www.google.com/maps/search/Pal%C3%A1cio%20dos%20Capit%C3%A3es-Generais%20Terceira%20Portugal/@38.6558,-27.2222,17z","🏛 Palácio dos Capitães-Generais")</f>
        <v>🏛 Palácio dos Capitães-Generais</v>
      </c>
    </row>
    <row r="77" spans="1:10" ht="110" customHeight="1" x14ac:dyDescent="0.35">
      <c r="A77" s="338">
        <v>73</v>
      </c>
      <c r="B77" s="239" t="s">
        <v>7873</v>
      </c>
      <c r="C77" s="239" t="s">
        <v>522</v>
      </c>
      <c r="D77" s="240" t="s">
        <v>2841</v>
      </c>
      <c r="E77" s="239" t="s">
        <v>7874</v>
      </c>
      <c r="F77" s="239" t="s">
        <v>7875</v>
      </c>
      <c r="G77" s="239" t="s">
        <v>7674</v>
      </c>
      <c r="H77" s="239" t="s">
        <v>876</v>
      </c>
      <c r="I77" s="304" t="s">
        <v>7876</v>
      </c>
      <c r="J77" s="257" t="str">
        <f>HYPERLINK("https://www.google.com/maps/search/Pal%C3%A1cio%20Bettencourt%20%28Angra%29%20Terceira%20Portugal/@38.655,-27.2208,17z","🏛 Palácio Bettencourt (Angra)")</f>
        <v>🏛 Palácio Bettencourt (Angra)</v>
      </c>
    </row>
    <row r="78" spans="1:10" ht="110" customHeight="1" x14ac:dyDescent="0.35">
      <c r="A78" s="336">
        <v>74</v>
      </c>
      <c r="B78" s="242" t="s">
        <v>7877</v>
      </c>
      <c r="C78" s="242" t="s">
        <v>522</v>
      </c>
      <c r="D78" s="243" t="s">
        <v>2841</v>
      </c>
      <c r="E78" s="242" t="s">
        <v>7878</v>
      </c>
      <c r="F78" s="242" t="s">
        <v>7879</v>
      </c>
      <c r="G78" s="242" t="s">
        <v>7880</v>
      </c>
      <c r="H78" s="242" t="s">
        <v>876</v>
      </c>
      <c r="I78" s="305" t="s">
        <v>7881</v>
      </c>
      <c r="J78" s="258" t="str">
        <f>HYPERLINK("https://www.google.com/maps/search/Palacete%20Silveira%20e%20Paulo%20Terceira%20Portugal/@38.6556,-27.2181,17z","🏛 Palacete Silveira e Paulo")</f>
        <v>🏛 Palacete Silveira e Paulo</v>
      </c>
    </row>
    <row r="79" spans="1:10" ht="110" customHeight="1" x14ac:dyDescent="0.35">
      <c r="A79" s="338">
        <v>75</v>
      </c>
      <c r="B79" s="239" t="s">
        <v>7882</v>
      </c>
      <c r="C79" s="239" t="s">
        <v>522</v>
      </c>
      <c r="D79" s="240" t="s">
        <v>6629</v>
      </c>
      <c r="E79" s="239" t="s">
        <v>7883</v>
      </c>
      <c r="F79" s="239" t="s">
        <v>7884</v>
      </c>
      <c r="G79" s="239" t="s">
        <v>7592</v>
      </c>
      <c r="H79" s="239" t="s">
        <v>7551</v>
      </c>
      <c r="I79" s="304" t="s">
        <v>7885</v>
      </c>
      <c r="J79" s="257" t="str">
        <f>HYPERLINK("https://www.google.com/maps/search/Solar%20Santo%20Andr%C3%A9%20%28Museu%20Carlos%20Machado%29%20S.%20Miguel%20Portugal/@37.7428,-25.6633,17z","🏛 Solar Santo André (Museu Ca…")</f>
        <v>🏛 Solar Santo André (Museu Ca…</v>
      </c>
    </row>
    <row r="80" spans="1:10" ht="110" customHeight="1" x14ac:dyDescent="0.35">
      <c r="A80" s="336">
        <v>76</v>
      </c>
      <c r="B80" s="242" t="s">
        <v>7886</v>
      </c>
      <c r="C80" s="242" t="s">
        <v>522</v>
      </c>
      <c r="D80" s="243" t="s">
        <v>2833</v>
      </c>
      <c r="E80" s="242" t="s">
        <v>7887</v>
      </c>
      <c r="F80" s="242" t="s">
        <v>7888</v>
      </c>
      <c r="G80" s="242" t="s">
        <v>7576</v>
      </c>
      <c r="H80" s="242" t="s">
        <v>3096</v>
      </c>
      <c r="I80" s="305" t="s">
        <v>7889</v>
      </c>
      <c r="J80" s="258" t="str">
        <f>HYPERLINK("https://www.google.com/maps/search/Solar%20do%20Aposento%20%28Lajes%20das%20Flores%29%20Portugal/@39.3781,-31.1761,17z","🏛 Solar do Aposento (Lajes da…")</f>
        <v>🏛 Solar do Aposento (Lajes da…</v>
      </c>
    </row>
    <row r="81" spans="1:10" ht="110" customHeight="1" x14ac:dyDescent="0.35">
      <c r="A81" s="338">
        <v>77</v>
      </c>
      <c r="B81" s="239" t="s">
        <v>7890</v>
      </c>
      <c r="C81" s="239" t="s">
        <v>522</v>
      </c>
      <c r="D81" s="240" t="s">
        <v>6642</v>
      </c>
      <c r="E81" s="239" t="s">
        <v>7891</v>
      </c>
      <c r="F81" s="239" t="s">
        <v>7892</v>
      </c>
      <c r="G81" s="239" t="s">
        <v>7576</v>
      </c>
      <c r="H81" s="239" t="s">
        <v>3096</v>
      </c>
      <c r="I81" s="321" t="s">
        <v>7893</v>
      </c>
      <c r="J81" s="257" t="str">
        <f>HYPERLINK("https://www.google.com/maps/search/Solar%20de%20Noronha%20%28Velas%2C%20S.%20Jorge%29%20Portugal/@38.6811,-28.2047,17z","🏛 Solar de Noronha (Velas, S.…")</f>
        <v>🏛 Solar de Noronha (Velas, S.…</v>
      </c>
    </row>
    <row r="82" spans="1:10" ht="110" customHeight="1" x14ac:dyDescent="0.35">
      <c r="A82" s="336">
        <v>78</v>
      </c>
      <c r="B82" s="242" t="s">
        <v>7894</v>
      </c>
      <c r="C82" s="242" t="s">
        <v>524</v>
      </c>
      <c r="D82" s="243" t="s">
        <v>2219</v>
      </c>
      <c r="E82" s="242" t="s">
        <v>7895</v>
      </c>
      <c r="F82" s="242" t="s">
        <v>7896</v>
      </c>
      <c r="G82" s="242" t="s">
        <v>7897</v>
      </c>
      <c r="H82" s="242" t="s">
        <v>7750</v>
      </c>
      <c r="I82" s="305" t="s">
        <v>7898</v>
      </c>
      <c r="J82" s="258" t="str">
        <f>HYPERLINK("https://www.google.com/maps/search/Pal%C3%A1cio%20de%20S%C3%A3o%20Louren%C3%A7o%20%28Funchal%29%20Portugal/@32.6475,-16.9092,17z","🏛 Palácio de São Lourenço (Fu…")</f>
        <v>🏛 Palácio de São Lourenço (Fu…</v>
      </c>
    </row>
    <row r="83" spans="1:10" ht="110" customHeight="1" x14ac:dyDescent="0.35">
      <c r="A83" s="338">
        <v>79</v>
      </c>
      <c r="B83" s="239" t="s">
        <v>7899</v>
      </c>
      <c r="C83" s="239" t="s">
        <v>524</v>
      </c>
      <c r="D83" s="240" t="s">
        <v>2219</v>
      </c>
      <c r="E83" s="239" t="s">
        <v>7900</v>
      </c>
      <c r="F83" s="239" t="s">
        <v>7901</v>
      </c>
      <c r="G83" s="239" t="s">
        <v>7902</v>
      </c>
      <c r="H83" s="239" t="s">
        <v>7903</v>
      </c>
      <c r="I83" s="304" t="s">
        <v>7868</v>
      </c>
      <c r="J83" s="257" t="str">
        <f>HYPERLINK("https://www.google.com/maps/search/Quinta%20Vigia%20%E2%80%94%20Presid%C3%AAncia%20Regional%20Funchal%20Portugal/@32.6444,-16.9158,17z","🏛 Quinta Vigia — Presidência …")</f>
        <v>🏛 Quinta Vigia — Presidência …</v>
      </c>
    </row>
    <row r="84" spans="1:10" ht="110" customHeight="1" x14ac:dyDescent="0.35">
      <c r="A84" s="336">
        <v>80</v>
      </c>
      <c r="B84" s="242" t="s">
        <v>7904</v>
      </c>
      <c r="C84" s="242" t="s">
        <v>524</v>
      </c>
      <c r="D84" s="243" t="s">
        <v>2219</v>
      </c>
      <c r="E84" s="242" t="s">
        <v>5398</v>
      </c>
      <c r="F84" s="242" t="s">
        <v>7162</v>
      </c>
      <c r="G84" s="242" t="s">
        <v>7592</v>
      </c>
      <c r="H84" s="242" t="s">
        <v>7750</v>
      </c>
      <c r="I84" s="305" t="s">
        <v>7905</v>
      </c>
      <c r="J84" s="258" t="str">
        <f>HYPERLINK("https://www.google.com/maps/search/Quinta%20das%20Cruzes%20%E2%80%94%20Museu%20Funchal%20Portugal/@32.6508,-16.9142,17z","🏛 Quinta das Cruzes — Museu")</f>
        <v>🏛 Quinta das Cruzes — Museu</v>
      </c>
    </row>
    <row r="85" spans="1:10" ht="110" customHeight="1" x14ac:dyDescent="0.35">
      <c r="A85" s="338">
        <v>81</v>
      </c>
      <c r="B85" s="239" t="s">
        <v>7906</v>
      </c>
      <c r="C85" s="239" t="s">
        <v>524</v>
      </c>
      <c r="D85" s="240" t="s">
        <v>2219</v>
      </c>
      <c r="E85" s="239" t="s">
        <v>7146</v>
      </c>
      <c r="F85" s="239" t="s">
        <v>7147</v>
      </c>
      <c r="G85" s="239" t="s">
        <v>7907</v>
      </c>
      <c r="H85" s="239" t="s">
        <v>7615</v>
      </c>
      <c r="I85" s="304" t="s">
        <v>7908</v>
      </c>
      <c r="J85" s="257" t="str">
        <f>HYPERLINK("https://www.google.com/maps/search/Monte%20Palace%20Madeira%20%28Quinta/Jardim%29%20Funchal%20Portugal/@32.6744,-16.9025,17z","🏛 Monte Palace Madeira (Quint…")</f>
        <v>🏛 Monte Palace Madeira (Quint…</v>
      </c>
    </row>
    <row r="86" spans="1:10" ht="110" customHeight="1" x14ac:dyDescent="0.35">
      <c r="A86" s="336">
        <v>82</v>
      </c>
      <c r="B86" s="242" t="s">
        <v>7909</v>
      </c>
      <c r="C86" s="242" t="s">
        <v>524</v>
      </c>
      <c r="D86" s="243" t="s">
        <v>2219</v>
      </c>
      <c r="E86" s="242" t="s">
        <v>7910</v>
      </c>
      <c r="F86" s="242" t="s">
        <v>7911</v>
      </c>
      <c r="G86" s="242" t="s">
        <v>7912</v>
      </c>
      <c r="H86" s="242" t="s">
        <v>3096</v>
      </c>
      <c r="I86" s="305" t="s">
        <v>7913</v>
      </c>
      <c r="J86" s="258" t="str">
        <f>HYPERLINK("https://www.google.com/maps/search/Quinta%20Magnolia%20Funchal%20Portugal/@32.6467,-16.9242,17z","🏛 Quinta Magnolia")</f>
        <v>🏛 Quinta Magnolia</v>
      </c>
    </row>
    <row r="87" spans="1:10" ht="110" customHeight="1" x14ac:dyDescent="0.35">
      <c r="A87" s="338">
        <v>83</v>
      </c>
      <c r="B87" s="239" t="s">
        <v>7914</v>
      </c>
      <c r="C87" s="239" t="s">
        <v>524</v>
      </c>
      <c r="D87" s="240" t="s">
        <v>2219</v>
      </c>
      <c r="E87" s="239" t="s">
        <v>7915</v>
      </c>
      <c r="F87" s="239" t="s">
        <v>7168</v>
      </c>
      <c r="G87" s="239" t="s">
        <v>7789</v>
      </c>
      <c r="H87" s="239" t="s">
        <v>876</v>
      </c>
      <c r="I87" s="304" t="s">
        <v>7916</v>
      </c>
      <c r="J87" s="257" t="str">
        <f>HYPERLINK("https://www.google.com/maps/search/Pa%C3%A7o%20do%20Concelho%20do%20Funchal%20%28C%C3%A2mara%29%20Portugal/@32.6497,-16.9086,17z","🏛 Paço do Concelho do Funchal…")</f>
        <v>🏛 Paço do Concelho do Funchal…</v>
      </c>
    </row>
    <row r="88" spans="1:10" ht="110" customHeight="1" x14ac:dyDescent="0.35">
      <c r="A88" s="336">
        <v>84</v>
      </c>
      <c r="B88" s="242" t="s">
        <v>7917</v>
      </c>
      <c r="C88" s="242" t="s">
        <v>524</v>
      </c>
      <c r="D88" s="243" t="s">
        <v>2219</v>
      </c>
      <c r="E88" s="242" t="s">
        <v>7918</v>
      </c>
      <c r="F88" s="242" t="s">
        <v>5484</v>
      </c>
      <c r="G88" s="242" t="s">
        <v>7674</v>
      </c>
      <c r="H88" s="242" t="s">
        <v>876</v>
      </c>
      <c r="I88" s="305" t="s">
        <v>7919</v>
      </c>
      <c r="J88" s="258" t="str">
        <f>HYPERLINK("https://www.google.com/maps/search/Quinta%20da%20Junta%20%28Santo%20da%20Serra%29%20Funchal%20Portugal/@32.7231,-16.8208,17z","🏛 Quinta da Junta (Santo da S…")</f>
        <v>🏛 Quinta da Junta (Santo da S…</v>
      </c>
    </row>
    <row r="89" spans="1:10" ht="110" customHeight="1" x14ac:dyDescent="0.35">
      <c r="A89" s="338">
        <v>85</v>
      </c>
      <c r="B89" s="239" t="s">
        <v>7920</v>
      </c>
      <c r="C89" s="239" t="s">
        <v>524</v>
      </c>
      <c r="D89" s="240" t="s">
        <v>7921</v>
      </c>
      <c r="E89" s="239" t="s">
        <v>7922</v>
      </c>
      <c r="F89" s="239" t="s">
        <v>7923</v>
      </c>
      <c r="G89" s="239" t="s">
        <v>7576</v>
      </c>
      <c r="H89" s="239" t="s">
        <v>3096</v>
      </c>
      <c r="I89" s="304" t="s">
        <v>7924</v>
      </c>
      <c r="J89" s="257" t="str">
        <f>HYPERLINK("https://www.google.com/maps/search/Solar%20dos%20Esmeraldos%20%28Lombada%20da%20Ponta%20do%20Sol%29%20Portugal/@32.6853,-17.1011,17z","🏛 Solar dos Esmeraldos (Lomba…")</f>
        <v>🏛 Solar dos Esmeraldos (Lomba…</v>
      </c>
    </row>
    <row r="90" spans="1:10" ht="110" customHeight="1" x14ac:dyDescent="0.35">
      <c r="A90" s="336">
        <v>86</v>
      </c>
      <c r="B90" s="242" t="s">
        <v>7925</v>
      </c>
      <c r="C90" s="242" t="s">
        <v>767</v>
      </c>
      <c r="D90" s="243" t="s">
        <v>5761</v>
      </c>
      <c r="E90" s="242" t="s">
        <v>5761</v>
      </c>
      <c r="F90" s="242"/>
      <c r="G90" s="242" t="s">
        <v>7576</v>
      </c>
      <c r="H90" s="242" t="s">
        <v>3096</v>
      </c>
      <c r="I90" s="305" t="s">
        <v>7926</v>
      </c>
      <c r="J90" s="258" t="str">
        <f>HYPERLINK("https://www.google.com/maps/search/Pal%C3%A1cio%20Belmar%C3%A7o%20Faro%20Portugal/@37.0194,-7.9308,17z","🏛 Palácio Belmarço")</f>
        <v>🏛 Palácio Belmarço</v>
      </c>
    </row>
    <row r="91" spans="1:10" ht="110" customHeight="1" x14ac:dyDescent="0.35">
      <c r="A91" s="338">
        <v>87</v>
      </c>
      <c r="B91" s="239" t="s">
        <v>7927</v>
      </c>
      <c r="C91" s="239" t="s">
        <v>767</v>
      </c>
      <c r="D91" s="240" t="s">
        <v>5761</v>
      </c>
      <c r="E91" s="239" t="s">
        <v>5761</v>
      </c>
      <c r="F91" s="239"/>
      <c r="G91" s="239" t="s">
        <v>7576</v>
      </c>
      <c r="H91" s="239" t="s">
        <v>3096</v>
      </c>
      <c r="I91" s="304" t="s">
        <v>7926</v>
      </c>
      <c r="J91" s="257" t="str">
        <f>HYPERLINK("https://www.google.com/maps/search/Pal%C3%A1cio%20Bivar%20Faro%20Portugal/@37.0194,-7.9308,17z","🏛 Palácio Bivar")</f>
        <v>🏛 Palácio Bivar</v>
      </c>
    </row>
    <row r="92" spans="1:10" ht="110" customHeight="1" x14ac:dyDescent="0.35">
      <c r="A92" s="336">
        <v>88</v>
      </c>
      <c r="B92" s="242" t="s">
        <v>7928</v>
      </c>
      <c r="C92" s="242" t="s">
        <v>767</v>
      </c>
      <c r="D92" s="243" t="s">
        <v>5761</v>
      </c>
      <c r="E92" s="242" t="s">
        <v>2172</v>
      </c>
      <c r="F92" s="242"/>
      <c r="G92" s="242" t="s">
        <v>7576</v>
      </c>
      <c r="H92" s="242" t="s">
        <v>3096</v>
      </c>
      <c r="I92" s="305" t="s">
        <v>7926</v>
      </c>
      <c r="J92" s="258" t="str">
        <f>HYPERLINK("https://www.google.com/maps/search/Pal%C3%A1cio%20Gama%20Lobo%20Faro%20Portugal/@37.1394,-8.0225,17z","🏛 Palácio Gama Lobo")</f>
        <v>🏛 Palácio Gama Lobo</v>
      </c>
    </row>
    <row r="93" spans="1:10" ht="110" customHeight="1" x14ac:dyDescent="0.35">
      <c r="A93" s="338">
        <v>89</v>
      </c>
      <c r="B93" s="239" t="s">
        <v>7929</v>
      </c>
      <c r="C93" s="239" t="s">
        <v>767</v>
      </c>
      <c r="D93" s="240" t="s">
        <v>5761</v>
      </c>
      <c r="E93" s="239" t="s">
        <v>2180</v>
      </c>
      <c r="F93" s="239"/>
      <c r="G93" s="239" t="s">
        <v>7576</v>
      </c>
      <c r="H93" s="239" t="s">
        <v>3096</v>
      </c>
      <c r="I93" s="304" t="s">
        <v>7926</v>
      </c>
      <c r="J93" s="257" t="str">
        <f>HYPERLINK("https://www.google.com/maps/search/Pal%C3%A1cio%20dos%20Bispos%20de%20Silves%20Faro%20Portugal/@37.1894,-8.4387,17z","🏛 Palácio dos Bispos de Silves")</f>
        <v>🏛 Palácio dos Bispos de Silves</v>
      </c>
    </row>
    <row r="94" spans="1:10" ht="110" customHeight="1" x14ac:dyDescent="0.35">
      <c r="A94" s="336">
        <v>90</v>
      </c>
      <c r="B94" s="242" t="s">
        <v>7930</v>
      </c>
      <c r="C94" s="242" t="s">
        <v>767</v>
      </c>
      <c r="D94" s="243" t="s">
        <v>5761</v>
      </c>
      <c r="E94" s="242" t="s">
        <v>2201</v>
      </c>
      <c r="F94" s="242"/>
      <c r="G94" s="242" t="s">
        <v>7576</v>
      </c>
      <c r="H94" s="242" t="s">
        <v>3096</v>
      </c>
      <c r="I94" s="305" t="s">
        <v>7931</v>
      </c>
      <c r="J94" s="258" t="str">
        <f>HYPERLINK("https://www.google.com/maps/search/Pa%C3%A7o%20Episcopal%20de%20Lagos%20Faro%20Portugal/@37.1021,-8.6726,17z","🏛 Paço Episcopal de Lagos")</f>
        <v>🏛 Paço Episcopal de Lagos</v>
      </c>
    </row>
    <row r="95" spans="1:10" ht="110" customHeight="1" x14ac:dyDescent="0.35">
      <c r="A95" s="338">
        <v>91</v>
      </c>
      <c r="B95" s="239" t="s">
        <v>7932</v>
      </c>
      <c r="C95" s="239" t="s">
        <v>767</v>
      </c>
      <c r="D95" s="240" t="s">
        <v>5761</v>
      </c>
      <c r="E95" s="239" t="s">
        <v>5527</v>
      </c>
      <c r="F95" s="239"/>
      <c r="G95" s="239" t="s">
        <v>7576</v>
      </c>
      <c r="H95" s="239" t="s">
        <v>3096</v>
      </c>
      <c r="I95" s="304" t="s">
        <v>7926</v>
      </c>
      <c r="J95" s="257" t="str">
        <f>HYPERLINK("https://www.google.com/maps/search/Palacete%20de%20Olh%C3%A3o%20Faro%20Portugal/@37.0283,-7.8414,17z","🏛 Palacete de Olhão")</f>
        <v>🏛 Palacete de Olhão</v>
      </c>
    </row>
    <row r="96" spans="1:10" ht="110" customHeight="1" x14ac:dyDescent="0.35">
      <c r="A96" s="336">
        <v>92</v>
      </c>
      <c r="B96" s="242" t="s">
        <v>7933</v>
      </c>
      <c r="C96" s="242" t="s">
        <v>767</v>
      </c>
      <c r="D96" s="243" t="s">
        <v>5761</v>
      </c>
      <c r="E96" s="242" t="s">
        <v>2205</v>
      </c>
      <c r="F96" s="242"/>
      <c r="G96" s="242" t="s">
        <v>7576</v>
      </c>
      <c r="H96" s="242" t="s">
        <v>3096</v>
      </c>
      <c r="I96" s="305" t="s">
        <v>7926</v>
      </c>
      <c r="J96" s="258" t="str">
        <f>HYPERLINK("https://www.google.com/maps/search/Palacete%20S%C3%A1rrea%20Prado%20%28Portim%C3%A3o%29%20Faro%20Portugal/@37.1386,-8.5372,17z","🏛 Palacete Sárrea Prado (Port…")</f>
        <v>🏛 Palacete Sárrea Prado (Port…</v>
      </c>
    </row>
    <row r="97" spans="1:10" ht="110" customHeight="1" x14ac:dyDescent="0.35">
      <c r="A97" s="338">
        <v>93</v>
      </c>
      <c r="B97" s="239" t="s">
        <v>7934</v>
      </c>
      <c r="C97" s="239" t="s">
        <v>767</v>
      </c>
      <c r="D97" s="240" t="s">
        <v>5761</v>
      </c>
      <c r="E97" s="239" t="s">
        <v>6448</v>
      </c>
      <c r="F97" s="239"/>
      <c r="G97" s="239" t="s">
        <v>7576</v>
      </c>
      <c r="H97" s="239" t="s">
        <v>3096</v>
      </c>
      <c r="I97" s="304" t="s">
        <v>7926</v>
      </c>
      <c r="J97" s="257" t="str">
        <f>HYPERLINK("https://www.google.com/maps/search/Palacete%20do%20Marqu%C3%AAs%20de%20Pombal%20%28VRSA%29%20Faro%20Portugal/@37.1961,-7.4144,17z","🏛 Palacete do Marquês de Pomb…")</f>
        <v>🏛 Palacete do Marquês de Pomb…</v>
      </c>
    </row>
    <row r="98" spans="1:10" ht="110" customHeight="1" x14ac:dyDescent="0.35">
      <c r="A98" s="336">
        <v>94</v>
      </c>
      <c r="B98" s="242" t="s">
        <v>7935</v>
      </c>
      <c r="C98" s="242" t="s">
        <v>767</v>
      </c>
      <c r="D98" s="243" t="s">
        <v>5761</v>
      </c>
      <c r="E98" s="242" t="s">
        <v>7499</v>
      </c>
      <c r="F98" s="242"/>
      <c r="G98" s="242" t="s">
        <v>7576</v>
      </c>
      <c r="H98" s="242" t="s">
        <v>3096</v>
      </c>
      <c r="I98" s="305" t="s">
        <v>7931</v>
      </c>
      <c r="J98" s="258" t="str">
        <f>HYPERLINK("https://www.google.com/maps/search/Pa%C3%A7o%20do%20Concelho%20de%20Alcoutim%20Faro%20Portugal/@37.4711,-7.4714,17z","🏛 Paço do Concelho de Alcoutim")</f>
        <v>🏛 Paço do Concelho de Alcoutim</v>
      </c>
    </row>
    <row r="99" spans="1:10" ht="110" customHeight="1" x14ac:dyDescent="0.35">
      <c r="A99" s="338">
        <v>95</v>
      </c>
      <c r="B99" s="239" t="s">
        <v>7936</v>
      </c>
      <c r="C99" s="239" t="s">
        <v>767</v>
      </c>
      <c r="D99" s="240" t="s">
        <v>5761</v>
      </c>
      <c r="E99" s="239" t="s">
        <v>5532</v>
      </c>
      <c r="F99" s="239"/>
      <c r="G99" s="239" t="s">
        <v>7576</v>
      </c>
      <c r="H99" s="239" t="s">
        <v>3096</v>
      </c>
      <c r="I99" s="304" t="s">
        <v>7931</v>
      </c>
      <c r="J99" s="257" t="str">
        <f>HYPERLINK("https://www.google.com/maps/search/Pa%C3%A7o%20de%20Castro%20Marim%20Faro%20Portugal/@37.2175,-7.4431,17z","🏛 Paço de Castro Marim")</f>
        <v>🏛 Paço de Castro Marim</v>
      </c>
    </row>
    <row r="100" spans="1:10" ht="110" customHeight="1" x14ac:dyDescent="0.35">
      <c r="A100" s="336">
        <v>96</v>
      </c>
      <c r="B100" s="242" t="s">
        <v>7937</v>
      </c>
      <c r="C100" s="242" t="s">
        <v>767</v>
      </c>
      <c r="D100" s="243" t="s">
        <v>5761</v>
      </c>
      <c r="E100" s="242" t="s">
        <v>2164</v>
      </c>
      <c r="F100" s="242"/>
      <c r="G100" s="242" t="s">
        <v>7576</v>
      </c>
      <c r="H100" s="242" t="s">
        <v>3096</v>
      </c>
      <c r="I100" s="305" t="s">
        <v>7931</v>
      </c>
      <c r="J100" s="258" t="str">
        <f>HYPERLINK("https://www.google.com/maps/search/Pa%C3%A7o%20de%20Monchique%20Faro%20Portugal/@37.3194,-8.5558,17z","🏛 Paço de Monchique")</f>
        <v>🏛 Paço de Monchique</v>
      </c>
    </row>
    <row r="101" spans="1:10" ht="110" customHeight="1" x14ac:dyDescent="0.35">
      <c r="A101" s="338">
        <v>97</v>
      </c>
      <c r="B101" s="239" t="s">
        <v>7938</v>
      </c>
      <c r="C101" s="239" t="s">
        <v>767</v>
      </c>
      <c r="D101" s="240" t="s">
        <v>5761</v>
      </c>
      <c r="E101" s="239" t="s">
        <v>2194</v>
      </c>
      <c r="F101" s="239"/>
      <c r="G101" s="239" t="s">
        <v>7576</v>
      </c>
      <c r="H101" s="239" t="s">
        <v>3096</v>
      </c>
      <c r="I101" s="304" t="s">
        <v>7931</v>
      </c>
      <c r="J101" s="257" t="str">
        <f>HYPERLINK("https://www.google.com/maps/search/Pa%C3%A7o%20de%20Aljezur%20Faro%20Portugal/@37.3192,-8.8019,17z","🏛 Paço de Aljezur")</f>
        <v>🏛 Paço de Aljezur</v>
      </c>
    </row>
    <row r="102" spans="1:10" ht="110" customHeight="1" x14ac:dyDescent="0.35">
      <c r="A102" s="336">
        <v>98</v>
      </c>
      <c r="B102" s="242" t="s">
        <v>7939</v>
      </c>
      <c r="C102" s="242" t="s">
        <v>767</v>
      </c>
      <c r="D102" s="243" t="s">
        <v>5761</v>
      </c>
      <c r="E102" s="242" t="s">
        <v>2190</v>
      </c>
      <c r="F102" s="242"/>
      <c r="G102" s="242" t="s">
        <v>7576</v>
      </c>
      <c r="H102" s="242" t="s">
        <v>3096</v>
      </c>
      <c r="I102" s="305" t="s">
        <v>7926</v>
      </c>
      <c r="J102" s="258" t="str">
        <f>HYPERLINK("https://www.google.com/maps/search/Palacete%20de%20Lagoa%20Faro%20Portugal/@37.7494,-25.5622,17z","🏛 Palacete de Lagoa")</f>
        <v>🏛 Palacete de Lagoa</v>
      </c>
    </row>
    <row r="103" spans="1:10" ht="110" customHeight="1" x14ac:dyDescent="0.35">
      <c r="A103" s="338">
        <v>99</v>
      </c>
      <c r="B103" s="239" t="s">
        <v>7940</v>
      </c>
      <c r="C103" s="239" t="s">
        <v>767</v>
      </c>
      <c r="D103" s="240" t="s">
        <v>5761</v>
      </c>
      <c r="E103" s="239" t="s">
        <v>2168</v>
      </c>
      <c r="F103" s="239"/>
      <c r="G103" s="239" t="s">
        <v>7576</v>
      </c>
      <c r="H103" s="239" t="s">
        <v>3096</v>
      </c>
      <c r="I103" s="304" t="s">
        <v>7926</v>
      </c>
      <c r="J103" s="257" t="str">
        <f>HYPERLINK("https://www.google.com/maps/search/Palacete%20Episcopal%20%28S%C3%A3o%20Br%C3%A1s%29%20Faro%20Portugal/@37.1561,-7.8872,17z","🏛 Palacete Episcopal (São Brás)")</f>
        <v>🏛 Palacete Episcopal (São Brás)</v>
      </c>
    </row>
    <row r="104" spans="1:10" ht="110" customHeight="1" x14ac:dyDescent="0.35">
      <c r="A104" s="336">
        <v>100</v>
      </c>
      <c r="B104" s="242" t="s">
        <v>7941</v>
      </c>
      <c r="C104" s="242" t="s">
        <v>767</v>
      </c>
      <c r="D104" s="243" t="s">
        <v>5761</v>
      </c>
      <c r="E104" s="242" t="s">
        <v>5764</v>
      </c>
      <c r="F104" s="242"/>
      <c r="G104" s="242" t="s">
        <v>7576</v>
      </c>
      <c r="H104" s="242" t="s">
        <v>3096</v>
      </c>
      <c r="I104" s="305" t="s">
        <v>7926</v>
      </c>
      <c r="J104" s="258" t="str">
        <f>HYPERLINK("https://www.google.com/maps/search/Palacete%20dos%20Corte-Real%20%28Tavira%29%20Faro%20Portugal/@37.1261,-7.6508,17z","🏛 Palacete dos Corte-Real (Ta…")</f>
        <v>🏛 Palacete dos Corte-Real (Ta…</v>
      </c>
    </row>
    <row r="105" spans="1:10" ht="110" customHeight="1" x14ac:dyDescent="0.35">
      <c r="A105" s="338">
        <v>101</v>
      </c>
      <c r="B105" s="239" t="s">
        <v>7942</v>
      </c>
      <c r="C105" s="239" t="s">
        <v>767</v>
      </c>
      <c r="D105" s="240" t="s">
        <v>5761</v>
      </c>
      <c r="E105" s="239" t="s">
        <v>5764</v>
      </c>
      <c r="F105" s="239"/>
      <c r="G105" s="239" t="s">
        <v>7576</v>
      </c>
      <c r="H105" s="239" t="s">
        <v>3096</v>
      </c>
      <c r="I105" s="304" t="s">
        <v>7926</v>
      </c>
      <c r="J105" s="257" t="str">
        <f>HYPERLINK("https://www.google.com/maps/search/Palacete%20dos%20Alpoins%20Faro%20Portugal/@37.1261,-7.6508,17z","🏛 Palacete dos Alpoins")</f>
        <v>🏛 Palacete dos Alpoins</v>
      </c>
    </row>
    <row r="106" spans="1:10" ht="110" customHeight="1" x14ac:dyDescent="0.35">
      <c r="A106" s="336">
        <v>102</v>
      </c>
      <c r="B106" s="242" t="s">
        <v>7943</v>
      </c>
      <c r="C106" s="242" t="s">
        <v>767</v>
      </c>
      <c r="D106" s="243" t="s">
        <v>5761</v>
      </c>
      <c r="E106" s="242" t="s">
        <v>5761</v>
      </c>
      <c r="F106" s="242"/>
      <c r="G106" s="242" t="s">
        <v>7576</v>
      </c>
      <c r="H106" s="242" t="s">
        <v>3096</v>
      </c>
      <c r="I106" s="305" t="s">
        <v>7926</v>
      </c>
      <c r="J106" s="258" t="str">
        <f>HYPERLINK("https://www.google.com/maps/search/Palacete%20Guerreiro%20%28Faro%29%20Portugal/@37.0194,-7.9308,17z","🏛 Palacete Guerreiro (Faro)")</f>
        <v>🏛 Palacete Guerreiro (Faro)</v>
      </c>
    </row>
    <row r="107" spans="1:10" ht="110" customHeight="1" x14ac:dyDescent="0.35">
      <c r="A107" s="338">
        <v>103</v>
      </c>
      <c r="B107" s="239" t="s">
        <v>7944</v>
      </c>
      <c r="C107" s="239" t="s">
        <v>767</v>
      </c>
      <c r="D107" s="240" t="s">
        <v>5761</v>
      </c>
      <c r="E107" s="239" t="s">
        <v>5761</v>
      </c>
      <c r="F107" s="239"/>
      <c r="G107" s="239" t="s">
        <v>7576</v>
      </c>
      <c r="H107" s="239" t="s">
        <v>3096</v>
      </c>
      <c r="I107" s="304" t="s">
        <v>7926</v>
      </c>
      <c r="J107" s="257" t="str">
        <f>HYPERLINK("https://www.google.com/maps/search/Palacete%20Belchior%20Faro%20Portugal/@37.0194,-7.9308,17z","🏛 Palacete Belchior")</f>
        <v>🏛 Palacete Belchior</v>
      </c>
    </row>
    <row r="108" spans="1:10" ht="110" customHeight="1" x14ac:dyDescent="0.35">
      <c r="A108" s="336">
        <v>104</v>
      </c>
      <c r="B108" s="242" t="s">
        <v>7945</v>
      </c>
      <c r="C108" s="242" t="s">
        <v>767</v>
      </c>
      <c r="D108" s="243" t="s">
        <v>5761</v>
      </c>
      <c r="E108" s="242" t="s">
        <v>2172</v>
      </c>
      <c r="F108" s="242"/>
      <c r="G108" s="242" t="s">
        <v>7576</v>
      </c>
      <c r="H108" s="242" t="s">
        <v>3096</v>
      </c>
      <c r="I108" s="305" t="s">
        <v>7926</v>
      </c>
      <c r="J108" s="258" t="str">
        <f>HYPERLINK("https://www.google.com/maps/search/Palacete%20dos%20Barreto%20Faro%20Portugal/@37.1394,-8.0225,17z","🏛 Palacete dos Barreto")</f>
        <v>🏛 Palacete dos Barreto</v>
      </c>
    </row>
    <row r="109" spans="1:10" ht="110" customHeight="1" x14ac:dyDescent="0.35">
      <c r="A109" s="338">
        <v>105</v>
      </c>
      <c r="B109" s="239" t="s">
        <v>7946</v>
      </c>
      <c r="C109" s="239" t="s">
        <v>767</v>
      </c>
      <c r="D109" s="240" t="s">
        <v>5761</v>
      </c>
      <c r="E109" s="239" t="s">
        <v>2172</v>
      </c>
      <c r="F109" s="239"/>
      <c r="G109" s="239" t="s">
        <v>7576</v>
      </c>
      <c r="H109" s="239" t="s">
        <v>3096</v>
      </c>
      <c r="I109" s="304" t="s">
        <v>7926</v>
      </c>
      <c r="J109" s="257" t="str">
        <f>HYPERLINK("https://www.google.com/maps/search/Palacete%20dos%20Cabrita%20Faro%20Portugal/@37.1394,-8.0225,17z","🏛 Palacete dos Cabrita")</f>
        <v>🏛 Palacete dos Cabrita</v>
      </c>
    </row>
    <row r="110" spans="1:10" ht="110" customHeight="1" x14ac:dyDescent="0.35">
      <c r="A110" s="336">
        <v>106</v>
      </c>
      <c r="B110" s="242" t="s">
        <v>7947</v>
      </c>
      <c r="C110" s="242" t="s">
        <v>767</v>
      </c>
      <c r="D110" s="243" t="s">
        <v>5761</v>
      </c>
      <c r="E110" s="242" t="s">
        <v>2172</v>
      </c>
      <c r="F110" s="242"/>
      <c r="G110" s="242" t="s">
        <v>7576</v>
      </c>
      <c r="H110" s="242" t="s">
        <v>3096</v>
      </c>
      <c r="I110" s="305" t="s">
        <v>7926</v>
      </c>
      <c r="J110" s="258" t="str">
        <f>HYPERLINK("https://www.google.com/maps/search/Palacete%20dos%20Correia%20Faro%20Portugal/@37.1394,-8.0225,17z","🏛 Palacete dos Correia")</f>
        <v>🏛 Palacete dos Correia</v>
      </c>
    </row>
    <row r="111" spans="1:10" ht="110" customHeight="1" x14ac:dyDescent="0.35">
      <c r="A111" s="338">
        <v>107</v>
      </c>
      <c r="B111" s="239" t="s">
        <v>7948</v>
      </c>
      <c r="C111" s="239" t="s">
        <v>767</v>
      </c>
      <c r="D111" s="240" t="s">
        <v>5761</v>
      </c>
      <c r="E111" s="239" t="s">
        <v>2180</v>
      </c>
      <c r="F111" s="239"/>
      <c r="G111" s="239" t="s">
        <v>7576</v>
      </c>
      <c r="H111" s="239" t="s">
        <v>3096</v>
      </c>
      <c r="I111" s="304" t="s">
        <v>7926</v>
      </c>
      <c r="J111" s="257" t="str">
        <f>HYPERLINK("https://www.google.com/maps/search/Palacete%20dos%20Mascarenhas%20%28Silves%29%20Faro%20Portugal/@37.1894,-8.4387,17z","🏛 Palacete dos Mascarenhas (S…")</f>
        <v>🏛 Palacete dos Mascarenhas (S…</v>
      </c>
    </row>
    <row r="112" spans="1:10" ht="110" customHeight="1" x14ac:dyDescent="0.35">
      <c r="A112" s="336">
        <v>108</v>
      </c>
      <c r="B112" s="242" t="s">
        <v>7949</v>
      </c>
      <c r="C112" s="242" t="s">
        <v>767</v>
      </c>
      <c r="D112" s="243" t="s">
        <v>5761</v>
      </c>
      <c r="E112" s="242" t="s">
        <v>2180</v>
      </c>
      <c r="F112" s="242"/>
      <c r="G112" s="242" t="s">
        <v>7576</v>
      </c>
      <c r="H112" s="242" t="s">
        <v>3096</v>
      </c>
      <c r="I112" s="305" t="s">
        <v>7926</v>
      </c>
      <c r="J112" s="258" t="str">
        <f>HYPERLINK("https://www.google.com/maps/search/Palacete%20dos%20Cabrita%20de%20Silves%20Faro%20Portugal/@37.1894,-8.4387,17z","🏛 Palacete dos Cabrita de Sil…")</f>
        <v>🏛 Palacete dos Cabrita de Sil…</v>
      </c>
    </row>
    <row r="113" spans="1:10" ht="110" customHeight="1" x14ac:dyDescent="0.35">
      <c r="A113" s="338">
        <v>109</v>
      </c>
      <c r="B113" s="239" t="s">
        <v>7950</v>
      </c>
      <c r="C113" s="239" t="s">
        <v>853</v>
      </c>
      <c r="D113" s="240" t="s">
        <v>1412</v>
      </c>
      <c r="E113" s="239" t="s">
        <v>1412</v>
      </c>
      <c r="F113" s="239"/>
      <c r="G113" s="239" t="s">
        <v>7576</v>
      </c>
      <c r="H113" s="239" t="s">
        <v>3096</v>
      </c>
      <c r="I113" s="304" t="s">
        <v>7951</v>
      </c>
      <c r="J113" s="257" t="str">
        <f>HYPERLINK("https://www.google.com/maps/search/Pal%C3%A1cio%20Barrocal%20%C3%89vora%20Portugal/@38.5714,-7.9086,17z","🏛 Palácio Barrocal")</f>
        <v>🏛 Palácio Barrocal</v>
      </c>
    </row>
    <row r="114" spans="1:10" ht="110" customHeight="1" x14ac:dyDescent="0.35">
      <c r="A114" s="336">
        <v>110</v>
      </c>
      <c r="B114" s="242" t="s">
        <v>7952</v>
      </c>
      <c r="C114" s="242" t="s">
        <v>853</v>
      </c>
      <c r="D114" s="243" t="s">
        <v>1412</v>
      </c>
      <c r="E114" s="242" t="s">
        <v>7808</v>
      </c>
      <c r="F114" s="242"/>
      <c r="G114" s="242" t="s">
        <v>7576</v>
      </c>
      <c r="H114" s="242" t="s">
        <v>3096</v>
      </c>
      <c r="I114" s="305" t="s">
        <v>7953</v>
      </c>
      <c r="J114" s="258" t="str">
        <f>HYPERLINK("https://www.google.com/maps/search/Pa%C3%A7o%20Real%20de%20Estremoz%20%C3%89vora%20Portugal/@38.8442,-7.5881,17z","🏛 Paço Real de Estremoz")</f>
        <v>🏛 Paço Real de Estremoz</v>
      </c>
    </row>
    <row r="115" spans="1:10" ht="110" customHeight="1" x14ac:dyDescent="0.35">
      <c r="A115" s="338">
        <v>111</v>
      </c>
      <c r="B115" s="239" t="s">
        <v>7954</v>
      </c>
      <c r="C115" s="239" t="s">
        <v>853</v>
      </c>
      <c r="D115" s="240" t="s">
        <v>1412</v>
      </c>
      <c r="E115" s="239" t="s">
        <v>7955</v>
      </c>
      <c r="F115" s="239"/>
      <c r="G115" s="239" t="s">
        <v>7576</v>
      </c>
      <c r="H115" s="239" t="s">
        <v>3096</v>
      </c>
      <c r="I115" s="304" t="s">
        <v>7953</v>
      </c>
      <c r="J115" s="257" t="str">
        <f>HYPERLINK("https://www.google.com/maps/search/Pa%C3%A7o%20dos%20Alcaides%20%28Montemor%29%20%C3%89vora%20Portugal/@38.65,-8.2167,17z","🏛 Paço dos Alcaides (Montemor)")</f>
        <v>🏛 Paço dos Alcaides (Montemor)</v>
      </c>
    </row>
    <row r="116" spans="1:10" ht="110" customHeight="1" x14ac:dyDescent="0.35">
      <c r="A116" s="336">
        <v>112</v>
      </c>
      <c r="B116" s="242" t="s">
        <v>7956</v>
      </c>
      <c r="C116" s="242" t="s">
        <v>853</v>
      </c>
      <c r="D116" s="243" t="s">
        <v>1233</v>
      </c>
      <c r="E116" s="242" t="s">
        <v>1233</v>
      </c>
      <c r="F116" s="242"/>
      <c r="G116" s="242" t="s">
        <v>7576</v>
      </c>
      <c r="H116" s="242" t="s">
        <v>3096</v>
      </c>
      <c r="I116" s="305" t="s">
        <v>7957</v>
      </c>
      <c r="J116" s="258" t="str">
        <f>HYPERLINK("https://www.google.com/maps/search/Pal%C3%A1cio%20Maldonado%20e%20Sousa%20Beja%20Portugal/@38.0164,-7.8647,17z","🏛 Palácio Maldonado e Sousa")</f>
        <v>🏛 Palácio Maldonado e Sousa</v>
      </c>
    </row>
    <row r="117" spans="1:10" ht="110" customHeight="1" x14ac:dyDescent="0.35">
      <c r="A117" s="338">
        <v>113</v>
      </c>
      <c r="B117" s="239" t="s">
        <v>7958</v>
      </c>
      <c r="C117" s="239" t="s">
        <v>853</v>
      </c>
      <c r="D117" s="240" t="s">
        <v>1233</v>
      </c>
      <c r="E117" s="239" t="s">
        <v>2126</v>
      </c>
      <c r="F117" s="239"/>
      <c r="G117" s="239" t="s">
        <v>7576</v>
      </c>
      <c r="H117" s="239" t="s">
        <v>3096</v>
      </c>
      <c r="I117" s="304" t="s">
        <v>7959</v>
      </c>
      <c r="J117" s="257" t="str">
        <f>HYPERLINK("https://www.google.com/maps/search/Pa%C3%A7o%20de%20Serpa%20Beja%20Portugal/@37.9456,-7.5994,17z","🏛 Paço de Serpa")</f>
        <v>🏛 Paço de Serpa</v>
      </c>
    </row>
    <row r="118" spans="1:10" ht="110" customHeight="1" x14ac:dyDescent="0.35">
      <c r="A118" s="336">
        <v>114</v>
      </c>
      <c r="B118" s="242" t="s">
        <v>7960</v>
      </c>
      <c r="C118" s="242" t="s">
        <v>853</v>
      </c>
      <c r="D118" s="243" t="s">
        <v>1233</v>
      </c>
      <c r="E118" s="242" t="s">
        <v>6081</v>
      </c>
      <c r="F118" s="242"/>
      <c r="G118" s="242" t="s">
        <v>7576</v>
      </c>
      <c r="H118" s="242" t="s">
        <v>3096</v>
      </c>
      <c r="I118" s="305" t="s">
        <v>7959</v>
      </c>
      <c r="J118" s="258" t="str">
        <f>HYPERLINK("https://www.google.com/maps/search/Pa%C3%A7o%20de%20M%C3%A9rtola%20Beja%20Portugal/@37.6414,-7.6639,17z","🏛 Paço de Mértola")</f>
        <v>🏛 Paço de Mértola</v>
      </c>
    </row>
    <row r="119" spans="1:10" ht="110" customHeight="1" x14ac:dyDescent="0.35">
      <c r="A119" s="338">
        <v>115</v>
      </c>
      <c r="B119" s="239" t="s">
        <v>7961</v>
      </c>
      <c r="C119" s="239" t="s">
        <v>853</v>
      </c>
      <c r="D119" s="240" t="s">
        <v>1233</v>
      </c>
      <c r="E119" s="239" t="s">
        <v>7962</v>
      </c>
      <c r="F119" s="239"/>
      <c r="G119" s="239" t="s">
        <v>7576</v>
      </c>
      <c r="H119" s="239" t="s">
        <v>3096</v>
      </c>
      <c r="I119" s="304" t="s">
        <v>7959</v>
      </c>
      <c r="J119" s="257" t="str">
        <f>HYPERLINK("https://www.google.com/maps/search/Pa%C3%A7o%20de%20Aljustrel%20Beja%20Portugal/@37.8747,-8.1658,17z","🏛 Paço de Aljustrel")</f>
        <v>🏛 Paço de Aljustrel</v>
      </c>
    </row>
    <row r="120" spans="1:10" ht="110" customHeight="1" x14ac:dyDescent="0.35">
      <c r="A120" s="336">
        <v>116</v>
      </c>
      <c r="B120" s="242" t="s">
        <v>7963</v>
      </c>
      <c r="C120" s="242" t="s">
        <v>853</v>
      </c>
      <c r="D120" s="243" t="s">
        <v>2538</v>
      </c>
      <c r="E120" s="242" t="s">
        <v>7964</v>
      </c>
      <c r="F120" s="242"/>
      <c r="G120" s="242" t="s">
        <v>7576</v>
      </c>
      <c r="H120" s="242" t="s">
        <v>3096</v>
      </c>
      <c r="I120" s="305" t="s">
        <v>7965</v>
      </c>
      <c r="J120" s="258" t="str">
        <f>HYPERLINK("https://www.google.com/maps/search/Pa%C3%A7o%20do%20Concelho%20%28Castelo%20de%20Vide%29%20Portalegre%20Portugal/@39.4147,-7.4564,17z","🏛 Paço do Concelho (Castelo d…")</f>
        <v>🏛 Paço do Concelho (Castelo d…</v>
      </c>
    </row>
    <row r="121" spans="1:10" ht="110" customHeight="1" x14ac:dyDescent="0.35">
      <c r="A121" s="338">
        <v>117</v>
      </c>
      <c r="B121" s="239" t="s">
        <v>7966</v>
      </c>
      <c r="C121" s="239" t="s">
        <v>853</v>
      </c>
      <c r="D121" s="240" t="s">
        <v>2538</v>
      </c>
      <c r="E121" s="239" t="s">
        <v>2528</v>
      </c>
      <c r="F121" s="239"/>
      <c r="G121" s="239" t="s">
        <v>7576</v>
      </c>
      <c r="H121" s="239" t="s">
        <v>3096</v>
      </c>
      <c r="I121" s="304" t="s">
        <v>7965</v>
      </c>
      <c r="J121" s="257" t="str">
        <f>HYPERLINK("https://www.google.com/maps/search/Pa%C3%A7o%20de%20Marv%C3%A3o%20Portalegre%20Portugal/@39.3949,-7.3768,17z","🏛 Paço de Marvão")</f>
        <v>🏛 Paço de Marvão</v>
      </c>
    </row>
    <row r="122" spans="1:10" ht="110" customHeight="1" x14ac:dyDescent="0.35">
      <c r="A122" s="336">
        <v>118</v>
      </c>
      <c r="B122" s="242" t="s">
        <v>7967</v>
      </c>
      <c r="C122" s="242" t="s">
        <v>853</v>
      </c>
      <c r="D122" s="243" t="s">
        <v>2538</v>
      </c>
      <c r="E122" s="242" t="s">
        <v>7968</v>
      </c>
      <c r="F122" s="242"/>
      <c r="G122" s="242" t="s">
        <v>7576</v>
      </c>
      <c r="H122" s="242" t="s">
        <v>3096</v>
      </c>
      <c r="I122" s="305" t="s">
        <v>7965</v>
      </c>
      <c r="J122" s="258" t="str">
        <f>HYPERLINK("https://www.google.com/maps/search/Pa%C3%A7o%20de%20Nisa%20Portalegre%20Portugal/@39.5139,-7.6522,17z","🏛 Paço de Nisa")</f>
        <v>🏛 Paço de Nisa</v>
      </c>
    </row>
    <row r="123" spans="1:10" ht="110" customHeight="1" x14ac:dyDescent="0.35">
      <c r="A123" s="338">
        <v>119</v>
      </c>
      <c r="B123" s="239" t="s">
        <v>7969</v>
      </c>
      <c r="C123" s="239" t="s">
        <v>853</v>
      </c>
      <c r="D123" s="240" t="s">
        <v>2538</v>
      </c>
      <c r="E123" s="239" t="s">
        <v>5660</v>
      </c>
      <c r="F123" s="239"/>
      <c r="G123" s="239" t="s">
        <v>7576</v>
      </c>
      <c r="H123" s="239" t="s">
        <v>3096</v>
      </c>
      <c r="I123" s="304" t="s">
        <v>7965</v>
      </c>
      <c r="J123" s="257" t="str">
        <f>HYPERLINK("https://www.google.com/maps/search/Pa%C3%A7o%20de%20Alter%20Portalegre%20Portugal/@39.1989,-7.6586,17z","🏛 Paço de Alter")</f>
        <v>🏛 Paço de Alter</v>
      </c>
    </row>
    <row r="124" spans="1:10" ht="110" customHeight="1" x14ac:dyDescent="0.35">
      <c r="A124" s="336">
        <v>120</v>
      </c>
      <c r="B124" s="242" t="s">
        <v>7970</v>
      </c>
      <c r="C124" s="242" t="s">
        <v>853</v>
      </c>
      <c r="D124" s="243" t="s">
        <v>5501</v>
      </c>
      <c r="E124" s="242" t="s">
        <v>5501</v>
      </c>
      <c r="F124" s="242"/>
      <c r="G124" s="242" t="s">
        <v>7576</v>
      </c>
      <c r="H124" s="242" t="s">
        <v>3096</v>
      </c>
      <c r="I124" s="305" t="s">
        <v>7971</v>
      </c>
      <c r="J124" s="258" t="str">
        <f>HYPERLINK("https://www.google.com/maps/search/Pal%C3%A1cio%20Landal%20%28Santar%C3%A9m%29%20Portugal/@39.2369,-8.6872,17z","🏛 Palácio Landal (Santarém)")</f>
        <v>🏛 Palácio Landal (Santarém)</v>
      </c>
    </row>
    <row r="125" spans="1:10" ht="110" customHeight="1" x14ac:dyDescent="0.35">
      <c r="A125" s="338">
        <v>121</v>
      </c>
      <c r="B125" s="239" t="s">
        <v>7972</v>
      </c>
      <c r="C125" s="239" t="s">
        <v>853</v>
      </c>
      <c r="D125" s="240" t="s">
        <v>5501</v>
      </c>
      <c r="E125" s="239" t="s">
        <v>7973</v>
      </c>
      <c r="F125" s="239"/>
      <c r="G125" s="239" t="s">
        <v>7576</v>
      </c>
      <c r="H125" s="239" t="s">
        <v>3096</v>
      </c>
      <c r="I125" s="304" t="s">
        <v>7974</v>
      </c>
      <c r="J125" s="257" t="str">
        <f>HYPERLINK("https://www.google.com/maps/search/Pa%C3%A7o%20Real%20de%20Almeirim%20Santar%C3%A9m%20Portugal/@39.2086,-8.6258,17z","🏛 Paço Real de Almeirim")</f>
        <v>🏛 Paço Real de Almeirim</v>
      </c>
    </row>
    <row r="126" spans="1:10" ht="110" customHeight="1" x14ac:dyDescent="0.35">
      <c r="A126" s="336">
        <v>122</v>
      </c>
      <c r="B126" s="242" t="s">
        <v>7975</v>
      </c>
      <c r="C126" s="242" t="s">
        <v>853</v>
      </c>
      <c r="D126" s="243" t="s">
        <v>5501</v>
      </c>
      <c r="E126" s="242" t="s">
        <v>1276</v>
      </c>
      <c r="F126" s="242"/>
      <c r="G126" s="242" t="s">
        <v>7576</v>
      </c>
      <c r="H126" s="242" t="s">
        <v>3096</v>
      </c>
      <c r="I126" s="305" t="s">
        <v>7974</v>
      </c>
      <c r="J126" s="258" t="str">
        <f>HYPERLINK("https://www.google.com/maps/search/Pa%C3%A7o%20Real%20de%20Tomar%20Santar%C3%A9m%20Portugal/@39.6036,-8.4186,17z","🏛 Paço Real de Tomar")</f>
        <v>🏛 Paço Real de Tomar</v>
      </c>
    </row>
    <row r="127" spans="1:10" ht="110" customHeight="1" x14ac:dyDescent="0.35">
      <c r="A127" s="338">
        <v>123</v>
      </c>
      <c r="B127" s="239" t="s">
        <v>7976</v>
      </c>
      <c r="C127" s="239" t="s">
        <v>853</v>
      </c>
      <c r="D127" s="240" t="s">
        <v>5501</v>
      </c>
      <c r="E127" s="239" t="s">
        <v>2068</v>
      </c>
      <c r="F127" s="239"/>
      <c r="G127" s="239" t="s">
        <v>7576</v>
      </c>
      <c r="H127" s="239" t="s">
        <v>3096</v>
      </c>
      <c r="I127" s="304" t="s">
        <v>7974</v>
      </c>
      <c r="J127" s="257" t="str">
        <f>HYPERLINK("https://www.google.com/maps/search/Pa%C3%A7o%20dos%20Condes%20de%20Our%C3%A9m%20Santar%C3%A9m%20Portugal/@39.6558,-8.5806,17z","🏛 Paço dos Condes de Ourém")</f>
        <v>🏛 Paço dos Condes de Ourém</v>
      </c>
    </row>
    <row r="128" spans="1:10" ht="110" customHeight="1" x14ac:dyDescent="0.35">
      <c r="A128" s="336">
        <v>124</v>
      </c>
      <c r="B128" s="242" t="s">
        <v>7977</v>
      </c>
      <c r="C128" s="242" t="s">
        <v>853</v>
      </c>
      <c r="D128" s="243" t="s">
        <v>5501</v>
      </c>
      <c r="E128" s="242" t="s">
        <v>5726</v>
      </c>
      <c r="F128" s="242"/>
      <c r="G128" s="242" t="s">
        <v>7576</v>
      </c>
      <c r="H128" s="242" t="s">
        <v>3096</v>
      </c>
      <c r="I128" s="305" t="s">
        <v>7974</v>
      </c>
      <c r="J128" s="258" t="str">
        <f>HYPERLINK("https://www.google.com/maps/search/Pa%C3%A7o%20de%20Coruche%20Santar%C3%A9m%20Portugal/@38.9572,-8.5239,17z","🏛 Paço de Coruche")</f>
        <v>🏛 Paço de Coruche</v>
      </c>
    </row>
    <row r="129" spans="1:10" ht="110" customHeight="1" x14ac:dyDescent="0.35">
      <c r="A129" s="338">
        <v>125</v>
      </c>
      <c r="B129" s="239" t="s">
        <v>7978</v>
      </c>
      <c r="C129" s="239" t="s">
        <v>853</v>
      </c>
      <c r="D129" s="240" t="s">
        <v>1412</v>
      </c>
      <c r="E129" s="239" t="s">
        <v>7090</v>
      </c>
      <c r="F129" s="239"/>
      <c r="G129" s="239" t="s">
        <v>7576</v>
      </c>
      <c r="H129" s="239" t="s">
        <v>3096</v>
      </c>
      <c r="I129" s="304" t="s">
        <v>7953</v>
      </c>
      <c r="J129" s="257" t="str">
        <f>HYPERLINK("https://www.google.com/maps/search/Pa%C3%A7o%20de%20Redondo%20%C3%89vora%20Portugal/@38.6442,-7.5417,17z","🏛 Paço de Redondo")</f>
        <v>🏛 Paço de Redondo</v>
      </c>
    </row>
    <row r="130" spans="1:10" ht="110" customHeight="1" x14ac:dyDescent="0.35">
      <c r="A130" s="336">
        <v>126</v>
      </c>
      <c r="B130" s="242" t="s">
        <v>7979</v>
      </c>
      <c r="C130" s="242" t="s">
        <v>853</v>
      </c>
      <c r="D130" s="243" t="s">
        <v>1412</v>
      </c>
      <c r="E130" s="242" t="s">
        <v>7980</v>
      </c>
      <c r="F130" s="242"/>
      <c r="G130" s="242" t="s">
        <v>7576</v>
      </c>
      <c r="H130" s="242" t="s">
        <v>3096</v>
      </c>
      <c r="I130" s="305" t="s">
        <v>7953</v>
      </c>
      <c r="J130" s="258" t="str">
        <f>HYPERLINK("https://www.google.com/maps/search/Pa%C3%A7o%20de%20Reguengos%20%C3%89vora%20Portugal/@38.4192,-7.5394,17z","🏛 Paço de Reguengos")</f>
        <v>🏛 Paço de Reguengos</v>
      </c>
    </row>
    <row r="131" spans="1:10" ht="110" customHeight="1" x14ac:dyDescent="0.35">
      <c r="A131" s="338">
        <v>127</v>
      </c>
      <c r="B131" s="239" t="s">
        <v>7981</v>
      </c>
      <c r="C131" s="239" t="s">
        <v>853</v>
      </c>
      <c r="D131" s="240" t="s">
        <v>1412</v>
      </c>
      <c r="E131" s="239" t="s">
        <v>7458</v>
      </c>
      <c r="F131" s="239"/>
      <c r="G131" s="239" t="s">
        <v>7576</v>
      </c>
      <c r="H131" s="239" t="s">
        <v>3096</v>
      </c>
      <c r="I131" s="304" t="s">
        <v>7953</v>
      </c>
      <c r="J131" s="257" t="str">
        <f>HYPERLINK("https://www.google.com/maps/search/Pa%C3%A7o%20de%20Arraiolos%20%C3%89vora%20Portugal/@38.7247,-7.9861,17z","🏛 Paço de Arraiolos")</f>
        <v>🏛 Paço de Arraiolos</v>
      </c>
    </row>
    <row r="132" spans="1:10" ht="110" customHeight="1" x14ac:dyDescent="0.35">
      <c r="A132" s="336">
        <v>128</v>
      </c>
      <c r="B132" s="242" t="s">
        <v>7982</v>
      </c>
      <c r="C132" s="242" t="s">
        <v>853</v>
      </c>
      <c r="D132" s="243" t="s">
        <v>1412</v>
      </c>
      <c r="E132" s="242" t="s">
        <v>7422</v>
      </c>
      <c r="F132" s="242"/>
      <c r="G132" s="242" t="s">
        <v>7576</v>
      </c>
      <c r="H132" s="242" t="s">
        <v>3096</v>
      </c>
      <c r="I132" s="305" t="s">
        <v>7953</v>
      </c>
      <c r="J132" s="258" t="str">
        <f>HYPERLINK("https://www.google.com/maps/search/Pa%C3%A7o%20de%20Borba%20%C3%89vora%20Portugal/@38.7972,-7.4561,17z","🏛 Paço de Borba")</f>
        <v>🏛 Paço de Borba</v>
      </c>
    </row>
    <row r="133" spans="1:10" ht="110" customHeight="1" x14ac:dyDescent="0.35">
      <c r="A133" s="338">
        <v>129</v>
      </c>
      <c r="B133" s="239" t="s">
        <v>7983</v>
      </c>
      <c r="C133" s="239" t="s">
        <v>913</v>
      </c>
      <c r="D133" s="240" t="s">
        <v>5501</v>
      </c>
      <c r="E133" s="239" t="s">
        <v>7984</v>
      </c>
      <c r="F133" s="239"/>
      <c r="G133" s="239" t="s">
        <v>7576</v>
      </c>
      <c r="H133" s="239" t="s">
        <v>3096</v>
      </c>
      <c r="I133" s="304" t="s">
        <v>7971</v>
      </c>
      <c r="J133" s="257" t="str">
        <f>HYPERLINK("https://www.google.com/maps/search/Pal%C3%A1cio%20do%20Sobralinho%20Santar%C3%A9m%20Portugal/@38.9561,-8.9836,17z","🏛 Palácio do Sobralinho")</f>
        <v>🏛 Palácio do Sobralinho</v>
      </c>
    </row>
    <row r="134" spans="1:10" ht="110" customHeight="1" x14ac:dyDescent="0.35">
      <c r="A134" s="336">
        <v>130</v>
      </c>
      <c r="B134" s="242" t="s">
        <v>7985</v>
      </c>
      <c r="C134" s="242" t="s">
        <v>913</v>
      </c>
      <c r="D134" s="243" t="s">
        <v>1347</v>
      </c>
      <c r="E134" s="242" t="s">
        <v>1347</v>
      </c>
      <c r="F134" s="242"/>
      <c r="G134" s="242" t="s">
        <v>7576</v>
      </c>
      <c r="H134" s="242" t="s">
        <v>3096</v>
      </c>
      <c r="I134" s="305" t="s">
        <v>7986</v>
      </c>
      <c r="J134" s="258" t="str">
        <f>HYPERLINK("https://www.google.com/maps/search/Pal%C3%A1cio%20Fryxell%20%28Set%C3%BAbal%29%20Portugal/@38.5278,-8.8931,17z","🏛 Palácio Fryxell (Setúbal)")</f>
        <v>🏛 Palácio Fryxell (Setúbal)</v>
      </c>
    </row>
    <row r="135" spans="1:10" ht="110" customHeight="1" x14ac:dyDescent="0.35">
      <c r="A135" s="338">
        <v>131</v>
      </c>
      <c r="B135" s="239" t="s">
        <v>7987</v>
      </c>
      <c r="C135" s="239" t="s">
        <v>913</v>
      </c>
      <c r="D135" s="240" t="s">
        <v>1347</v>
      </c>
      <c r="E135" s="239" t="s">
        <v>2646</v>
      </c>
      <c r="F135" s="239"/>
      <c r="G135" s="239" t="s">
        <v>7576</v>
      </c>
      <c r="H135" s="239" t="s">
        <v>3096</v>
      </c>
      <c r="I135" s="304" t="s">
        <v>7988</v>
      </c>
      <c r="J135" s="257" t="str">
        <f>HYPERLINK("https://www.google.com/maps/search/Pa%C3%A7o%20do%20Concelho%20de%20Palmela%20Set%C3%BAbal%20Portugal/@38.5683,-8.9044,17z","🏛 Paço do Concelho de Palmela")</f>
        <v>🏛 Paço do Concelho de Palmela</v>
      </c>
    </row>
    <row r="136" spans="1:10" ht="110" customHeight="1" x14ac:dyDescent="0.35">
      <c r="A136" s="336">
        <v>132</v>
      </c>
      <c r="B136" s="242" t="s">
        <v>7989</v>
      </c>
      <c r="C136" s="242" t="s">
        <v>913</v>
      </c>
      <c r="D136" s="243" t="s">
        <v>1347</v>
      </c>
      <c r="E136" s="242" t="s">
        <v>5516</v>
      </c>
      <c r="F136" s="242"/>
      <c r="G136" s="242" t="s">
        <v>7576</v>
      </c>
      <c r="H136" s="242" t="s">
        <v>3096</v>
      </c>
      <c r="I136" s="305" t="s">
        <v>7988</v>
      </c>
      <c r="J136" s="258" t="str">
        <f>HYPERLINK("https://www.google.com/maps/search/Pa%C3%A7o%20de%20Alc%C3%A1cer%20do%20Sal%20Set%C3%BAbal%20Portugal/@38.3723,-8.513,17z","🏛 Paço de Alcácer do Sal")</f>
        <v>🏛 Paço de Alcácer do Sal</v>
      </c>
    </row>
    <row r="137" spans="1:10" ht="110" customHeight="1" x14ac:dyDescent="0.35">
      <c r="A137" s="338">
        <v>133</v>
      </c>
      <c r="B137" s="239" t="s">
        <v>7990</v>
      </c>
      <c r="C137" s="239" t="s">
        <v>913</v>
      </c>
      <c r="D137" s="240" t="s">
        <v>1347</v>
      </c>
      <c r="E137" s="239" t="s">
        <v>6161</v>
      </c>
      <c r="F137" s="239"/>
      <c r="G137" s="239" t="s">
        <v>7576</v>
      </c>
      <c r="H137" s="239" t="s">
        <v>3096</v>
      </c>
      <c r="I137" s="304" t="s">
        <v>7988</v>
      </c>
      <c r="J137" s="257" t="str">
        <f>HYPERLINK("https://www.google.com/maps/search/Pa%C3%A7o%20de%20Gr%C3%A2ndola%20Set%C3%BAbal%20Portugal/@38.1798,-8.5699,17z","🏛 Paço de Grândola")</f>
        <v>🏛 Paço de Grândola</v>
      </c>
    </row>
    <row r="138" spans="1:10" ht="110" customHeight="1" x14ac:dyDescent="0.35">
      <c r="A138" s="336">
        <v>134</v>
      </c>
      <c r="B138" s="242" t="s">
        <v>7991</v>
      </c>
      <c r="C138" s="242" t="s">
        <v>913</v>
      </c>
      <c r="D138" s="243" t="s">
        <v>1347</v>
      </c>
      <c r="E138" s="242" t="s">
        <v>5947</v>
      </c>
      <c r="F138" s="242"/>
      <c r="G138" s="242" t="s">
        <v>7576</v>
      </c>
      <c r="H138" s="242" t="s">
        <v>3096</v>
      </c>
      <c r="I138" s="305" t="s">
        <v>7988</v>
      </c>
      <c r="J138" s="258" t="str">
        <f>HYPERLINK("https://www.google.com/maps/search/Pa%C3%A7o%20de%20Sesimbra%20Set%C3%BAbal%20Portugal/@38.4439,-9.0997,17z","🏛 Paço de Sesimbra")</f>
        <v>🏛 Paço de Sesimbra</v>
      </c>
    </row>
    <row r="139" spans="1:10" ht="110" customHeight="1" x14ac:dyDescent="0.35">
      <c r="A139" s="338">
        <v>135</v>
      </c>
      <c r="B139" s="239" t="s">
        <v>7992</v>
      </c>
      <c r="C139" s="239" t="s">
        <v>836</v>
      </c>
      <c r="D139" s="240" t="s">
        <v>5497</v>
      </c>
      <c r="E139" s="239" t="s">
        <v>5497</v>
      </c>
      <c r="F139" s="239"/>
      <c r="G139" s="239" t="s">
        <v>7576</v>
      </c>
      <c r="H139" s="239" t="s">
        <v>3096</v>
      </c>
      <c r="I139" s="304" t="s">
        <v>7993</v>
      </c>
      <c r="J139" s="257" t="str">
        <f>HYPERLINK("https://www.google.com/maps/search/Pa%C3%A7o%20Episcopal%20de%20Coimbra%20Portugal/@40.2033,-8.4103,17z","🏛 Paço Episcopal de Coimbra")</f>
        <v>🏛 Paço Episcopal de Coimbra</v>
      </c>
    </row>
    <row r="140" spans="1:10" ht="110" customHeight="1" x14ac:dyDescent="0.35">
      <c r="A140" s="336">
        <v>136</v>
      </c>
      <c r="B140" s="242" t="s">
        <v>7994</v>
      </c>
      <c r="C140" s="242" t="s">
        <v>836</v>
      </c>
      <c r="D140" s="243" t="s">
        <v>5497</v>
      </c>
      <c r="E140" s="242" t="s">
        <v>5497</v>
      </c>
      <c r="F140" s="242"/>
      <c r="G140" s="242" t="s">
        <v>7576</v>
      </c>
      <c r="H140" s="242" t="s">
        <v>3096</v>
      </c>
      <c r="I140" s="305" t="s">
        <v>7995</v>
      </c>
      <c r="J140" s="258" t="str">
        <f>HYPERLINK("https://www.google.com/maps/search/Pal%C3%A1cio%20Sub-Ripas%20Coimbra%20Portugal/@40.2033,-8.4103,17z","🏛 Palácio Sub-Ripas")</f>
        <v>🏛 Palácio Sub-Ripas</v>
      </c>
    </row>
    <row r="141" spans="1:10" ht="110" customHeight="1" x14ac:dyDescent="0.35">
      <c r="A141" s="338">
        <v>137</v>
      </c>
      <c r="B141" s="239" t="s">
        <v>7996</v>
      </c>
      <c r="C141" s="239" t="s">
        <v>836</v>
      </c>
      <c r="D141" s="240" t="s">
        <v>5497</v>
      </c>
      <c r="E141" s="239" t="s">
        <v>5488</v>
      </c>
      <c r="F141" s="239"/>
      <c r="G141" s="239" t="s">
        <v>7576</v>
      </c>
      <c r="H141" s="239" t="s">
        <v>3096</v>
      </c>
      <c r="I141" s="304" t="s">
        <v>7997</v>
      </c>
      <c r="J141" s="257" t="str">
        <f>HYPERLINK("https://www.google.com/maps/search/Pal%C3%A1cio%20da%20Lous%C3%A3%20%28Solar%29%20Coimbra%20Portugal/@40.1083,-8.2483,17z","🏛 Palácio da Lousã (Solar)")</f>
        <v>🏛 Palácio da Lousã (Solar)</v>
      </c>
    </row>
    <row r="142" spans="1:10" ht="110" customHeight="1" x14ac:dyDescent="0.35">
      <c r="A142" s="336">
        <v>138</v>
      </c>
      <c r="B142" s="242" t="s">
        <v>7998</v>
      </c>
      <c r="C142" s="242" t="s">
        <v>836</v>
      </c>
      <c r="D142" s="243" t="s">
        <v>7725</v>
      </c>
      <c r="E142" s="242" t="s">
        <v>7725</v>
      </c>
      <c r="F142" s="242"/>
      <c r="G142" s="242" t="s">
        <v>7576</v>
      </c>
      <c r="H142" s="242" t="s">
        <v>3096</v>
      </c>
      <c r="I142" s="305" t="s">
        <v>7999</v>
      </c>
      <c r="J142" s="258" t="str">
        <f>HYPERLINK("https://www.google.com/maps/search/Pal%C3%A1cio%20dos%20Bispos%20de%20Leiria%20Portugal/@39.7473,-8.8078,17z","🏛 Palácio dos Bispos de Leiria")</f>
        <v>🏛 Palácio dos Bispos de Leiria</v>
      </c>
    </row>
    <row r="143" spans="1:10" ht="110" customHeight="1" x14ac:dyDescent="0.35">
      <c r="A143" s="338">
        <v>139</v>
      </c>
      <c r="B143" s="239" t="s">
        <v>8000</v>
      </c>
      <c r="C143" s="239" t="s">
        <v>836</v>
      </c>
      <c r="D143" s="240" t="s">
        <v>7725</v>
      </c>
      <c r="E143" s="239" t="s">
        <v>5644</v>
      </c>
      <c r="F143" s="239"/>
      <c r="G143" s="239" t="s">
        <v>7576</v>
      </c>
      <c r="H143" s="239" t="s">
        <v>3096</v>
      </c>
      <c r="I143" s="304" t="s">
        <v>8001</v>
      </c>
      <c r="J143" s="257" t="str">
        <f>HYPERLINK("https://www.google.com/maps/search/Pa%C3%A7o%20Real%20de%20Alcoba%C3%A7a%20Leiria%20Portugal/@39.5522,-8.9806,17z","🏛 Paço Real de Alcobaça")</f>
        <v>🏛 Paço Real de Alcobaça</v>
      </c>
    </row>
    <row r="144" spans="1:10" ht="110" customHeight="1" x14ac:dyDescent="0.35">
      <c r="A144" s="336">
        <v>140</v>
      </c>
      <c r="B144" s="242" t="s">
        <v>8002</v>
      </c>
      <c r="C144" s="242" t="s">
        <v>836</v>
      </c>
      <c r="D144" s="243" t="s">
        <v>7725</v>
      </c>
      <c r="E144" s="242" t="s">
        <v>5935</v>
      </c>
      <c r="F144" s="242"/>
      <c r="G144" s="242" t="s">
        <v>7576</v>
      </c>
      <c r="H144" s="242" t="s">
        <v>3096</v>
      </c>
      <c r="I144" s="305" t="s">
        <v>8001</v>
      </c>
      <c r="J144" s="258" t="str">
        <f>HYPERLINK("https://www.google.com/maps/search/Pa%C3%A7o%20de%20Porto%20de%20M%C3%B3s%20Leiria%20Portugal/@39.6053,-8.8231,17z","🏛 Paço de Porto de Mós")</f>
        <v>🏛 Paço de Porto de Mós</v>
      </c>
    </row>
    <row r="145" spans="1:10" ht="110" customHeight="1" x14ac:dyDescent="0.35">
      <c r="A145" s="338">
        <v>141</v>
      </c>
      <c r="B145" s="239" t="s">
        <v>8003</v>
      </c>
      <c r="C145" s="239" t="s">
        <v>836</v>
      </c>
      <c r="D145" s="240" t="s">
        <v>7725</v>
      </c>
      <c r="E145" s="239" t="s">
        <v>1113</v>
      </c>
      <c r="F145" s="239"/>
      <c r="G145" s="239" t="s">
        <v>7576</v>
      </c>
      <c r="H145" s="239" t="s">
        <v>3096</v>
      </c>
      <c r="I145" s="304" t="s">
        <v>8001</v>
      </c>
      <c r="J145" s="257" t="str">
        <f>HYPERLINK("https://www.google.com/maps/search/Pa%C3%A7o%20do%20Alcaide%20%28%C3%93bidos%29%20Leiria%20Portugal/@39.3636,-9.1572,17z","🏛 Paço do Alcaide (Óbidos)")</f>
        <v>🏛 Paço do Alcaide (Óbidos)</v>
      </c>
    </row>
    <row r="146" spans="1:10" ht="110" customHeight="1" x14ac:dyDescent="0.35">
      <c r="A146" s="336">
        <v>142</v>
      </c>
      <c r="B146" s="242" t="s">
        <v>8004</v>
      </c>
      <c r="C146" s="242" t="s">
        <v>836</v>
      </c>
      <c r="D146" s="243" t="s">
        <v>7725</v>
      </c>
      <c r="E146" s="242" t="s">
        <v>7006</v>
      </c>
      <c r="F146" s="242"/>
      <c r="G146" s="242" t="s">
        <v>7576</v>
      </c>
      <c r="H146" s="242" t="s">
        <v>3096</v>
      </c>
      <c r="I146" s="305" t="s">
        <v>7999</v>
      </c>
      <c r="J146" s="258" t="str">
        <f>HYPERLINK("https://www.google.com/maps/search/Palacete%20Visconde%20de%20Sacav%C3%A9m%20Leiria%20Portugal/@39.4011,-9.1358,17z","🏛 Palacete Visconde de Sacavém")</f>
        <v>🏛 Palacete Visconde de Sacavém</v>
      </c>
    </row>
    <row r="147" spans="1:10" ht="110" customHeight="1" x14ac:dyDescent="0.35">
      <c r="A147" s="338">
        <v>143</v>
      </c>
      <c r="B147" s="239" t="s">
        <v>8005</v>
      </c>
      <c r="C147" s="239" t="s">
        <v>836</v>
      </c>
      <c r="D147" s="240" t="s">
        <v>950</v>
      </c>
      <c r="E147" s="239" t="s">
        <v>950</v>
      </c>
      <c r="F147" s="239"/>
      <c r="G147" s="239" t="s">
        <v>7576</v>
      </c>
      <c r="H147" s="239" t="s">
        <v>3096</v>
      </c>
      <c r="I147" s="304" t="s">
        <v>8006</v>
      </c>
      <c r="J147" s="257" t="str">
        <f>HYPERLINK("https://www.google.com/maps/search/Pa%C3%A7o%20Episcopal%20de%20Viseu%20Portugal/@40.6589,-7.9122,17z","🏛 Paço Episcopal de Viseu")</f>
        <v>🏛 Paço Episcopal de Viseu</v>
      </c>
    </row>
    <row r="148" spans="1:10" ht="110" customHeight="1" x14ac:dyDescent="0.35">
      <c r="A148" s="336">
        <v>144</v>
      </c>
      <c r="B148" s="242" t="s">
        <v>8007</v>
      </c>
      <c r="C148" s="242" t="s">
        <v>836</v>
      </c>
      <c r="D148" s="243" t="s">
        <v>950</v>
      </c>
      <c r="E148" s="242" t="s">
        <v>2064</v>
      </c>
      <c r="F148" s="242"/>
      <c r="G148" s="242" t="s">
        <v>7576</v>
      </c>
      <c r="H148" s="242" t="s">
        <v>3096</v>
      </c>
      <c r="I148" s="305" t="s">
        <v>8006</v>
      </c>
      <c r="J148" s="258" t="str">
        <f>HYPERLINK("https://www.google.com/maps/search/Pa%C3%A7o%20de%20S%C3%A1t%C3%A3o%20Viseu%20Portugal/@40.7431,-7.6231,17z","🏛 Paço de Sátão")</f>
        <v>🏛 Paço de Sátão</v>
      </c>
    </row>
    <row r="149" spans="1:10" ht="110" customHeight="1" x14ac:dyDescent="0.35">
      <c r="A149" s="338">
        <v>145</v>
      </c>
      <c r="B149" s="239" t="s">
        <v>8008</v>
      </c>
      <c r="C149" s="239" t="s">
        <v>836</v>
      </c>
      <c r="D149" s="240" t="s">
        <v>950</v>
      </c>
      <c r="E149" s="239" t="s">
        <v>2082</v>
      </c>
      <c r="F149" s="239"/>
      <c r="G149" s="239" t="s">
        <v>7576</v>
      </c>
      <c r="H149" s="239" t="s">
        <v>3096</v>
      </c>
      <c r="I149" s="304" t="s">
        <v>8006</v>
      </c>
      <c r="J149" s="257" t="str">
        <f>HYPERLINK("https://www.google.com/maps/search/Pa%C3%A7o%20de%20Tondela%20Viseu%20Portugal/@40.5156,-8.0789,17z","🏛 Paço de Tondela")</f>
        <v>🏛 Paço de Tondela</v>
      </c>
    </row>
    <row r="150" spans="1:10" ht="110" customHeight="1" x14ac:dyDescent="0.35">
      <c r="A150" s="336">
        <v>146</v>
      </c>
      <c r="B150" s="242" t="s">
        <v>8009</v>
      </c>
      <c r="C150" s="242" t="s">
        <v>836</v>
      </c>
      <c r="D150" s="243" t="s">
        <v>950</v>
      </c>
      <c r="E150" s="242" t="s">
        <v>7712</v>
      </c>
      <c r="F150" s="242"/>
      <c r="G150" s="242" t="s">
        <v>7576</v>
      </c>
      <c r="H150" s="242" t="s">
        <v>3096</v>
      </c>
      <c r="I150" s="305" t="s">
        <v>8006</v>
      </c>
      <c r="J150" s="258" t="str">
        <f>HYPERLINK("https://www.google.com/maps/search/Pa%C3%A7o%20de%20Penalva%20Viseu%20Portugal/@40.6742,-7.6975,17z","🏛 Paço de Penalva")</f>
        <v>🏛 Paço de Penalva</v>
      </c>
    </row>
    <row r="151" spans="1:10" ht="110" customHeight="1" x14ac:dyDescent="0.35">
      <c r="A151" s="338">
        <v>147</v>
      </c>
      <c r="B151" s="239" t="s">
        <v>8010</v>
      </c>
      <c r="C151" s="239" t="s">
        <v>836</v>
      </c>
      <c r="D151" s="240" t="s">
        <v>8011</v>
      </c>
      <c r="E151" s="239" t="s">
        <v>8011</v>
      </c>
      <c r="F151" s="239"/>
      <c r="G151" s="239" t="s">
        <v>7576</v>
      </c>
      <c r="H151" s="239" t="s">
        <v>3096</v>
      </c>
      <c r="I151" s="304" t="s">
        <v>8012</v>
      </c>
      <c r="J151" s="257" t="str">
        <f>HYPERLINK("https://www.google.com/maps/search/Pa%C3%A7o%20Episcopal%20da%20Guarda%20Portugal/@40.5369,-7.2681,17z","🏛 Paço Episcopal da Guarda")</f>
        <v>🏛 Paço Episcopal da Guarda</v>
      </c>
    </row>
    <row r="152" spans="1:10" ht="110" customHeight="1" x14ac:dyDescent="0.35">
      <c r="A152" s="336">
        <v>148</v>
      </c>
      <c r="B152" s="242" t="s">
        <v>8013</v>
      </c>
      <c r="C152" s="242" t="s">
        <v>836</v>
      </c>
      <c r="D152" s="243" t="s">
        <v>8011</v>
      </c>
      <c r="E152" s="242" t="s">
        <v>8014</v>
      </c>
      <c r="F152" s="242"/>
      <c r="G152" s="242" t="s">
        <v>7576</v>
      </c>
      <c r="H152" s="242" t="s">
        <v>3096</v>
      </c>
      <c r="I152" s="305" t="s">
        <v>8012</v>
      </c>
      <c r="J152" s="258" t="str">
        <f>HYPERLINK("https://www.google.com/maps/search/Pa%C3%A7o%20de%20Trancoso%20Guarda%20Portugal/@40.7769,-7.3483,17z","🏛 Paço de Trancoso")</f>
        <v>🏛 Paço de Trancoso</v>
      </c>
    </row>
    <row r="153" spans="1:10" ht="110" customHeight="1" x14ac:dyDescent="0.35">
      <c r="A153" s="338">
        <v>149</v>
      </c>
      <c r="B153" s="239" t="s">
        <v>8015</v>
      </c>
      <c r="C153" s="239" t="s">
        <v>836</v>
      </c>
      <c r="D153" s="240" t="s">
        <v>8011</v>
      </c>
      <c r="E153" s="239" t="s">
        <v>8016</v>
      </c>
      <c r="F153" s="239"/>
      <c r="G153" s="239" t="s">
        <v>7576</v>
      </c>
      <c r="H153" s="239" t="s">
        <v>3096</v>
      </c>
      <c r="I153" s="304" t="s">
        <v>8012</v>
      </c>
      <c r="J153" s="257" t="str">
        <f>HYPERLINK("https://www.google.com/maps/search/Pa%C3%A7o%20de%20Pinhel%20Guarda%20Portugal/@40.7769,-7.0614,17z","🏛 Paço de Pinhel")</f>
        <v>🏛 Paço de Pinhel</v>
      </c>
    </row>
    <row r="154" spans="1:10" ht="110" customHeight="1" x14ac:dyDescent="0.35">
      <c r="A154" s="336">
        <v>150</v>
      </c>
      <c r="B154" s="242" t="s">
        <v>8017</v>
      </c>
      <c r="C154" s="242" t="s">
        <v>836</v>
      </c>
      <c r="D154" s="243" t="s">
        <v>8011</v>
      </c>
      <c r="E154" s="242" t="s">
        <v>2084</v>
      </c>
      <c r="F154" s="242"/>
      <c r="G154" s="242" t="s">
        <v>7576</v>
      </c>
      <c r="H154" s="242" t="s">
        <v>3096</v>
      </c>
      <c r="I154" s="305" t="s">
        <v>8012</v>
      </c>
      <c r="J154" s="258" t="str">
        <f>HYPERLINK("https://www.google.com/maps/search/Pa%C3%A7o%20Militar%20de%20Almeida%20Guarda%20Portugal/@40.7261,-6.9075,17z","🏛 Paço Militar de Almeida")</f>
        <v>🏛 Paço Militar de Almeida</v>
      </c>
    </row>
    <row r="155" spans="1:10" ht="110" customHeight="1" x14ac:dyDescent="0.35">
      <c r="A155" s="338">
        <v>151</v>
      </c>
      <c r="B155" s="239" t="s">
        <v>8018</v>
      </c>
      <c r="C155" s="239" t="s">
        <v>836</v>
      </c>
      <c r="D155" s="240" t="s">
        <v>8011</v>
      </c>
      <c r="E155" s="239" t="s">
        <v>8019</v>
      </c>
      <c r="F155" s="239"/>
      <c r="G155" s="239" t="s">
        <v>7576</v>
      </c>
      <c r="H155" s="239" t="s">
        <v>3096</v>
      </c>
      <c r="I155" s="304" t="s">
        <v>8012</v>
      </c>
      <c r="J155" s="257" t="str">
        <f>HYPERLINK("https://www.google.com/maps/search/Pa%C3%A7o%20de%20M%C3%AAda%20Guarda%20Portugal/@40.9682,-7.2714,17z","🏛 Paço de Mêda")</f>
        <v>🏛 Paço de Mêda</v>
      </c>
    </row>
    <row r="156" spans="1:10" ht="110" customHeight="1" x14ac:dyDescent="0.35">
      <c r="A156" s="336">
        <v>152</v>
      </c>
      <c r="B156" s="242" t="s">
        <v>8020</v>
      </c>
      <c r="C156" s="242" t="s">
        <v>836</v>
      </c>
      <c r="D156" s="243" t="s">
        <v>1363</v>
      </c>
      <c r="E156" s="242" t="s">
        <v>1908</v>
      </c>
      <c r="F156" s="242"/>
      <c r="G156" s="242" t="s">
        <v>7576</v>
      </c>
      <c r="H156" s="242" t="s">
        <v>3096</v>
      </c>
      <c r="I156" s="305" t="s">
        <v>8021</v>
      </c>
      <c r="J156" s="258" t="str">
        <f>HYPERLINK("https://www.google.com/maps/search/Pa%C3%A7o%20de%20Arouca%20%28Mosteiro%29%20Aveiro%20Portugal/@41.0272,-7.7822,17z","🏛 Paço de Arouca (Mosteiro)")</f>
        <v>🏛 Paço de Arouca (Mosteiro)</v>
      </c>
    </row>
    <row r="157" spans="1:10" ht="110" customHeight="1" x14ac:dyDescent="0.35">
      <c r="A157" s="338">
        <v>153</v>
      </c>
      <c r="B157" s="239" t="s">
        <v>8022</v>
      </c>
      <c r="C157" s="239" t="s">
        <v>836</v>
      </c>
      <c r="D157" s="240" t="s">
        <v>1363</v>
      </c>
      <c r="E157" s="239" t="s">
        <v>5630</v>
      </c>
      <c r="F157" s="239"/>
      <c r="G157" s="239" t="s">
        <v>7576</v>
      </c>
      <c r="H157" s="239" t="s">
        <v>3096</v>
      </c>
      <c r="I157" s="304" t="s">
        <v>8021</v>
      </c>
      <c r="J157" s="257" t="str">
        <f>HYPERLINK("https://www.google.com/maps/search/Pa%C3%A7o%20de%20Estarreja%20Aveiro%20Portugal/@40.7522,-8.5711,17z","🏛 Paço de Estarreja")</f>
        <v>🏛 Paço de Estarreja</v>
      </c>
    </row>
    <row r="158" spans="1:10" ht="110" customHeight="1" x14ac:dyDescent="0.35">
      <c r="A158" s="336">
        <v>154</v>
      </c>
      <c r="B158" s="242" t="s">
        <v>8023</v>
      </c>
      <c r="C158" s="242" t="s">
        <v>836</v>
      </c>
      <c r="D158" s="243" t="s">
        <v>1363</v>
      </c>
      <c r="E158" s="242" t="s">
        <v>1938</v>
      </c>
      <c r="F158" s="242"/>
      <c r="G158" s="242" t="s">
        <v>7576</v>
      </c>
      <c r="H158" s="242" t="s">
        <v>3096</v>
      </c>
      <c r="I158" s="305" t="s">
        <v>8021</v>
      </c>
      <c r="J158" s="258" t="str">
        <f>HYPERLINK("https://www.google.com/maps/search/Pa%C3%A7o%20de%20Oliveira%20%28Azem%C3%A9is%29%20Aveiro%20Portugal/@40.8396,-8.5833,17z","🏛 Paço de Oliveira (Azeméis)")</f>
        <v>🏛 Paço de Oliveira (Azeméis)</v>
      </c>
    </row>
    <row r="159" spans="1:10" ht="110" customHeight="1" x14ac:dyDescent="0.35">
      <c r="A159" s="338">
        <v>155</v>
      </c>
      <c r="B159" s="239" t="s">
        <v>8024</v>
      </c>
      <c r="C159" s="239" t="s">
        <v>836</v>
      </c>
      <c r="D159" s="240" t="s">
        <v>1363</v>
      </c>
      <c r="E159" s="239" t="s">
        <v>8025</v>
      </c>
      <c r="F159" s="239"/>
      <c r="G159" s="239" t="s">
        <v>7576</v>
      </c>
      <c r="H159" s="239" t="s">
        <v>3096</v>
      </c>
      <c r="I159" s="304" t="s">
        <v>8021</v>
      </c>
      <c r="J159" s="257" t="str">
        <f>HYPERLINK("https://www.google.com/maps/search/Pa%C3%A7o%20de%20Vouga%20Aveiro%20Portugal/@40.7272,-8.3622,17z","🏛 Paço de Vouga")</f>
        <v>🏛 Paço de Vouga</v>
      </c>
    </row>
    <row r="160" spans="1:10" ht="110" customHeight="1" x14ac:dyDescent="0.35">
      <c r="A160" s="336">
        <v>156</v>
      </c>
      <c r="B160" s="242" t="s">
        <v>8026</v>
      </c>
      <c r="C160" s="242" t="s">
        <v>792</v>
      </c>
      <c r="D160" s="243" t="s">
        <v>3082</v>
      </c>
      <c r="E160" s="242" t="s">
        <v>3082</v>
      </c>
      <c r="F160" s="242"/>
      <c r="G160" s="242" t="s">
        <v>7576</v>
      </c>
      <c r="H160" s="242" t="s">
        <v>3096</v>
      </c>
      <c r="I160" s="305" t="s">
        <v>8027</v>
      </c>
      <c r="J160" s="258" t="str">
        <f>HYPERLINK("https://www.google.com/maps/search/Pal%C3%A1cio%20dos%20Carrancas%20%28Museu%20Soares%20dos%20Reis%29%20Porto%20Portugal/@39.6053,-8.8231,17z","🏛 Palácio dos Carrancas (Muse…")</f>
        <v>🏛 Palácio dos Carrancas (Muse…</v>
      </c>
    </row>
    <row r="161" spans="1:10" ht="110" customHeight="1" x14ac:dyDescent="0.35">
      <c r="A161" s="338">
        <v>157</v>
      </c>
      <c r="B161" s="239" t="s">
        <v>8028</v>
      </c>
      <c r="C161" s="239" t="s">
        <v>792</v>
      </c>
      <c r="D161" s="240" t="s">
        <v>3082</v>
      </c>
      <c r="E161" s="239" t="s">
        <v>3082</v>
      </c>
      <c r="F161" s="239"/>
      <c r="G161" s="239" t="s">
        <v>7576</v>
      </c>
      <c r="H161" s="239" t="s">
        <v>3096</v>
      </c>
      <c r="I161" s="304" t="s">
        <v>8027</v>
      </c>
      <c r="J161" s="257" t="str">
        <f>HYPERLINK("https://www.google.com/maps/search/Palacete%20Viscondes%20de%20Balsem%C3%A3o%20Porto%20Portugal/@39.6053,-8.8231,17z","🏛 Palacete Viscondes de Balse…")</f>
        <v>🏛 Palacete Viscondes de Balse…</v>
      </c>
    </row>
    <row r="162" spans="1:10" ht="110" customHeight="1" x14ac:dyDescent="0.35">
      <c r="A162" s="336">
        <v>158</v>
      </c>
      <c r="B162" s="242" t="s">
        <v>8029</v>
      </c>
      <c r="C162" s="242" t="s">
        <v>792</v>
      </c>
      <c r="D162" s="243" t="s">
        <v>1552</v>
      </c>
      <c r="E162" s="242" t="s">
        <v>1791</v>
      </c>
      <c r="F162" s="242"/>
      <c r="G162" s="242" t="s">
        <v>7576</v>
      </c>
      <c r="H162" s="242" t="s">
        <v>3096</v>
      </c>
      <c r="I162" s="305" t="s">
        <v>8030</v>
      </c>
      <c r="J162" s="258" t="str">
        <f>HYPERLINK("https://www.google.com/maps/search/Pa%C3%A7o%20Arquiepiscopal%20de%20Guimar%C3%A3es%20Braga%20Portugal/@41.4414,-8.292,17z","🏛 Paço Arquiepiscopal de Guim…")</f>
        <v>🏛 Paço Arquiepiscopal de Guim…</v>
      </c>
    </row>
    <row r="163" spans="1:10" ht="110" customHeight="1" x14ac:dyDescent="0.35">
      <c r="A163" s="338">
        <v>159</v>
      </c>
      <c r="B163" s="239" t="s">
        <v>8031</v>
      </c>
      <c r="C163" s="239" t="s">
        <v>792</v>
      </c>
      <c r="D163" s="240" t="s">
        <v>1552</v>
      </c>
      <c r="E163" s="239" t="s">
        <v>1791</v>
      </c>
      <c r="F163" s="239"/>
      <c r="G163" s="239" t="s">
        <v>7576</v>
      </c>
      <c r="H163" s="239" t="s">
        <v>3096</v>
      </c>
      <c r="I163" s="304" t="s">
        <v>8030</v>
      </c>
      <c r="J163" s="257" t="str">
        <f>HYPERLINK("https://www.google.com/maps/search/Pa%C3%A7o%20dos%20Condes%20de%20Barcelos%20Braga%20Portugal/@41.5353,-8.6201,17z","🏛 Paço dos Condes de Barcelos")</f>
        <v>🏛 Paço dos Condes de Barcelos</v>
      </c>
    </row>
    <row r="164" spans="1:10" ht="110" customHeight="1" x14ac:dyDescent="0.35">
      <c r="A164" s="336">
        <v>160</v>
      </c>
      <c r="B164" s="242" t="s">
        <v>8032</v>
      </c>
      <c r="C164" s="242" t="s">
        <v>792</v>
      </c>
      <c r="D164" s="243" t="s">
        <v>5578</v>
      </c>
      <c r="E164" s="242" t="s">
        <v>1964</v>
      </c>
      <c r="F164" s="242"/>
      <c r="G164" s="242" t="s">
        <v>7576</v>
      </c>
      <c r="H164" s="242" t="s">
        <v>3096</v>
      </c>
      <c r="I164" s="305" t="s">
        <v>8033</v>
      </c>
      <c r="J164" s="258" t="str">
        <f>HYPERLINK("https://www.google.com/maps/search/Pa%C3%A7o%20dos%20Duques%20de%20Bragan%C3%A7a%20%28Chaves%29%20Vila%20Real%20Portugal/@41.7367,-7.4707,17z","🏛 Paço dos Duques de Bragança…")</f>
        <v>🏛 Paço dos Duques de Bragança…</v>
      </c>
    </row>
    <row r="165" spans="1:10" ht="110" customHeight="1" x14ac:dyDescent="0.35">
      <c r="A165" s="338">
        <v>161</v>
      </c>
      <c r="B165" s="239" t="s">
        <v>8034</v>
      </c>
      <c r="C165" s="239" t="s">
        <v>792</v>
      </c>
      <c r="D165" s="240" t="s">
        <v>5578</v>
      </c>
      <c r="E165" s="239" t="s">
        <v>1976</v>
      </c>
      <c r="F165" s="239"/>
      <c r="G165" s="239" t="s">
        <v>7576</v>
      </c>
      <c r="H165" s="239" t="s">
        <v>3096</v>
      </c>
      <c r="I165" s="304" t="s">
        <v>8033</v>
      </c>
      <c r="J165" s="257" t="str">
        <f>HYPERLINK("https://www.google.com/maps/search/Pa%C3%A7o%20de%20Montalegre%20Vila%20Real%20Portugal/@41.8218,-7.7912,17z","🏛 Paço de Montalegre")</f>
        <v>🏛 Paço de Montalegre</v>
      </c>
    </row>
    <row r="166" spans="1:10" ht="110" customHeight="1" x14ac:dyDescent="0.35">
      <c r="A166" s="336">
        <v>162</v>
      </c>
      <c r="B166" s="242" t="s">
        <v>8035</v>
      </c>
      <c r="C166" s="242" t="s">
        <v>792</v>
      </c>
      <c r="D166" s="243" t="s">
        <v>5578</v>
      </c>
      <c r="E166" s="242" t="s">
        <v>1860</v>
      </c>
      <c r="F166" s="242"/>
      <c r="G166" s="242" t="s">
        <v>7576</v>
      </c>
      <c r="H166" s="242" t="s">
        <v>3096</v>
      </c>
      <c r="I166" s="305" t="s">
        <v>8033</v>
      </c>
      <c r="J166" s="258" t="str">
        <f>HYPERLINK("https://www.google.com/maps/search/Pa%C3%A7o%20de%20Alij%C3%B3%20Vila%20Real%20Portugal/@41.1579,-8.6291,17z","🏛 Paço de Alijó")</f>
        <v>🏛 Paço de Alijó</v>
      </c>
    </row>
    <row r="167" spans="1:10" ht="110" customHeight="1" x14ac:dyDescent="0.35">
      <c r="A167" s="338">
        <v>163</v>
      </c>
      <c r="B167" s="239" t="s">
        <v>8036</v>
      </c>
      <c r="C167" s="239" t="s">
        <v>792</v>
      </c>
      <c r="D167" s="240" t="s">
        <v>5578</v>
      </c>
      <c r="E167" s="239" t="s">
        <v>1882</v>
      </c>
      <c r="F167" s="239"/>
      <c r="G167" s="239" t="s">
        <v>7576</v>
      </c>
      <c r="H167" s="239" t="s">
        <v>3096</v>
      </c>
      <c r="I167" s="304" t="s">
        <v>8033</v>
      </c>
      <c r="J167" s="257" t="str">
        <f>HYPERLINK("https://www.google.com/maps/search/Pa%C3%A7o%20de%20Ribeira%20de%20Pena%20Vila%20Real%20Portugal/@41.1579,-8.6291,17z","🏛 Paço de Ribeira de Pena")</f>
        <v>🏛 Paço de Ribeira de Pena</v>
      </c>
    </row>
    <row r="168" spans="1:10" ht="110" customHeight="1" x14ac:dyDescent="0.35">
      <c r="A168" s="336">
        <v>164</v>
      </c>
      <c r="B168" s="242" t="s">
        <v>8037</v>
      </c>
      <c r="C168" s="242" t="s">
        <v>792</v>
      </c>
      <c r="D168" s="243" t="s">
        <v>1149</v>
      </c>
      <c r="E168" s="242" t="s">
        <v>1149</v>
      </c>
      <c r="F168" s="242"/>
      <c r="G168" s="242" t="s">
        <v>7576</v>
      </c>
      <c r="H168" s="242" t="s">
        <v>3096</v>
      </c>
      <c r="I168" s="305" t="s">
        <v>8038</v>
      </c>
      <c r="J168" s="258" t="str">
        <f>HYPERLINK("https://www.google.com/maps/search/Pal%C3%A1cio%20dos%20T%C3%A1voras%20%28Viana%29%20Viana%20do%20Castelo%20Portugal/@41.6917,-8.8297,17z","🏛 Palácio dos Távoras (Viana)")</f>
        <v>🏛 Palácio dos Távoras (Viana)</v>
      </c>
    </row>
    <row r="169" spans="1:10" ht="110" customHeight="1" x14ac:dyDescent="0.35">
      <c r="A169" s="338">
        <v>165</v>
      </c>
      <c r="B169" s="239" t="s">
        <v>8039</v>
      </c>
      <c r="C169" s="239" t="s">
        <v>792</v>
      </c>
      <c r="D169" s="240" t="s">
        <v>1149</v>
      </c>
      <c r="E169" s="239" t="s">
        <v>1985</v>
      </c>
      <c r="F169" s="239"/>
      <c r="G169" s="239" t="s">
        <v>7576</v>
      </c>
      <c r="H169" s="239" t="s">
        <v>3096</v>
      </c>
      <c r="I169" s="304" t="s">
        <v>8040</v>
      </c>
      <c r="J169" s="257" t="str">
        <f>HYPERLINK("https://www.google.com/maps/search/Pa%C3%A7o%20do%20Marqu%C3%AAs%20%28Ponte%20de%20Lima%29%20Viana%20do%20Castelo%20Portugal/@39.4625,-8.0821,17z","🏛 Paço do Marquês (Ponte de L…")</f>
        <v>🏛 Paço do Marquês (Ponte de L…</v>
      </c>
    </row>
    <row r="170" spans="1:10" ht="110" customHeight="1" x14ac:dyDescent="0.35">
      <c r="A170" s="336">
        <v>166</v>
      </c>
      <c r="B170" s="242" t="s">
        <v>8041</v>
      </c>
      <c r="C170" s="242" t="s">
        <v>792</v>
      </c>
      <c r="D170" s="243" t="s">
        <v>1149</v>
      </c>
      <c r="E170" s="242" t="s">
        <v>5479</v>
      </c>
      <c r="F170" s="242"/>
      <c r="G170" s="242" t="s">
        <v>7576</v>
      </c>
      <c r="H170" s="242" t="s">
        <v>3096</v>
      </c>
      <c r="I170" s="305" t="s">
        <v>8040</v>
      </c>
      <c r="J170" s="258" t="str">
        <f>HYPERLINK("https://www.google.com/maps/search/Pa%C3%A7o%20do%20Alvarinho%20%28Mon%C3%A7%C3%A3o%29%20Viana%20do%20Castelo%20Portugal/@42.0775,-8.4772,17z","🏛 Paço do Alvarinho (Monção)")</f>
        <v>🏛 Paço do Alvarinho (Monção)</v>
      </c>
    </row>
    <row r="171" spans="1:10" ht="110" customHeight="1" x14ac:dyDescent="0.35">
      <c r="A171" s="338">
        <v>167</v>
      </c>
      <c r="B171" s="239" t="s">
        <v>8042</v>
      </c>
      <c r="C171" s="239" t="s">
        <v>792</v>
      </c>
      <c r="D171" s="240" t="s">
        <v>1149</v>
      </c>
      <c r="E171" s="239" t="s">
        <v>1094</v>
      </c>
      <c r="F171" s="239"/>
      <c r="G171" s="239" t="s">
        <v>7576</v>
      </c>
      <c r="H171" s="239" t="s">
        <v>3096</v>
      </c>
      <c r="I171" s="304" t="s">
        <v>8040</v>
      </c>
      <c r="J171" s="257" t="str">
        <f>HYPERLINK("https://www.google.com/maps/search/Pa%C3%A7o%20do%20Concelho%20%28Caminha%29%20Viana%20do%20Castelo%20Portugal/@41.8722,-8.8389,17z","🏛 Paço do Concelho (Caminha)")</f>
        <v>🏛 Paço do Concelho (Caminha)</v>
      </c>
    </row>
    <row r="172" spans="1:10" ht="110" customHeight="1" x14ac:dyDescent="0.35">
      <c r="A172" s="336">
        <v>168</v>
      </c>
      <c r="B172" s="242" t="s">
        <v>8043</v>
      </c>
      <c r="C172" s="242" t="s">
        <v>792</v>
      </c>
      <c r="D172" s="243" t="s">
        <v>1784</v>
      </c>
      <c r="E172" s="242" t="s">
        <v>1784</v>
      </c>
      <c r="F172" s="242"/>
      <c r="G172" s="242" t="s">
        <v>7576</v>
      </c>
      <c r="H172" s="242" t="s">
        <v>3096</v>
      </c>
      <c r="I172" s="305" t="s">
        <v>8044</v>
      </c>
      <c r="J172" s="258" t="str">
        <f>HYPERLINK("https://www.google.com/maps/search/Pa%C3%A7o%20Episcopal%20de%20Bragan%C3%A7a%20Portugal/@41.8034,-6.749,17z","🏛 Paço Episcopal de Bragança")</f>
        <v>🏛 Paço Episcopal de Bragança</v>
      </c>
    </row>
    <row r="173" spans="1:10" ht="110" customHeight="1" x14ac:dyDescent="0.35">
      <c r="A173" s="338">
        <v>169</v>
      </c>
      <c r="B173" s="239" t="s">
        <v>8045</v>
      </c>
      <c r="C173" s="239" t="s">
        <v>792</v>
      </c>
      <c r="D173" s="240" t="s">
        <v>1784</v>
      </c>
      <c r="E173" s="239" t="s">
        <v>1935</v>
      </c>
      <c r="F173" s="239"/>
      <c r="G173" s="239" t="s">
        <v>7576</v>
      </c>
      <c r="H173" s="239" t="s">
        <v>3096</v>
      </c>
      <c r="I173" s="304" t="s">
        <v>8044</v>
      </c>
      <c r="J173" s="257" t="str">
        <f>HYPERLINK("https://www.google.com/maps/search/Pa%C3%A7o%20Episcopal%20de%20Miranda%20do%20Douro%20Bragan%C3%A7a%20Portugal/@38.6913,-9.2134,17z","🏛 Paço Episcopal de Miranda d…")</f>
        <v>🏛 Paço Episcopal de Miranda d…</v>
      </c>
    </row>
    <row r="174" spans="1:10" ht="110" customHeight="1" x14ac:dyDescent="0.35">
      <c r="A174" s="336">
        <v>170</v>
      </c>
      <c r="B174" s="242" t="s">
        <v>8046</v>
      </c>
      <c r="C174" s="242" t="s">
        <v>792</v>
      </c>
      <c r="D174" s="243" t="s">
        <v>1784</v>
      </c>
      <c r="E174" s="242" t="s">
        <v>1786</v>
      </c>
      <c r="F174" s="242"/>
      <c r="G174" s="242" t="s">
        <v>7576</v>
      </c>
      <c r="H174" s="242" t="s">
        <v>3096</v>
      </c>
      <c r="I174" s="305" t="s">
        <v>8044</v>
      </c>
      <c r="J174" s="258" t="str">
        <f>HYPERLINK("https://www.google.com/maps/search/Pa%C3%A7o%20de%20Macedo%20de%20Cavaleiros%20Bragan%C3%A7a%20Portugal/@41.5272,-6.9594,17z","🏛 Paço de Macedo de Cavaleiros")</f>
        <v>🏛 Paço de Macedo de Cavaleiros</v>
      </c>
    </row>
    <row r="175" spans="1:10" ht="110" customHeight="1" x14ac:dyDescent="0.35">
      <c r="A175" s="338">
        <v>171</v>
      </c>
      <c r="B175" s="239" t="s">
        <v>8047</v>
      </c>
      <c r="C175" s="239" t="s">
        <v>792</v>
      </c>
      <c r="D175" s="240" t="s">
        <v>1784</v>
      </c>
      <c r="E175" s="239" t="s">
        <v>8048</v>
      </c>
      <c r="F175" s="239"/>
      <c r="G175" s="239" t="s">
        <v>7576</v>
      </c>
      <c r="H175" s="239" t="s">
        <v>3096</v>
      </c>
      <c r="I175" s="304" t="s">
        <v>8044</v>
      </c>
      <c r="J175" s="257" t="str">
        <f>HYPERLINK("https://www.google.com/maps/search/Pa%C3%A7o%20de%20Vimioso%20Bragan%C3%A7a%20Portugal/@41.5764,-6.5261,17z","🏛 Paço de Vimioso")</f>
        <v>🏛 Paço de Vimioso</v>
      </c>
    </row>
    <row r="176" spans="1:10" ht="110" customHeight="1" x14ac:dyDescent="0.35">
      <c r="A176" s="336">
        <v>172</v>
      </c>
      <c r="B176" s="242" t="s">
        <v>8049</v>
      </c>
      <c r="C176" s="242" t="s">
        <v>792</v>
      </c>
      <c r="D176" s="243" t="s">
        <v>1784</v>
      </c>
      <c r="E176" s="242" t="s">
        <v>1776</v>
      </c>
      <c r="F176" s="242"/>
      <c r="G176" s="242" t="s">
        <v>7576</v>
      </c>
      <c r="H176" s="242" t="s">
        <v>3096</v>
      </c>
      <c r="I176" s="305" t="s">
        <v>8044</v>
      </c>
      <c r="J176" s="258" t="str">
        <f>HYPERLINK("https://www.google.com/maps/search/Pa%C3%A7o%20de%20Mirandela%20Bragan%C3%A7a%20Portugal/@41.4878,-7.1769,17z","🏛 Paço de Mirandela")</f>
        <v>🏛 Paço de Mirandela</v>
      </c>
    </row>
    <row r="177" spans="1:10" ht="22" customHeight="1" x14ac:dyDescent="0.35">
      <c r="A177" s="1480" t="s">
        <v>8050</v>
      </c>
      <c r="B177" s="1313"/>
      <c r="C177" s="1313"/>
      <c r="D177" s="1313"/>
      <c r="E177" s="1313"/>
      <c r="F177" s="1313"/>
      <c r="G177" s="1313"/>
      <c r="H177" s="1313"/>
      <c r="I177" s="1313"/>
      <c r="J177" s="1313"/>
    </row>
    <row r="178" spans="1:10" ht="110" customHeight="1" x14ac:dyDescent="0.35">
      <c r="A178" s="360">
        <v>1</v>
      </c>
      <c r="B178" s="245" t="s">
        <v>8051</v>
      </c>
      <c r="C178" s="245" t="s">
        <v>913</v>
      </c>
      <c r="D178" s="246" t="s">
        <v>913</v>
      </c>
      <c r="E178" s="245" t="s">
        <v>913</v>
      </c>
      <c r="F178" s="245"/>
      <c r="G178" s="245" t="s">
        <v>7576</v>
      </c>
      <c r="H178" s="245" t="s">
        <v>3096</v>
      </c>
      <c r="I178" s="321" t="s">
        <v>8052</v>
      </c>
      <c r="J178" s="265" t="str">
        <f>HYPERLINK("https://www.google.com/maps/search/Pal%C3%A1cio%20Nacional%20da%20Ajuda%20Lisboa%20Portugal/@38.7167,-9.1333,17z","🏛 Palácio Nacional da Ajuda")</f>
        <v>🏛 Palácio Nacional da Ajuda</v>
      </c>
    </row>
    <row r="179" spans="1:10" ht="110" customHeight="1" x14ac:dyDescent="0.35">
      <c r="A179" s="340">
        <v>2</v>
      </c>
      <c r="B179" s="248" t="s">
        <v>8053</v>
      </c>
      <c r="C179" s="248" t="s">
        <v>913</v>
      </c>
      <c r="D179" s="249" t="s">
        <v>913</v>
      </c>
      <c r="E179" s="248" t="s">
        <v>913</v>
      </c>
      <c r="F179" s="248"/>
      <c r="G179" s="248" t="s">
        <v>7576</v>
      </c>
      <c r="H179" s="248" t="s">
        <v>3096</v>
      </c>
      <c r="I179" s="305" t="s">
        <v>8054</v>
      </c>
      <c r="J179" s="266" t="str">
        <f>HYPERLINK("https://www.google.com/maps/search/Pal%C3%A1cio%20de%20Bel%C3%A9m%20Lisboa%20Portugal/@38.7167,-9.1333,17z","🏛 Palácio de Belém")</f>
        <v>🏛 Palácio de Belém</v>
      </c>
    </row>
    <row r="180" spans="1:10" ht="110" customHeight="1" x14ac:dyDescent="0.35">
      <c r="A180" s="360">
        <v>3</v>
      </c>
      <c r="B180" s="245" t="s">
        <v>8055</v>
      </c>
      <c r="C180" s="245" t="s">
        <v>913</v>
      </c>
      <c r="D180" s="246" t="s">
        <v>913</v>
      </c>
      <c r="E180" s="245" t="s">
        <v>913</v>
      </c>
      <c r="F180" s="245"/>
      <c r="G180" s="245" t="s">
        <v>7576</v>
      </c>
      <c r="H180" s="245" t="s">
        <v>3096</v>
      </c>
      <c r="I180" s="304" t="s">
        <v>8054</v>
      </c>
      <c r="J180" s="265" t="str">
        <f>HYPERLINK("https://www.google.com/maps/search/Pal%C3%A1cio%20das%20Necessidades%20Lisboa%20Portugal/@38.7167,-9.1333,17z","🏛 Palácio das Necessidades")</f>
        <v>🏛 Palácio das Necessidades</v>
      </c>
    </row>
    <row r="181" spans="1:10" ht="110" customHeight="1" x14ac:dyDescent="0.35">
      <c r="A181" s="340">
        <v>4</v>
      </c>
      <c r="B181" s="248" t="s">
        <v>8056</v>
      </c>
      <c r="C181" s="248" t="s">
        <v>913</v>
      </c>
      <c r="D181" s="249" t="s">
        <v>913</v>
      </c>
      <c r="E181" s="248" t="s">
        <v>913</v>
      </c>
      <c r="F181" s="248"/>
      <c r="G181" s="248" t="s">
        <v>7576</v>
      </c>
      <c r="H181" s="248" t="s">
        <v>3096</v>
      </c>
      <c r="I181" s="305" t="s">
        <v>8054</v>
      </c>
      <c r="J181" s="266" t="str">
        <f>HYPERLINK("https://www.google.com/maps/search/Pal%C3%A1cio%20Foz%20Lisboa%20Portugal/@38.7167,-9.1333,17z","🏛 Palácio Foz")</f>
        <v>🏛 Palácio Foz</v>
      </c>
    </row>
    <row r="182" spans="1:10" ht="110" customHeight="1" x14ac:dyDescent="0.35">
      <c r="A182" s="360">
        <v>5</v>
      </c>
      <c r="B182" s="245" t="s">
        <v>8057</v>
      </c>
      <c r="C182" s="245" t="s">
        <v>913</v>
      </c>
      <c r="D182" s="246" t="s">
        <v>913</v>
      </c>
      <c r="E182" s="245" t="s">
        <v>913</v>
      </c>
      <c r="F182" s="245"/>
      <c r="G182" s="245" t="s">
        <v>7576</v>
      </c>
      <c r="H182" s="245" t="s">
        <v>3096</v>
      </c>
      <c r="I182" s="304" t="s">
        <v>8054</v>
      </c>
      <c r="J182" s="265" t="str">
        <f>HYPERLINK("https://www.google.com/maps/search/Pal%C3%A1cio%20Chiado%20Lisboa%20Portugal/@38.7167,-9.1333,17z","🏛 Palácio Chiado")</f>
        <v>🏛 Palácio Chiado</v>
      </c>
    </row>
    <row r="183" spans="1:10" ht="110" customHeight="1" x14ac:dyDescent="0.35">
      <c r="A183" s="340">
        <v>6</v>
      </c>
      <c r="B183" s="248" t="s">
        <v>8058</v>
      </c>
      <c r="C183" s="248" t="s">
        <v>913</v>
      </c>
      <c r="D183" s="249" t="s">
        <v>913</v>
      </c>
      <c r="E183" s="248" t="s">
        <v>2567</v>
      </c>
      <c r="F183" s="248"/>
      <c r="G183" s="248" t="s">
        <v>7576</v>
      </c>
      <c r="H183" s="248" t="s">
        <v>3096</v>
      </c>
      <c r="I183" s="322" t="s">
        <v>8059</v>
      </c>
      <c r="J183" s="266" t="str">
        <f>HYPERLINK("https://www.google.com/maps/search/Pal%C3%A1cio%20Nacional%20da%20Pena%20Lisboa%20Portugal/@38.8017,-9.3847,17z","🏛 Palácio Nacional da Pena")</f>
        <v>🏛 Palácio Nacional da Pena</v>
      </c>
    </row>
    <row r="184" spans="1:10" ht="110" customHeight="1" x14ac:dyDescent="0.35">
      <c r="A184" s="360">
        <v>7</v>
      </c>
      <c r="B184" s="245" t="s">
        <v>1416</v>
      </c>
      <c r="C184" s="245" t="s">
        <v>913</v>
      </c>
      <c r="D184" s="246" t="s">
        <v>913</v>
      </c>
      <c r="E184" s="245" t="s">
        <v>2567</v>
      </c>
      <c r="F184" s="245"/>
      <c r="G184" s="245" t="s">
        <v>7576</v>
      </c>
      <c r="H184" s="245" t="s">
        <v>3096</v>
      </c>
      <c r="I184" s="321" t="s">
        <v>8060</v>
      </c>
      <c r="J184" s="265" t="str">
        <f>HYPERLINK("https://www.google.com/maps/search/Pal%C3%A1cio%20Nacional%20de%20Sintra%20Lisboa%20Portugal/@38.8017,-9.3847,17z","🏛 Palácio Nacional de Sintra")</f>
        <v>🏛 Palácio Nacional de Sintra</v>
      </c>
    </row>
    <row r="185" spans="1:10" ht="110" customHeight="1" x14ac:dyDescent="0.35">
      <c r="A185" s="340">
        <v>8</v>
      </c>
      <c r="B185" s="248" t="s">
        <v>8061</v>
      </c>
      <c r="C185" s="248" t="s">
        <v>913</v>
      </c>
      <c r="D185" s="249" t="s">
        <v>913</v>
      </c>
      <c r="E185" s="248" t="s">
        <v>2567</v>
      </c>
      <c r="F185" s="248"/>
      <c r="G185" s="248" t="s">
        <v>7576</v>
      </c>
      <c r="H185" s="248" t="s">
        <v>3096</v>
      </c>
      <c r="I185" s="322" t="s">
        <v>8062</v>
      </c>
      <c r="J185" s="266" t="str">
        <f>HYPERLINK("https://www.google.com/maps/search/Pal%C3%A1cio%20Nacional%20de%20Queluz%20Lisboa%20Portugal/@38.8017,-9.3847,17z","🏛 Palácio Nacional de Queluz")</f>
        <v>🏛 Palácio Nacional de Queluz</v>
      </c>
    </row>
    <row r="186" spans="1:10" ht="110" customHeight="1" x14ac:dyDescent="0.35">
      <c r="A186" s="360">
        <v>9</v>
      </c>
      <c r="B186" s="245" t="s">
        <v>8063</v>
      </c>
      <c r="C186" s="245" t="s">
        <v>913</v>
      </c>
      <c r="D186" s="246" t="s">
        <v>913</v>
      </c>
      <c r="E186" s="245" t="s">
        <v>2567</v>
      </c>
      <c r="F186" s="245"/>
      <c r="G186" s="245" t="s">
        <v>7576</v>
      </c>
      <c r="H186" s="245" t="s">
        <v>3096</v>
      </c>
      <c r="I186" s="321" t="s">
        <v>8064</v>
      </c>
      <c r="J186" s="265" t="str">
        <f>HYPERLINK("https://www.google.com/maps/search/Pal%C3%A1cio%20de%20Seteais%20Lisboa%20Portugal/@38.8017,-9.3847,17z","🏛 Palácio de Seteais")</f>
        <v>🏛 Palácio de Seteais</v>
      </c>
    </row>
    <row r="187" spans="1:10" ht="110" customHeight="1" x14ac:dyDescent="0.35">
      <c r="A187" s="340">
        <v>10</v>
      </c>
      <c r="B187" s="248" t="s">
        <v>8065</v>
      </c>
      <c r="C187" s="248" t="s">
        <v>913</v>
      </c>
      <c r="D187" s="249" t="s">
        <v>913</v>
      </c>
      <c r="E187" s="248" t="s">
        <v>5691</v>
      </c>
      <c r="F187" s="248"/>
      <c r="G187" s="248" t="s">
        <v>7576</v>
      </c>
      <c r="H187" s="248" t="s">
        <v>3096</v>
      </c>
      <c r="I187" s="305" t="s">
        <v>8054</v>
      </c>
      <c r="J187" s="266" t="str">
        <f>HYPERLINK("https://www.google.com/maps/search/Pal%C3%A1cio%20do%20Marqu%C3%AAs%20de%20Pombal%20%28Oeiras%29%20Lisboa%20Portugal/@38.6939,-9.2958,17z","🏛 Palácio do Marquês de Pomba…")</f>
        <v>🏛 Palácio do Marquês de Pomba…</v>
      </c>
    </row>
    <row r="188" spans="1:10" ht="110" customHeight="1" x14ac:dyDescent="0.35">
      <c r="A188" s="360">
        <v>11</v>
      </c>
      <c r="B188" s="245" t="s">
        <v>8066</v>
      </c>
      <c r="C188" s="245" t="s">
        <v>913</v>
      </c>
      <c r="D188" s="246" t="s">
        <v>913</v>
      </c>
      <c r="E188" s="245" t="s">
        <v>5691</v>
      </c>
      <c r="F188" s="245"/>
      <c r="G188" s="245" t="s">
        <v>7576</v>
      </c>
      <c r="H188" s="245" t="s">
        <v>3096</v>
      </c>
      <c r="I188" s="304" t="s">
        <v>8054</v>
      </c>
      <c r="J188" s="265" t="str">
        <f>HYPERLINK("https://www.google.com/maps/search/Pal%C3%A1cio%20Anjos%20Lisboa%20Portugal/@38.6939,-9.2958,17z","🏛 Palácio Anjos")</f>
        <v>🏛 Palácio Anjos</v>
      </c>
    </row>
    <row r="189" spans="1:10" ht="110" customHeight="1" x14ac:dyDescent="0.35">
      <c r="A189" s="340">
        <v>12</v>
      </c>
      <c r="B189" s="248" t="s">
        <v>8067</v>
      </c>
      <c r="C189" s="248" t="s">
        <v>913</v>
      </c>
      <c r="D189" s="249" t="s">
        <v>913</v>
      </c>
      <c r="E189" s="248" t="s">
        <v>1077</v>
      </c>
      <c r="F189" s="248"/>
      <c r="G189" s="248" t="s">
        <v>7576</v>
      </c>
      <c r="H189" s="248" t="s">
        <v>3096</v>
      </c>
      <c r="I189" s="305" t="s">
        <v>8054</v>
      </c>
      <c r="J189" s="266" t="str">
        <f>HYPERLINK("https://www.google.com/maps/search/Palacete%20Seixas%20Lisboa%20Portugal/@38.6979,-9.4211,17z","🏛 Palacete Seixas")</f>
        <v>🏛 Palacete Seixas</v>
      </c>
    </row>
    <row r="190" spans="1:10" ht="110" customHeight="1" x14ac:dyDescent="0.35">
      <c r="A190" s="360">
        <v>13</v>
      </c>
      <c r="B190" s="245" t="s">
        <v>8068</v>
      </c>
      <c r="C190" s="245" t="s">
        <v>913</v>
      </c>
      <c r="D190" s="246" t="s">
        <v>913</v>
      </c>
      <c r="E190" s="245" t="s">
        <v>1077</v>
      </c>
      <c r="F190" s="245"/>
      <c r="G190" s="245" t="s">
        <v>7576</v>
      </c>
      <c r="H190" s="245" t="s">
        <v>3096</v>
      </c>
      <c r="I190" s="304" t="s">
        <v>8054</v>
      </c>
      <c r="J190" s="265" t="str">
        <f>HYPERLINK("https://www.google.com/maps/search/Palacete%20dos%20Condes%20de%20Castro%20Guimar%C3%A3es%20Lisboa%20Portugal/@38.6979,-9.4211,17z","🏛 Palacete dos Condes de Cast…")</f>
        <v>🏛 Palacete dos Condes de Cast…</v>
      </c>
    </row>
    <row r="191" spans="1:10" ht="110" customHeight="1" x14ac:dyDescent="0.35">
      <c r="A191" s="340">
        <v>14</v>
      </c>
      <c r="B191" s="248" t="s">
        <v>8069</v>
      </c>
      <c r="C191" s="248" t="s">
        <v>913</v>
      </c>
      <c r="D191" s="249" t="s">
        <v>913</v>
      </c>
      <c r="E191" s="248" t="s">
        <v>1077</v>
      </c>
      <c r="F191" s="248"/>
      <c r="G191" s="248" t="s">
        <v>7576</v>
      </c>
      <c r="H191" s="248" t="s">
        <v>3096</v>
      </c>
      <c r="I191" s="305" t="s">
        <v>8054</v>
      </c>
      <c r="J191" s="266" t="str">
        <f>HYPERLINK("https://www.google.com/maps/search/Palacete%20Palmela%20%28Cascais%29%20Lisboa%20Portugal/@38.6979,-9.4211,17z","🏛 Palacete Palmela (Cascais)")</f>
        <v>🏛 Palacete Palmela (Cascais)</v>
      </c>
    </row>
    <row r="192" spans="1:10" ht="22" customHeight="1" x14ac:dyDescent="0.35">
      <c r="A192" s="1478" t="s">
        <v>8070</v>
      </c>
      <c r="B192" s="1313"/>
      <c r="C192" s="1313"/>
      <c r="D192" s="1313"/>
      <c r="E192" s="1313"/>
      <c r="F192" s="1313"/>
      <c r="G192" s="1313"/>
      <c r="H192" s="1313"/>
      <c r="I192" s="1313"/>
      <c r="J192" s="1313"/>
    </row>
    <row r="193" spans="1:10" ht="110" customHeight="1" x14ac:dyDescent="0.35">
      <c r="A193" s="346">
        <v>1</v>
      </c>
      <c r="B193" s="267" t="s">
        <v>8071</v>
      </c>
      <c r="C193" s="267" t="s">
        <v>853</v>
      </c>
      <c r="D193" s="268" t="s">
        <v>2130</v>
      </c>
      <c r="E193" s="267" t="s">
        <v>8072</v>
      </c>
      <c r="F193" s="267" t="s">
        <v>8073</v>
      </c>
      <c r="G193" s="267" t="s">
        <v>7560</v>
      </c>
      <c r="H193" s="267" t="s">
        <v>7696</v>
      </c>
      <c r="I193" s="304" t="s">
        <v>8074</v>
      </c>
      <c r="J193" s="288" t="str">
        <f>HYPERLINK("https://www.google.com/maps/search/Pa%C3%A7o%20dos%20Henriques%20%28Alc%C3%A1%C3%A7ovas%29%20Viana%20do%20Alentejo%20Portugal/@38.3975,-8.1517,17z","🏛 Paço dos Henriques (Alcáçov…")</f>
        <v>🏛 Paço dos Henriques (Alcáçov…</v>
      </c>
    </row>
    <row r="195" spans="1:10" x14ac:dyDescent="0.35">
      <c r="A195" s="1353" t="s">
        <v>8075</v>
      </c>
      <c r="B195" s="1354"/>
      <c r="C195" s="1354"/>
      <c r="D195" s="1354"/>
      <c r="E195" s="1354"/>
      <c r="F195" s="1354"/>
      <c r="G195" s="1354"/>
      <c r="H195" s="1354"/>
      <c r="I195" s="1354"/>
      <c r="J195" s="1354"/>
    </row>
  </sheetData>
  <mergeCells count="6">
    <mergeCell ref="A1:J1"/>
    <mergeCell ref="A192:J192"/>
    <mergeCell ref="A4:J4"/>
    <mergeCell ref="A2:J2"/>
    <mergeCell ref="A195:J195"/>
    <mergeCell ref="A177:J17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9"/>
  <sheetViews>
    <sheetView workbookViewId="0">
      <pane ySplit="3" topLeftCell="A17" activePane="bottomLeft" state="frozen"/>
      <selection pane="bottomLeft" activeCell="H51" sqref="H51"/>
    </sheetView>
  </sheetViews>
  <sheetFormatPr defaultRowHeight="14.5" x14ac:dyDescent="0.35"/>
  <cols>
    <col min="1" max="1" width="4" customWidth="1"/>
    <col min="2" max="2" width="36" customWidth="1"/>
    <col min="3" max="3" width="12" customWidth="1"/>
    <col min="4" max="4" width="30" customWidth="1"/>
    <col min="5" max="5" width="18" customWidth="1"/>
    <col min="6" max="6" width="12" customWidth="1"/>
    <col min="7" max="7" width="18" customWidth="1"/>
    <col min="8" max="8" width="52" customWidth="1"/>
    <col min="9" max="9" width="26" customWidth="1"/>
  </cols>
  <sheetData>
    <row r="1" spans="1:9" ht="32" customHeight="1" x14ac:dyDescent="0.35">
      <c r="A1" s="1476" t="s">
        <v>8076</v>
      </c>
      <c r="B1" s="1313"/>
      <c r="C1" s="1313"/>
      <c r="D1" s="1313"/>
      <c r="E1" s="1313"/>
      <c r="F1" s="1313"/>
      <c r="G1" s="1313"/>
      <c r="H1" s="1313"/>
      <c r="I1" s="1313"/>
    </row>
    <row r="2" spans="1:9" ht="16" customHeight="1" x14ac:dyDescent="0.35">
      <c r="A2" s="1365" t="s">
        <v>8077</v>
      </c>
      <c r="B2" s="1313"/>
      <c r="C2" s="1313"/>
      <c r="D2" s="1313"/>
      <c r="E2" s="1313"/>
      <c r="F2" s="1313"/>
      <c r="G2" s="1313"/>
      <c r="H2" s="1313"/>
      <c r="I2" s="1313"/>
    </row>
    <row r="3" spans="1:9" ht="24" customHeight="1" x14ac:dyDescent="0.35">
      <c r="A3" s="238" t="s">
        <v>141</v>
      </c>
      <c r="B3" s="238" t="s">
        <v>8078</v>
      </c>
      <c r="C3" s="238" t="s">
        <v>619</v>
      </c>
      <c r="D3" s="238" t="s">
        <v>906</v>
      </c>
      <c r="E3" s="238" t="s">
        <v>8080</v>
      </c>
      <c r="F3" s="238" t="s">
        <v>8079</v>
      </c>
      <c r="G3" s="238" t="s">
        <v>2264</v>
      </c>
      <c r="H3" s="303" t="s">
        <v>8</v>
      </c>
      <c r="I3" s="238" t="s">
        <v>789</v>
      </c>
    </row>
    <row r="4" spans="1:9" ht="22" customHeight="1" x14ac:dyDescent="0.35">
      <c r="A4" s="1479" t="s">
        <v>8081</v>
      </c>
      <c r="B4" s="1313"/>
      <c r="C4" s="1313"/>
      <c r="D4" s="1313"/>
      <c r="E4" s="1313"/>
      <c r="F4" s="1313"/>
      <c r="G4" s="1313"/>
      <c r="H4" s="1313"/>
      <c r="I4" s="1313"/>
    </row>
    <row r="5" spans="1:9" ht="110" customHeight="1" x14ac:dyDescent="0.35">
      <c r="A5" s="338">
        <v>1</v>
      </c>
      <c r="B5" s="239" t="s">
        <v>8082</v>
      </c>
      <c r="C5" s="240" t="s">
        <v>792</v>
      </c>
      <c r="D5" s="239" t="s">
        <v>3096</v>
      </c>
      <c r="E5" s="239" t="s">
        <v>8083</v>
      </c>
      <c r="F5" s="239" t="s">
        <v>8084</v>
      </c>
      <c r="G5" s="239" t="s">
        <v>2591</v>
      </c>
      <c r="H5" s="304" t="s">
        <v>8085</v>
      </c>
      <c r="I5" s="257" t="str">
        <f>HYPERLINK("https://www.google.com/maps/search/Afife%20Norte%20Portugal/@41.7706,-8.8736,17z","🏄 Afife")</f>
        <v>🏄 Afife</v>
      </c>
    </row>
    <row r="6" spans="1:9" ht="110" customHeight="1" x14ac:dyDescent="0.35">
      <c r="A6" s="336">
        <v>2</v>
      </c>
      <c r="B6" s="242" t="s">
        <v>8086</v>
      </c>
      <c r="C6" s="243" t="s">
        <v>792</v>
      </c>
      <c r="D6" s="242" t="s">
        <v>3096</v>
      </c>
      <c r="E6" s="242" t="s">
        <v>8083</v>
      </c>
      <c r="F6" s="242" t="s">
        <v>8087</v>
      </c>
      <c r="G6" s="242" t="s">
        <v>8088</v>
      </c>
      <c r="H6" s="305" t="s">
        <v>8089</v>
      </c>
      <c r="I6" s="258" t="str">
        <f>HYPERLINK("https://www.google.com/maps/search/Viana%20do%20Castelo%20%E2%80%94%20Cabedelo%20Norte%20Portugal/@41.67,-8.855,17z","🏄 Viana do Castelo — Cabedelo")</f>
        <v>🏄 Viana do Castelo — Cabedelo</v>
      </c>
    </row>
    <row r="7" spans="1:9" ht="110" customHeight="1" x14ac:dyDescent="0.35">
      <c r="A7" s="338">
        <v>3</v>
      </c>
      <c r="B7" s="239" t="s">
        <v>8090</v>
      </c>
      <c r="C7" s="240" t="s">
        <v>792</v>
      </c>
      <c r="D7" s="239" t="s">
        <v>8091</v>
      </c>
      <c r="E7" s="239" t="s">
        <v>8092</v>
      </c>
      <c r="F7" s="239" t="s">
        <v>8087</v>
      </c>
      <c r="G7" s="239" t="s">
        <v>8093</v>
      </c>
      <c r="H7" s="304" t="s">
        <v>8094</v>
      </c>
      <c r="I7" s="257" t="str">
        <f>HYPERLINK("https://www.google.com/maps/search/Moledo%20Norte%20Portugal/@41.8463,-8.8611,17z","🏄 Moledo")</f>
        <v>🏄 Moledo</v>
      </c>
    </row>
    <row r="8" spans="1:9" ht="22" customHeight="1" x14ac:dyDescent="0.35">
      <c r="A8" s="1475" t="s">
        <v>8095</v>
      </c>
      <c r="B8" s="1313"/>
      <c r="C8" s="1313"/>
      <c r="D8" s="1313"/>
      <c r="E8" s="1313"/>
      <c r="F8" s="1313"/>
      <c r="G8" s="1313"/>
      <c r="H8" s="1313"/>
      <c r="I8" s="1313"/>
    </row>
    <row r="9" spans="1:9" ht="110" customHeight="1" x14ac:dyDescent="0.35">
      <c r="A9" s="358">
        <v>1</v>
      </c>
      <c r="B9" s="259" t="s">
        <v>8096</v>
      </c>
      <c r="C9" s="260" t="s">
        <v>836</v>
      </c>
      <c r="D9" s="259" t="s">
        <v>8097</v>
      </c>
      <c r="E9" s="259" t="s">
        <v>8098</v>
      </c>
      <c r="F9" s="259" t="s">
        <v>8099</v>
      </c>
      <c r="G9" s="259" t="s">
        <v>2591</v>
      </c>
      <c r="H9" s="305" t="s">
        <v>8100</v>
      </c>
      <c r="I9" s="286" t="str">
        <f>HYPERLINK("https://www.google.com/maps/search/Supertubos%20Centro%20Portugal/@39.3446,-9.3646,17z","🏄 Supertubos")</f>
        <v>🏄 Supertubos</v>
      </c>
    </row>
    <row r="10" spans="1:9" ht="110" customHeight="1" x14ac:dyDescent="0.35">
      <c r="A10" s="352">
        <v>2</v>
      </c>
      <c r="B10" s="262" t="s">
        <v>8101</v>
      </c>
      <c r="C10" s="263" t="s">
        <v>836</v>
      </c>
      <c r="D10" s="262" t="s">
        <v>3096</v>
      </c>
      <c r="E10" s="262" t="s">
        <v>8102</v>
      </c>
      <c r="F10" s="262" t="s">
        <v>8103</v>
      </c>
      <c r="G10" s="262" t="s">
        <v>8088</v>
      </c>
      <c r="H10" s="304" t="s">
        <v>8104</v>
      </c>
      <c r="I10" s="287" t="str">
        <f>HYPERLINK("https://www.google.com/maps/search/Ribeira%20d%27Ilhas%20Centro%20Portugal/@38.9879,-9.4193,17z","🏄 Ribeira d'Ilhas")</f>
        <v>🏄 Ribeira d'Ilhas</v>
      </c>
    </row>
    <row r="11" spans="1:9" ht="110" customHeight="1" x14ac:dyDescent="0.35">
      <c r="A11" s="358">
        <v>3</v>
      </c>
      <c r="B11" s="259" t="s">
        <v>8105</v>
      </c>
      <c r="C11" s="260" t="s">
        <v>836</v>
      </c>
      <c r="D11" s="259" t="s">
        <v>8106</v>
      </c>
      <c r="E11" s="259" t="s">
        <v>8107</v>
      </c>
      <c r="F11" s="259" t="s">
        <v>8108</v>
      </c>
      <c r="G11" s="259" t="s">
        <v>8109</v>
      </c>
      <c r="H11" s="305" t="s">
        <v>8110</v>
      </c>
      <c r="I11" s="286" t="str">
        <f>HYPERLINK("https://www.google.com/maps/search/Praia%20do%20Norte%20%E2%80%94%20Nazar%C3%A9%20Centro%20Portugal/@39.6028,-9.07,17z","🏄 Praia do Norte — Nazaré")</f>
        <v>🏄 Praia do Norte — Nazaré</v>
      </c>
    </row>
    <row r="12" spans="1:9" ht="110" customHeight="1" x14ac:dyDescent="0.35">
      <c r="A12" s="352">
        <v>4</v>
      </c>
      <c r="B12" s="262" t="s">
        <v>8111</v>
      </c>
      <c r="C12" s="263" t="s">
        <v>836</v>
      </c>
      <c r="D12" s="262" t="s">
        <v>3096</v>
      </c>
      <c r="E12" s="262" t="s">
        <v>8112</v>
      </c>
      <c r="F12" s="262" t="s">
        <v>8113</v>
      </c>
      <c r="G12" s="262" t="s">
        <v>8088</v>
      </c>
      <c r="H12" s="304" t="s">
        <v>8114</v>
      </c>
      <c r="I12" s="287" t="str">
        <f>HYPERLINK("https://www.google.com/maps/search/Coxos%20Centro%20Portugal/@39.0043,-9.4203,17z","🏄 Coxos")</f>
        <v>🏄 Coxos</v>
      </c>
    </row>
    <row r="13" spans="1:9" ht="110" customHeight="1" x14ac:dyDescent="0.35">
      <c r="A13" s="358">
        <v>5</v>
      </c>
      <c r="B13" s="259" t="s">
        <v>8115</v>
      </c>
      <c r="C13" s="260" t="s">
        <v>836</v>
      </c>
      <c r="D13" s="259" t="s">
        <v>3096</v>
      </c>
      <c r="E13" s="259" t="s">
        <v>8112</v>
      </c>
      <c r="F13" s="259" t="s">
        <v>8116</v>
      </c>
      <c r="G13" s="259" t="s">
        <v>8088</v>
      </c>
      <c r="H13" s="305" t="s">
        <v>8117</v>
      </c>
      <c r="I13" s="286" t="str">
        <f>HYPERLINK("https://www.google.com/maps/search/Pedra%20Branca%20Centro%20Portugal/@39.0006,-9.4206,17z","🏄 Pedra Branca")</f>
        <v>🏄 Pedra Branca</v>
      </c>
    </row>
    <row r="14" spans="1:9" ht="110" customHeight="1" x14ac:dyDescent="0.35">
      <c r="A14" s="352">
        <v>6</v>
      </c>
      <c r="B14" s="262" t="s">
        <v>8118</v>
      </c>
      <c r="C14" s="263" t="s">
        <v>836</v>
      </c>
      <c r="D14" s="262" t="s">
        <v>3096</v>
      </c>
      <c r="E14" s="262" t="s">
        <v>8083</v>
      </c>
      <c r="F14" s="262" t="s">
        <v>8119</v>
      </c>
      <c r="G14" s="262" t="s">
        <v>8109</v>
      </c>
      <c r="H14" s="304" t="s">
        <v>8120</v>
      </c>
      <c r="I14" s="287" t="str">
        <f>HYPERLINK("https://www.google.com/maps/search/S%C3%A3o%20Louren%C3%A7o%20Centro%20Portugal/@38.9917,-9.4181,17z","🏄 São Lourenço")</f>
        <v>🏄 São Lourenço</v>
      </c>
    </row>
    <row r="15" spans="1:9" ht="22" customHeight="1" x14ac:dyDescent="0.35">
      <c r="A15" s="1480" t="s">
        <v>8121</v>
      </c>
      <c r="B15" s="1313"/>
      <c r="C15" s="1313"/>
      <c r="D15" s="1313"/>
      <c r="E15" s="1313"/>
      <c r="F15" s="1313"/>
      <c r="G15" s="1313"/>
      <c r="H15" s="1313"/>
      <c r="I15" s="1313"/>
    </row>
    <row r="16" spans="1:9" ht="110" customHeight="1" x14ac:dyDescent="0.35">
      <c r="A16" s="360">
        <v>1</v>
      </c>
      <c r="B16" s="245" t="s">
        <v>8122</v>
      </c>
      <c r="C16" s="246" t="s">
        <v>913</v>
      </c>
      <c r="D16" s="245" t="s">
        <v>3096</v>
      </c>
      <c r="E16" s="245" t="s">
        <v>8102</v>
      </c>
      <c r="F16" s="245" t="s">
        <v>8087</v>
      </c>
      <c r="G16" s="245" t="s">
        <v>2595</v>
      </c>
      <c r="H16" s="305" t="s">
        <v>8123</v>
      </c>
      <c r="I16" s="265" t="str">
        <f>HYPERLINK("https://www.google.com/maps/search/Carcavelos%20Lisboa%20Portugal/@38.6787,-9.3196,17z","🏄 Carcavelos")</f>
        <v>🏄 Carcavelos</v>
      </c>
    </row>
    <row r="17" spans="1:9" ht="110" customHeight="1" x14ac:dyDescent="0.35">
      <c r="A17" s="340">
        <v>2</v>
      </c>
      <c r="B17" s="248" t="s">
        <v>6176</v>
      </c>
      <c r="C17" s="249" t="s">
        <v>913</v>
      </c>
      <c r="D17" s="248" t="s">
        <v>8124</v>
      </c>
      <c r="E17" s="248" t="s">
        <v>8112</v>
      </c>
      <c r="F17" s="248" t="s">
        <v>8125</v>
      </c>
      <c r="G17" s="248" t="s">
        <v>8126</v>
      </c>
      <c r="H17" s="304" t="s">
        <v>8127</v>
      </c>
      <c r="I17" s="266" t="str">
        <f>HYPERLINK("https://www.google.com/maps/search/Praia%20do%20Guincho%20Lisboa%20Portugal/@38.7316,-9.4715,17z","🏄 Praia do Guincho")</f>
        <v>🏄 Praia do Guincho</v>
      </c>
    </row>
    <row r="18" spans="1:9" ht="110" customHeight="1" x14ac:dyDescent="0.35">
      <c r="A18" s="360">
        <v>3</v>
      </c>
      <c r="B18" s="245" t="s">
        <v>8128</v>
      </c>
      <c r="C18" s="246" t="s">
        <v>913</v>
      </c>
      <c r="D18" s="245" t="s">
        <v>3096</v>
      </c>
      <c r="E18" s="245" t="s">
        <v>8092</v>
      </c>
      <c r="F18" s="245" t="s">
        <v>8084</v>
      </c>
      <c r="G18" s="245" t="s">
        <v>2595</v>
      </c>
      <c r="H18" s="305" t="s">
        <v>8129</v>
      </c>
      <c r="I18" s="265" t="str">
        <f>HYPERLINK("https://www.google.com/maps/search/Costa%20da%20Caparica%20Lisboa%20Portugal/@38.5422,-9.2481,17z","🏄 Costa da Caparica")</f>
        <v>🏄 Costa da Caparica</v>
      </c>
    </row>
    <row r="19" spans="1:9" ht="110" customHeight="1" x14ac:dyDescent="0.35">
      <c r="A19" s="340">
        <v>4</v>
      </c>
      <c r="B19" s="248" t="s">
        <v>8130</v>
      </c>
      <c r="C19" s="249" t="s">
        <v>913</v>
      </c>
      <c r="D19" s="248" t="s">
        <v>3096</v>
      </c>
      <c r="E19" s="248" t="s">
        <v>8083</v>
      </c>
      <c r="F19" s="248" t="s">
        <v>8087</v>
      </c>
      <c r="G19" s="248" t="s">
        <v>8109</v>
      </c>
      <c r="H19" s="304" t="s">
        <v>8131</v>
      </c>
      <c r="I19" s="266" t="str">
        <f>HYPERLINK("https://www.google.com/maps/search/Praia%20da%20Areia%20Branca%20Lisboa%20Portugal/@39.1092,-9.3483,17z","🏄 Praia da Areia Branca")</f>
        <v>🏄 Praia da Areia Branca</v>
      </c>
    </row>
    <row r="20" spans="1:9" ht="22" customHeight="1" x14ac:dyDescent="0.35">
      <c r="A20" s="1478" t="s">
        <v>8070</v>
      </c>
      <c r="B20" s="1313"/>
      <c r="C20" s="1313"/>
      <c r="D20" s="1313"/>
      <c r="E20" s="1313"/>
      <c r="F20" s="1313"/>
      <c r="G20" s="1313"/>
      <c r="H20" s="1313"/>
      <c r="I20" s="1313"/>
    </row>
    <row r="21" spans="1:9" ht="110" customHeight="1" x14ac:dyDescent="0.35">
      <c r="A21" s="346">
        <v>1</v>
      </c>
      <c r="B21" s="267" t="s">
        <v>8132</v>
      </c>
      <c r="C21" s="268" t="s">
        <v>853</v>
      </c>
      <c r="D21" s="267" t="s">
        <v>3096</v>
      </c>
      <c r="E21" s="267" t="s">
        <v>8092</v>
      </c>
      <c r="F21" s="267" t="s">
        <v>8133</v>
      </c>
      <c r="G21" s="267" t="s">
        <v>2595</v>
      </c>
      <c r="H21" s="305" t="s">
        <v>8134</v>
      </c>
      <c r="I21" s="288" t="str">
        <f>HYPERLINK("https://www.google.com/maps/search/Praia%20de%20Odeceixe%20Alentejo%20Portugal/@37.4522,-8.7728,17z","🏄 Praia de Odeceixe")</f>
        <v>🏄 Praia de Odeceixe</v>
      </c>
    </row>
    <row r="22" spans="1:9" ht="22" customHeight="1" x14ac:dyDescent="0.35">
      <c r="A22" s="1477" t="s">
        <v>8135</v>
      </c>
      <c r="B22" s="1313"/>
      <c r="C22" s="1313"/>
      <c r="D22" s="1313"/>
      <c r="E22" s="1313"/>
      <c r="F22" s="1313"/>
      <c r="G22" s="1313"/>
      <c r="H22" s="1313"/>
      <c r="I22" s="1313"/>
    </row>
    <row r="23" spans="1:9" ht="110" customHeight="1" x14ac:dyDescent="0.35">
      <c r="A23" s="348">
        <v>1</v>
      </c>
      <c r="B23" s="273" t="s">
        <v>8136</v>
      </c>
      <c r="C23" s="274" t="s">
        <v>767</v>
      </c>
      <c r="D23" s="273" t="s">
        <v>8137</v>
      </c>
      <c r="E23" s="273" t="s">
        <v>8092</v>
      </c>
      <c r="F23" s="273" t="s">
        <v>8138</v>
      </c>
      <c r="G23" s="273" t="s">
        <v>2595</v>
      </c>
      <c r="H23" s="304" t="s">
        <v>8139</v>
      </c>
      <c r="I23" s="275" t="str">
        <f>HYPERLINK("https://www.google.com/maps/search/Arrifana%20Algarve%20Portugal/@37.294,-8.877,17z","🏄 Arrifana")</f>
        <v>🏄 Arrifana</v>
      </c>
    </row>
    <row r="24" spans="1:9" ht="110" customHeight="1" x14ac:dyDescent="0.35">
      <c r="A24" s="354">
        <v>2</v>
      </c>
      <c r="B24" s="277" t="s">
        <v>8140</v>
      </c>
      <c r="C24" s="278" t="s">
        <v>767</v>
      </c>
      <c r="D24" s="277" t="s">
        <v>8141</v>
      </c>
      <c r="E24" s="277" t="s">
        <v>8092</v>
      </c>
      <c r="F24" s="277" t="s">
        <v>8087</v>
      </c>
      <c r="G24" s="277" t="s">
        <v>2595</v>
      </c>
      <c r="H24" s="305" t="s">
        <v>8142</v>
      </c>
      <c r="I24" s="280" t="str">
        <f>HYPERLINK("https://www.google.com/maps/search/Praia%20do%20Amado%20Algarve%20Portugal/@37.1672,-8.9023,17z","🏄 Praia do Amado")</f>
        <v>🏄 Praia do Amado</v>
      </c>
    </row>
    <row r="25" spans="1:9" ht="110" customHeight="1" x14ac:dyDescent="0.35">
      <c r="A25" s="348">
        <v>3</v>
      </c>
      <c r="B25" s="273" t="s">
        <v>8143</v>
      </c>
      <c r="C25" s="274" t="s">
        <v>767</v>
      </c>
      <c r="D25" s="273" t="s">
        <v>3096</v>
      </c>
      <c r="E25" s="273" t="s">
        <v>8112</v>
      </c>
      <c r="F25" s="273" t="s">
        <v>8087</v>
      </c>
      <c r="G25" s="273" t="s">
        <v>2591</v>
      </c>
      <c r="H25" s="304" t="s">
        <v>8144</v>
      </c>
      <c r="I25" s="275" t="str">
        <f>HYPERLINK("https://www.google.com/maps/search/Praia%20do%20Castelejo%20Algarve%20Portugal/@37.1328,-8.9347,17z","🏄 Praia do Castelejo")</f>
        <v>🏄 Praia do Castelejo</v>
      </c>
    </row>
    <row r="26" spans="1:9" ht="110" customHeight="1" x14ac:dyDescent="0.35">
      <c r="A26" s="354">
        <v>4</v>
      </c>
      <c r="B26" s="277" t="s">
        <v>8145</v>
      </c>
      <c r="C26" s="278" t="s">
        <v>767</v>
      </c>
      <c r="D26" s="277" t="s">
        <v>8146</v>
      </c>
      <c r="E26" s="277" t="s">
        <v>8112</v>
      </c>
      <c r="F26" s="277" t="s">
        <v>8147</v>
      </c>
      <c r="G26" s="277" t="s">
        <v>8109</v>
      </c>
      <c r="H26" s="305" t="s">
        <v>8148</v>
      </c>
      <c r="I26" s="280" t="str">
        <f>HYPERLINK("https://www.google.com/maps/search/Sagres%20%E2%80%94%20Beliche%20Algarve%20Portugal/@37.0243,-8.9397,17z","🏄 Sagres — Beliche")</f>
        <v>🏄 Sagres — Beliche</v>
      </c>
    </row>
    <row r="27" spans="1:9" ht="22" customHeight="1" x14ac:dyDescent="0.35">
      <c r="A27" s="1369" t="s">
        <v>8149</v>
      </c>
      <c r="B27" s="1313"/>
      <c r="C27" s="1313"/>
      <c r="D27" s="1313"/>
      <c r="E27" s="1313"/>
      <c r="F27" s="1313"/>
      <c r="G27" s="1313"/>
      <c r="H27" s="1313"/>
      <c r="I27" s="1313"/>
    </row>
    <row r="28" spans="1:9" ht="110" customHeight="1" x14ac:dyDescent="0.35">
      <c r="A28" s="344">
        <v>1</v>
      </c>
      <c r="B28" s="281" t="s">
        <v>8150</v>
      </c>
      <c r="C28" s="282" t="s">
        <v>522</v>
      </c>
      <c r="D28" s="281" t="s">
        <v>3096</v>
      </c>
      <c r="E28" s="281" t="s">
        <v>8102</v>
      </c>
      <c r="F28" s="281" t="s">
        <v>8084</v>
      </c>
      <c r="G28" s="281" t="s">
        <v>2595</v>
      </c>
      <c r="H28" s="304" t="s">
        <v>8151</v>
      </c>
      <c r="I28" s="290" t="str">
        <f>HYPERLINK("https://www.google.com/maps/search/Praia%20de%20Santa%20B%C3%A1rbara%20%28Ribeira%20Grande%29%20A%C3%A7ores%20Portugal/@37.819,-25.4984,17z","🏄 Praia de Santa Bárbara (Rib…")</f>
        <v>🏄 Praia de Santa Bárbara (Rib…</v>
      </c>
    </row>
    <row r="29" spans="1:9" ht="110" customHeight="1" x14ac:dyDescent="0.35">
      <c r="A29" s="342">
        <v>2</v>
      </c>
      <c r="B29" s="284" t="s">
        <v>8152</v>
      </c>
      <c r="C29" s="367" t="s">
        <v>522</v>
      </c>
      <c r="D29" s="284" t="s">
        <v>3096</v>
      </c>
      <c r="E29" s="284" t="s">
        <v>8112</v>
      </c>
      <c r="F29" s="284" t="s">
        <v>8153</v>
      </c>
      <c r="G29" s="284" t="s">
        <v>8109</v>
      </c>
      <c r="H29" s="305" t="s">
        <v>8154</v>
      </c>
      <c r="I29" s="364" t="str">
        <f>HYPERLINK("https://www.google.com/maps/search/Faj%C3%A3%20da%20Caldeira%20de%20Santo%20Cristo%20A%C3%A7ores%20Portugal/@38.6306,-27.9258,17z","🏄 Fajã da Caldeira de Santo C…")</f>
        <v>🏄 Fajã da Caldeira de Santo C…</v>
      </c>
    </row>
    <row r="30" spans="1:9" ht="110" customHeight="1" x14ac:dyDescent="0.35">
      <c r="A30" s="344">
        <v>3</v>
      </c>
      <c r="B30" s="281" t="s">
        <v>8155</v>
      </c>
      <c r="C30" s="282" t="s">
        <v>522</v>
      </c>
      <c r="D30" s="281" t="s">
        <v>3096</v>
      </c>
      <c r="E30" s="281" t="s">
        <v>8092</v>
      </c>
      <c r="F30" s="281" t="s">
        <v>8087</v>
      </c>
      <c r="G30" s="281" t="s">
        <v>2595</v>
      </c>
      <c r="H30" s="304" t="s">
        <v>8156</v>
      </c>
      <c r="I30" s="290" t="str">
        <f>HYPERLINK("https://www.google.com/maps/search/P%C3%B3pulo%20/%20Mil%C3%ADcias%20%28Ponta%20Delgada%29%20A%C3%A7ores%20Portugal/@37.7476,-25.6211,17z","🏄 Pópulo / Milícias (Ponta De…")</f>
        <v>🏄 Pópulo / Milícias (Ponta De…</v>
      </c>
    </row>
    <row r="31" spans="1:9" ht="110" customHeight="1" x14ac:dyDescent="0.35">
      <c r="A31" s="342">
        <v>4</v>
      </c>
      <c r="B31" s="284" t="s">
        <v>8157</v>
      </c>
      <c r="C31" s="367" t="s">
        <v>522</v>
      </c>
      <c r="D31" s="284" t="s">
        <v>3096</v>
      </c>
      <c r="E31" s="284" t="s">
        <v>8083</v>
      </c>
      <c r="F31" s="284" t="s">
        <v>8158</v>
      </c>
      <c r="G31" s="284" t="s">
        <v>8109</v>
      </c>
      <c r="H31" s="305" t="s">
        <v>8159</v>
      </c>
      <c r="I31" s="364" t="str">
        <f>HYPERLINK("https://www.google.com/maps/search/Mosteiros%20%28S%C3%A3o%20Miguel%29%20A%C3%A7ores%20Portugal/@37.8924,-25.8196,17z","🏄 Mosteiros (São Miguel)")</f>
        <v>🏄 Mosteiros (São Miguel)</v>
      </c>
    </row>
    <row r="32" spans="1:9" ht="110" customHeight="1" x14ac:dyDescent="0.35">
      <c r="A32" s="344">
        <v>5</v>
      </c>
      <c r="B32" s="281" t="s">
        <v>8160</v>
      </c>
      <c r="C32" s="282" t="s">
        <v>522</v>
      </c>
      <c r="D32" s="281" t="s">
        <v>3096</v>
      </c>
      <c r="E32" s="281" t="s">
        <v>8083</v>
      </c>
      <c r="F32" s="281" t="s">
        <v>8087</v>
      </c>
      <c r="G32" s="281" t="s">
        <v>8109</v>
      </c>
      <c r="H32" s="304" t="s">
        <v>8161</v>
      </c>
      <c r="I32" s="290" t="str">
        <f>HYPERLINK("https://www.google.com/maps/search/Praia%20dos%20Moinhos%20%28Terceira%29%20A%C3%A7ores%20Portugal/@38.73,-27.22,17z","🏄 Praia dos Moinhos (Terceira)")</f>
        <v>🏄 Praia dos Moinhos (Terceira)</v>
      </c>
    </row>
    <row r="33" spans="1:9" ht="22" customHeight="1" x14ac:dyDescent="0.35">
      <c r="A33" s="1370" t="s">
        <v>6909</v>
      </c>
      <c r="B33" s="1313"/>
      <c r="C33" s="1313"/>
      <c r="D33" s="1313"/>
      <c r="E33" s="1313"/>
      <c r="F33" s="1313"/>
      <c r="G33" s="1313"/>
      <c r="H33" s="1313"/>
      <c r="I33" s="1313"/>
    </row>
    <row r="34" spans="1:9" ht="110" customHeight="1" x14ac:dyDescent="0.35">
      <c r="A34" s="350">
        <v>1</v>
      </c>
      <c r="B34" s="251" t="s">
        <v>8162</v>
      </c>
      <c r="C34" s="252" t="s">
        <v>524</v>
      </c>
      <c r="D34" s="251" t="s">
        <v>3096</v>
      </c>
      <c r="E34" s="251" t="s">
        <v>8107</v>
      </c>
      <c r="F34" s="251" t="s">
        <v>8103</v>
      </c>
      <c r="G34" s="251" t="s">
        <v>8163</v>
      </c>
      <c r="H34" s="305" t="s">
        <v>8164</v>
      </c>
      <c r="I34" s="291" t="str">
        <f>HYPERLINK("https://www.google.com/maps/search/Jardim%20do%20Mar%20Madeira%20Portugal/@32.7356,-17.2117,17z","🏄 Jardim do Mar")</f>
        <v>🏄 Jardim do Mar</v>
      </c>
    </row>
    <row r="35" spans="1:9" ht="110" customHeight="1" x14ac:dyDescent="0.35">
      <c r="A35" s="356">
        <v>2</v>
      </c>
      <c r="B35" s="254" t="s">
        <v>8165</v>
      </c>
      <c r="C35" s="255" t="s">
        <v>524</v>
      </c>
      <c r="D35" s="254" t="s">
        <v>3096</v>
      </c>
      <c r="E35" s="254" t="s">
        <v>8112</v>
      </c>
      <c r="F35" s="254" t="s">
        <v>8166</v>
      </c>
      <c r="G35" s="254" t="s">
        <v>8163</v>
      </c>
      <c r="H35" s="304" t="s">
        <v>8167</v>
      </c>
      <c r="I35" s="366" t="str">
        <f>HYPERLINK("https://www.google.com/maps/search/Paul%20do%20Mar%20Madeira%20Portugal/@32.7536,-17.222,17z","🏄 Paul do Mar")</f>
        <v>🏄 Paul do Mar</v>
      </c>
    </row>
    <row r="36" spans="1:9" ht="110" customHeight="1" x14ac:dyDescent="0.35">
      <c r="A36" s="350">
        <v>3</v>
      </c>
      <c r="B36" s="251" t="s">
        <v>8168</v>
      </c>
      <c r="C36" s="252" t="s">
        <v>524</v>
      </c>
      <c r="D36" s="251" t="s">
        <v>3096</v>
      </c>
      <c r="E36" s="251" t="s">
        <v>8083</v>
      </c>
      <c r="F36" s="251" t="s">
        <v>8087</v>
      </c>
      <c r="G36" s="251" t="s">
        <v>2595</v>
      </c>
      <c r="H36" s="305" t="s">
        <v>8169</v>
      </c>
      <c r="I36" s="291" t="str">
        <f>HYPERLINK("https://www.google.com/maps/search/Faj%C3%A3%20da%20Areia%20%28S%C3%A3o%20Vicente%29%20Madeira%20Portugal/@32.8071,-17.0439,17z","🏄 Fajã da Areia (São Vicente)")</f>
        <v>🏄 Fajã da Areia (São Vicente)</v>
      </c>
    </row>
    <row r="37" spans="1:9" ht="110" customHeight="1" x14ac:dyDescent="0.35">
      <c r="A37" s="356">
        <v>4</v>
      </c>
      <c r="B37" s="254" t="s">
        <v>8170</v>
      </c>
      <c r="C37" s="255" t="s">
        <v>524</v>
      </c>
      <c r="D37" s="254" t="s">
        <v>3096</v>
      </c>
      <c r="E37" s="254" t="s">
        <v>8171</v>
      </c>
      <c r="F37" s="254" t="s">
        <v>8087</v>
      </c>
      <c r="G37" s="254" t="s">
        <v>2638</v>
      </c>
      <c r="H37" s="304" t="s">
        <v>8172</v>
      </c>
      <c r="I37" s="366" t="str">
        <f>HYPERLINK("https://www.google.com/maps/search/Porto%20da%20Cruz%20%E2%80%94%20Alagoa%20Madeira%20Portugal/@32.7728,-16.8291,17z","🏄 Porto da Cruz — Alagoa")</f>
        <v>🏄 Porto da Cruz — Alagoa</v>
      </c>
    </row>
    <row r="39" spans="1:9" x14ac:dyDescent="0.35">
      <c r="A39" s="1353" t="s">
        <v>8173</v>
      </c>
      <c r="B39" s="1354"/>
      <c r="C39" s="1354"/>
      <c r="D39" s="1354"/>
      <c r="E39" s="1354"/>
      <c r="F39" s="1354"/>
      <c r="G39" s="1354"/>
      <c r="H39" s="1354"/>
      <c r="I39" s="1354"/>
    </row>
  </sheetData>
  <mergeCells count="10">
    <mergeCell ref="A2:I2"/>
    <mergeCell ref="A33:I33"/>
    <mergeCell ref="A1:I1"/>
    <mergeCell ref="A27:I27"/>
    <mergeCell ref="A8:I8"/>
    <mergeCell ref="A39:I39"/>
    <mergeCell ref="A22:I22"/>
    <mergeCell ref="A4:I4"/>
    <mergeCell ref="A20:I20"/>
    <mergeCell ref="A15:I15"/>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82"/>
  <sheetViews>
    <sheetView workbookViewId="0">
      <pane ySplit="3" topLeftCell="A173" activePane="bottomLeft" state="frozen"/>
      <selection pane="bottomLeft" activeCell="J175" activeCellId="1" sqref="J173 J175"/>
    </sheetView>
  </sheetViews>
  <sheetFormatPr defaultRowHeight="14.5" x14ac:dyDescent="0.35"/>
  <cols>
    <col min="1" max="1" width="4" customWidth="1"/>
    <col min="2" max="2" width="38" customWidth="1"/>
    <col min="3" max="3" width="10" customWidth="1"/>
    <col min="4" max="4" width="14" customWidth="1"/>
    <col min="5" max="5" width="16" customWidth="1"/>
    <col min="6" max="6" width="28" customWidth="1"/>
    <col min="7" max="7" width="22" customWidth="1"/>
    <col min="8" max="8" width="16" customWidth="1"/>
    <col min="9" max="9" width="45" customWidth="1"/>
    <col min="10" max="10" width="26" customWidth="1"/>
  </cols>
  <sheetData>
    <row r="1" spans="1:10" ht="32" customHeight="1" x14ac:dyDescent="0.35">
      <c r="A1" s="1476" t="s">
        <v>8174</v>
      </c>
      <c r="B1" s="1313"/>
      <c r="C1" s="1313"/>
      <c r="D1" s="1313"/>
      <c r="E1" s="1313"/>
      <c r="F1" s="1313"/>
      <c r="G1" s="1313"/>
      <c r="H1" s="1313"/>
      <c r="I1" s="1313"/>
      <c r="J1" s="1313"/>
    </row>
    <row r="2" spans="1:10" ht="16" customHeight="1" x14ac:dyDescent="0.35">
      <c r="A2" s="1365" t="s">
        <v>8175</v>
      </c>
      <c r="B2" s="1313"/>
      <c r="C2" s="1313"/>
      <c r="D2" s="1313"/>
      <c r="E2" s="1313"/>
      <c r="F2" s="1313"/>
      <c r="G2" s="1313"/>
      <c r="H2" s="1313"/>
      <c r="I2" s="1313"/>
      <c r="J2" s="1313"/>
    </row>
    <row r="3" spans="1:10" ht="24" customHeight="1" x14ac:dyDescent="0.35">
      <c r="A3" s="238" t="s">
        <v>141</v>
      </c>
      <c r="B3" s="238" t="s">
        <v>785</v>
      </c>
      <c r="C3" s="238" t="s">
        <v>619</v>
      </c>
      <c r="D3" s="238" t="s">
        <v>8176</v>
      </c>
      <c r="E3" s="238" t="s">
        <v>1768</v>
      </c>
      <c r="F3" s="238" t="s">
        <v>906</v>
      </c>
      <c r="G3" s="238" t="s">
        <v>8177</v>
      </c>
      <c r="H3" s="238" t="s">
        <v>8178</v>
      </c>
      <c r="I3" s="238" t="s">
        <v>8</v>
      </c>
      <c r="J3" s="238" t="s">
        <v>789</v>
      </c>
    </row>
    <row r="4" spans="1:10" ht="22" customHeight="1" x14ac:dyDescent="0.35">
      <c r="A4" s="1479" t="s">
        <v>6271</v>
      </c>
      <c r="B4" s="1313"/>
      <c r="C4" s="1313"/>
      <c r="D4" s="1313"/>
      <c r="E4" s="1313"/>
      <c r="F4" s="1313"/>
      <c r="G4" s="1313"/>
      <c r="H4" s="1313"/>
      <c r="I4" s="1313"/>
      <c r="J4" s="1313"/>
    </row>
    <row r="5" spans="1:10" ht="110" customHeight="1" x14ac:dyDescent="0.35">
      <c r="A5" s="338">
        <v>1</v>
      </c>
      <c r="B5" s="239" t="s">
        <v>8179</v>
      </c>
      <c r="C5" s="240" t="s">
        <v>792</v>
      </c>
      <c r="D5" s="239" t="s">
        <v>1784</v>
      </c>
      <c r="E5" s="239" t="s">
        <v>1786</v>
      </c>
      <c r="F5" s="239" t="s">
        <v>8180</v>
      </c>
      <c r="G5" s="239" t="s">
        <v>8181</v>
      </c>
      <c r="H5" s="239" t="s">
        <v>8182</v>
      </c>
      <c r="I5" s="241" t="s">
        <v>8183</v>
      </c>
      <c r="J5" s="257" t="str">
        <f>HYPERLINK("https://www.google.com/maps/search/Praia%20Fluvial%20do%20Azibo%20%28Ribeira%29%20Norte%20Portugal/@41.5317,-6.9639,17z","🏊 Praia Fluvial do Azibo (Rib…")</f>
        <v>🏊 Praia Fluvial do Azibo (Rib…</v>
      </c>
    </row>
    <row r="6" spans="1:10" ht="110" customHeight="1" x14ac:dyDescent="0.35">
      <c r="A6" s="336">
        <v>2</v>
      </c>
      <c r="B6" s="242" t="s">
        <v>8184</v>
      </c>
      <c r="C6" s="243" t="s">
        <v>792</v>
      </c>
      <c r="D6" s="242" t="s">
        <v>1784</v>
      </c>
      <c r="E6" s="242" t="s">
        <v>1776</v>
      </c>
      <c r="F6" s="242" t="s">
        <v>8185</v>
      </c>
      <c r="G6" s="242" t="s">
        <v>8186</v>
      </c>
      <c r="H6" s="242" t="s">
        <v>8187</v>
      </c>
      <c r="I6" s="242" t="s">
        <v>8188</v>
      </c>
      <c r="J6" s="258" t="str">
        <f>HYPERLINK("https://www.google.com/maps/search/Praia%20Fluvial%20de%20Vale%20de%20Juncal%20Norte%20Portugal/@41.4878,-7.1769,17z","🏊 Praia Fluvial de Vale de Ju…")</f>
        <v>🏊 Praia Fluvial de Vale de Ju…</v>
      </c>
    </row>
    <row r="7" spans="1:10" ht="110" customHeight="1" x14ac:dyDescent="0.35">
      <c r="A7" s="338">
        <v>3</v>
      </c>
      <c r="B7" s="239" t="s">
        <v>8189</v>
      </c>
      <c r="C7" s="240" t="s">
        <v>792</v>
      </c>
      <c r="D7" s="239" t="s">
        <v>1784</v>
      </c>
      <c r="E7" s="239" t="s">
        <v>2023</v>
      </c>
      <c r="F7" s="239" t="s">
        <v>8190</v>
      </c>
      <c r="G7" s="239" t="s">
        <v>8186</v>
      </c>
      <c r="H7" s="239" t="s">
        <v>8187</v>
      </c>
      <c r="I7" s="239" t="s">
        <v>8191</v>
      </c>
      <c r="J7" s="257" t="str">
        <f>HYPERLINK("https://www.google.com/maps/search/Praia%20Fluvial%20de%20Fresulfe%20Norte%20Portugal/@41.8361,-7.0039,17z","🏊 Praia Fluvial de Fresulfe")</f>
        <v>🏊 Praia Fluvial de Fresulfe</v>
      </c>
    </row>
    <row r="8" spans="1:10" ht="110" customHeight="1" x14ac:dyDescent="0.35">
      <c r="A8" s="336">
        <v>4</v>
      </c>
      <c r="B8" s="242" t="s">
        <v>8192</v>
      </c>
      <c r="C8" s="243" t="s">
        <v>792</v>
      </c>
      <c r="D8" s="242" t="s">
        <v>5578</v>
      </c>
      <c r="E8" s="242" t="s">
        <v>4599</v>
      </c>
      <c r="F8" s="242" t="s">
        <v>8193</v>
      </c>
      <c r="G8" s="242" t="s">
        <v>8194</v>
      </c>
      <c r="H8" s="242" t="s">
        <v>8195</v>
      </c>
      <c r="I8" s="242" t="s">
        <v>8196</v>
      </c>
      <c r="J8" s="258" t="str">
        <f>HYPERLINK("https://www.google.com/maps/search/Praia%20Fluvial%20do%20Raba%C3%A7al%20Norte%20Portugal/@41.61,-7.3008,17z","🏊 Praia Fluvial do Rabaçal")</f>
        <v>🏊 Praia Fluvial do Rabaçal</v>
      </c>
    </row>
    <row r="9" spans="1:10" ht="110" customHeight="1" x14ac:dyDescent="0.35">
      <c r="A9" s="338">
        <v>5</v>
      </c>
      <c r="B9" s="239" t="s">
        <v>8197</v>
      </c>
      <c r="C9" s="240" t="s">
        <v>792</v>
      </c>
      <c r="D9" s="239" t="s">
        <v>5578</v>
      </c>
      <c r="E9" s="239" t="s">
        <v>1872</v>
      </c>
      <c r="F9" s="239" t="s">
        <v>8198</v>
      </c>
      <c r="G9" s="239" t="s">
        <v>8199</v>
      </c>
      <c r="H9" s="239" t="s">
        <v>8187</v>
      </c>
      <c r="I9" s="239" t="s">
        <v>8200</v>
      </c>
      <c r="J9" s="257" t="str">
        <f>HYPERLINK("https://www.google.com/maps/search/Praia%20Fluvial%20Rio%20Olo%20%E2%80%94%20Ermelo%20Norte%20Portugal/@41.4075,-7.9558,17z","🏊 Praia Fluvial Rio Olo — Erm…")</f>
        <v>🏊 Praia Fluvial Rio Olo — Erm…</v>
      </c>
    </row>
    <row r="10" spans="1:10" ht="110" customHeight="1" x14ac:dyDescent="0.35">
      <c r="A10" s="336">
        <v>6</v>
      </c>
      <c r="B10" s="242" t="s">
        <v>8201</v>
      </c>
      <c r="C10" s="243" t="s">
        <v>792</v>
      </c>
      <c r="D10" s="242" t="s">
        <v>1552</v>
      </c>
      <c r="E10" s="242" t="s">
        <v>2001</v>
      </c>
      <c r="F10" s="242" t="s">
        <v>8202</v>
      </c>
      <c r="G10" s="242" t="s">
        <v>5819</v>
      </c>
      <c r="H10" s="242" t="s">
        <v>8187</v>
      </c>
      <c r="I10" s="242" t="s">
        <v>8203</v>
      </c>
      <c r="J10" s="258" t="str">
        <f>HYPERLINK("https://www.google.com/maps/search/Praia%20Fluvial%20do%20Faial%20%E2%80%94%20Vila%20de%20Prado%20Norte%20Portugal/@41.6522,-8.4333,17z","🏊 Praia Fluvial do Faial — Vi…")</f>
        <v>🏊 Praia Fluvial do Faial — Vi…</v>
      </c>
    </row>
    <row r="11" spans="1:10" ht="110" customHeight="1" x14ac:dyDescent="0.35">
      <c r="A11" s="338">
        <v>7</v>
      </c>
      <c r="B11" s="239" t="s">
        <v>8204</v>
      </c>
      <c r="C11" s="240" t="s">
        <v>792</v>
      </c>
      <c r="D11" s="239" t="s">
        <v>5578</v>
      </c>
      <c r="E11" s="239" t="s">
        <v>4609</v>
      </c>
      <c r="F11" s="239" t="s">
        <v>8205</v>
      </c>
      <c r="G11" s="239" t="s">
        <v>8206</v>
      </c>
      <c r="H11" s="239" t="s">
        <v>8187</v>
      </c>
      <c r="I11" s="241" t="s">
        <v>8207</v>
      </c>
      <c r="J11" s="257" t="str">
        <f>HYPERLINK("https://www.google.com/maps/search/Praia%20Fluvial%20de%20Rebelos%20%E2%80%94%20Mur%C3%A7a%20Norte%20Portugal/@41.4047,-7.4511,17z","🏊 Praia Fluvial de Rebelos — …")</f>
        <v>🏊 Praia Fluvial de Rebelos — …</v>
      </c>
    </row>
    <row r="12" spans="1:10" ht="110" customHeight="1" x14ac:dyDescent="0.35">
      <c r="A12" s="336">
        <v>8</v>
      </c>
      <c r="B12" s="242" t="s">
        <v>8208</v>
      </c>
      <c r="C12" s="243" t="s">
        <v>792</v>
      </c>
      <c r="D12" s="242" t="s">
        <v>1784</v>
      </c>
      <c r="E12" s="242" t="s">
        <v>8048</v>
      </c>
      <c r="F12" s="242" t="s">
        <v>8209</v>
      </c>
      <c r="G12" s="242" t="s">
        <v>8210</v>
      </c>
      <c r="H12" s="242" t="s">
        <v>8187</v>
      </c>
      <c r="I12" s="242" t="s">
        <v>8211</v>
      </c>
      <c r="J12" s="258" t="str">
        <f>HYPERLINK("https://www.google.com/maps/search/Praia%20Fluvial%20de%20Serapicos%20Norte%20Portugal/@41.5836,-6.5306,17z","🏊 Praia Fluvial de Serapicos")</f>
        <v>🏊 Praia Fluvial de Serapicos</v>
      </c>
    </row>
    <row r="13" spans="1:10" ht="110" customHeight="1" x14ac:dyDescent="0.35">
      <c r="A13" s="338">
        <v>9</v>
      </c>
      <c r="B13" s="239" t="s">
        <v>8212</v>
      </c>
      <c r="C13" s="240" t="s">
        <v>792</v>
      </c>
      <c r="D13" s="239" t="s">
        <v>1784</v>
      </c>
      <c r="E13" s="239" t="s">
        <v>8048</v>
      </c>
      <c r="F13" s="239" t="s">
        <v>8209</v>
      </c>
      <c r="G13" s="239" t="s">
        <v>8210</v>
      </c>
      <c r="H13" s="239" t="s">
        <v>8187</v>
      </c>
      <c r="I13" s="239" t="s">
        <v>8213</v>
      </c>
      <c r="J13" s="257" t="str">
        <f>HYPERLINK("https://www.google.com/maps/search/Praia%20Fluvial%20de%20Uva%20Norte%20Portugal/@41.5836,-6.5306,17z","🏊 Praia Fluvial de Uva")</f>
        <v>🏊 Praia Fluvial de Uva</v>
      </c>
    </row>
    <row r="14" spans="1:10" ht="110" customHeight="1" x14ac:dyDescent="0.35">
      <c r="A14" s="336">
        <v>10</v>
      </c>
      <c r="B14" s="242" t="s">
        <v>8214</v>
      </c>
      <c r="C14" s="243" t="s">
        <v>792</v>
      </c>
      <c r="D14" s="242" t="s">
        <v>1784</v>
      </c>
      <c r="E14" s="242" t="s">
        <v>1784</v>
      </c>
      <c r="F14" s="242" t="s">
        <v>8215</v>
      </c>
      <c r="G14" s="242" t="s">
        <v>8216</v>
      </c>
      <c r="H14" s="242" t="s">
        <v>8217</v>
      </c>
      <c r="I14" s="242" t="s">
        <v>8218</v>
      </c>
      <c r="J14" s="258" t="str">
        <f>HYPERLINK("https://www.google.com/maps/search/Praia%20Fluvial%20do%20Colado%20%E2%80%94%20Quintanilha%20Norte%20Portugal/@41.8034,-6.749,17z","🏊 Praia Fluvial do Colado — Q…")</f>
        <v>🏊 Praia Fluvial do Colado — Q…</v>
      </c>
    </row>
    <row r="15" spans="1:10" ht="110" customHeight="1" x14ac:dyDescent="0.35">
      <c r="A15" s="338">
        <v>11</v>
      </c>
      <c r="B15" s="239" t="s">
        <v>8219</v>
      </c>
      <c r="C15" s="240" t="s">
        <v>792</v>
      </c>
      <c r="D15" s="239" t="s">
        <v>1552</v>
      </c>
      <c r="E15" s="239" t="s">
        <v>4579</v>
      </c>
      <c r="F15" s="239" t="s">
        <v>8220</v>
      </c>
      <c r="G15" s="239" t="s">
        <v>8221</v>
      </c>
      <c r="H15" s="239" t="s">
        <v>8187</v>
      </c>
      <c r="I15" s="239" t="s">
        <v>8222</v>
      </c>
      <c r="J15" s="257" t="str">
        <f>HYPERLINK("https://www.google.com/maps/search/Praia%20Fluvial%20do%20Ermal%20%E2%80%94%20Ilha%20do%20Ermal%20Norte%20Portugal/@41.6347,-8.1322,17z","🏊 Praia Fluvial do Ermal — Il…")</f>
        <v>🏊 Praia Fluvial do Ermal — Il…</v>
      </c>
    </row>
    <row r="16" spans="1:10" ht="110" customHeight="1" x14ac:dyDescent="0.35">
      <c r="A16" s="336">
        <v>12</v>
      </c>
      <c r="B16" s="242" t="s">
        <v>8223</v>
      </c>
      <c r="C16" s="243" t="s">
        <v>792</v>
      </c>
      <c r="D16" s="242" t="s">
        <v>1363</v>
      </c>
      <c r="E16" s="242" t="s">
        <v>1779</v>
      </c>
      <c r="F16" s="242" t="s">
        <v>8224</v>
      </c>
      <c r="G16" s="242" t="s">
        <v>8225</v>
      </c>
      <c r="H16" s="242" t="s">
        <v>8226</v>
      </c>
      <c r="I16" s="242" t="s">
        <v>8227</v>
      </c>
      <c r="J16" s="258" t="str">
        <f>HYPERLINK("https://www.google.com/maps/search/Praia%20Fluvial%20da%20M%C3%A2moa%20Norte%20Portugal/@40.9258,-8.5461,17z","🏊 Praia Fluvial da Mâmoa")</f>
        <v>🏊 Praia Fluvial da Mâmoa</v>
      </c>
    </row>
    <row r="17" spans="1:10" ht="110" customHeight="1" x14ac:dyDescent="0.35">
      <c r="A17" s="338">
        <v>13</v>
      </c>
      <c r="B17" s="239" t="s">
        <v>8228</v>
      </c>
      <c r="C17" s="240" t="s">
        <v>792</v>
      </c>
      <c r="D17" s="239" t="s">
        <v>1363</v>
      </c>
      <c r="E17" s="239" t="s">
        <v>1853</v>
      </c>
      <c r="F17" s="239" t="s">
        <v>8229</v>
      </c>
      <c r="G17" s="239" t="s">
        <v>8230</v>
      </c>
      <c r="H17" s="239" t="s">
        <v>8187</v>
      </c>
      <c r="I17" s="239" t="s">
        <v>8231</v>
      </c>
      <c r="J17" s="257" t="str">
        <f>HYPERLINK("https://www.google.com/maps/search/Praia%20Fluvial%20de%20Burg%C3%A3es%20Norte%20Portugal/@40.8439,-8.3925,17z","🏊 Praia Fluvial de Burgães")</f>
        <v>🏊 Praia Fluvial de Burgães</v>
      </c>
    </row>
    <row r="18" spans="1:10" ht="110" customHeight="1" x14ac:dyDescent="0.35">
      <c r="A18" s="336">
        <v>14</v>
      </c>
      <c r="B18" s="242" t="s">
        <v>8232</v>
      </c>
      <c r="C18" s="243" t="s">
        <v>792</v>
      </c>
      <c r="D18" s="242" t="s">
        <v>1363</v>
      </c>
      <c r="E18" s="242" t="s">
        <v>1264</v>
      </c>
      <c r="F18" s="242" t="s">
        <v>8233</v>
      </c>
      <c r="G18" s="242" t="s">
        <v>8234</v>
      </c>
      <c r="H18" s="242" t="s">
        <v>8187</v>
      </c>
      <c r="I18" s="244" t="s">
        <v>8235</v>
      </c>
      <c r="J18" s="258" t="str">
        <f>HYPERLINK("https://www.google.com/maps/search/Piscina%20Fluvial%20de%20%C3%81gueda%20Norte%20Portugal/@40.5739,-8.4403,17z","🏊 Piscina Fluvial de Águeda")</f>
        <v>🏊 Piscina Fluvial de Águeda</v>
      </c>
    </row>
    <row r="19" spans="1:10" ht="110" customHeight="1" x14ac:dyDescent="0.35">
      <c r="A19" s="338">
        <v>15</v>
      </c>
      <c r="B19" s="239" t="s">
        <v>8236</v>
      </c>
      <c r="C19" s="240" t="s">
        <v>792</v>
      </c>
      <c r="D19" s="239" t="s">
        <v>1552</v>
      </c>
      <c r="E19" s="239" t="s">
        <v>1823</v>
      </c>
      <c r="F19" s="239" t="s">
        <v>8237</v>
      </c>
      <c r="G19" s="239" t="s">
        <v>8238</v>
      </c>
      <c r="H19" s="239" t="s">
        <v>8226</v>
      </c>
      <c r="I19" s="239" t="s">
        <v>8239</v>
      </c>
      <c r="J19" s="257" t="str">
        <f>HYPERLINK("https://www.google.com/maps/search/Praia%20Fluvial%20da%20Queimadela%20%E2%80%94%20Fafe%20Norte%20Portugal/@41.4508,-8.1731,17z","🏊 Praia Fluvial da Queimadela…")</f>
        <v>🏊 Praia Fluvial da Queimadela…</v>
      </c>
    </row>
    <row r="20" spans="1:10" ht="110" customHeight="1" x14ac:dyDescent="0.35">
      <c r="A20" s="336">
        <v>16</v>
      </c>
      <c r="B20" s="242" t="s">
        <v>8240</v>
      </c>
      <c r="C20" s="243" t="s">
        <v>792</v>
      </c>
      <c r="D20" s="242" t="s">
        <v>1552</v>
      </c>
      <c r="E20" s="242" t="s">
        <v>1552</v>
      </c>
      <c r="F20" s="242" t="s">
        <v>8241</v>
      </c>
      <c r="G20" s="242" t="s">
        <v>5819</v>
      </c>
      <c r="H20" s="242" t="s">
        <v>8182</v>
      </c>
      <c r="I20" s="242" t="s">
        <v>8242</v>
      </c>
      <c r="J20" s="258" t="str">
        <f>HYPERLINK("https://www.google.com/maps/search/Praia%20Fluvial%20de%20Ada%C3%BAfe%20Norte%20Portugal/@41.5503,-8.4291,17z","🏊 Praia Fluvial de Adaúfe")</f>
        <v>🏊 Praia Fluvial de Adaúfe</v>
      </c>
    </row>
    <row r="21" spans="1:10" ht="110" customHeight="1" x14ac:dyDescent="0.35">
      <c r="A21" s="338">
        <v>17</v>
      </c>
      <c r="B21" s="239" t="s">
        <v>8243</v>
      </c>
      <c r="C21" s="240" t="s">
        <v>792</v>
      </c>
      <c r="D21" s="239" t="s">
        <v>1784</v>
      </c>
      <c r="E21" s="239" t="s">
        <v>1784</v>
      </c>
      <c r="F21" s="239" t="s">
        <v>8215</v>
      </c>
      <c r="G21" s="239" t="s">
        <v>8244</v>
      </c>
      <c r="H21" s="239" t="s">
        <v>8187</v>
      </c>
      <c r="I21" s="239" t="s">
        <v>8245</v>
      </c>
      <c r="J21" s="257" t="str">
        <f>HYPERLINK("https://www.google.com/maps/search/Praia%20Fluvial%20do%20Rio%20Baceiro%20Norte%20Portugal/@41.8034,-6.749,17z","🏊 Praia Fluvial do Rio Baceiro")</f>
        <v>🏊 Praia Fluvial do Rio Baceiro</v>
      </c>
    </row>
    <row r="22" spans="1:10" ht="110" customHeight="1" x14ac:dyDescent="0.35">
      <c r="A22" s="336">
        <v>18</v>
      </c>
      <c r="B22" s="242" t="s">
        <v>8246</v>
      </c>
      <c r="C22" s="243" t="s">
        <v>792</v>
      </c>
      <c r="D22" s="242" t="s">
        <v>1784</v>
      </c>
      <c r="E22" s="242" t="s">
        <v>8048</v>
      </c>
      <c r="F22" s="242" t="s">
        <v>8209</v>
      </c>
      <c r="G22" s="242" t="s">
        <v>8216</v>
      </c>
      <c r="H22" s="242" t="s">
        <v>8187</v>
      </c>
      <c r="I22" s="242" t="s">
        <v>8247</v>
      </c>
      <c r="J22" s="258" t="str">
        <f>HYPERLINK("https://www.google.com/maps/search/Praia%20Fluvial%20da%20Ponte%20do%20Ma%C3%A7%C3%A3s%20Norte%20Portugal/@41.5836,-6.5306,17z","🏊 Praia Fluvial da Ponte do M…")</f>
        <v>🏊 Praia Fluvial da Ponte do M…</v>
      </c>
    </row>
    <row r="23" spans="1:10" ht="110" customHeight="1" x14ac:dyDescent="0.35">
      <c r="A23" s="338">
        <v>19</v>
      </c>
      <c r="B23" s="239" t="s">
        <v>8248</v>
      </c>
      <c r="C23" s="240" t="s">
        <v>792</v>
      </c>
      <c r="D23" s="239" t="s">
        <v>1784</v>
      </c>
      <c r="E23" s="239" t="s">
        <v>2023</v>
      </c>
      <c r="F23" s="239" t="s">
        <v>8190</v>
      </c>
      <c r="G23" s="239" t="s">
        <v>8194</v>
      </c>
      <c r="H23" s="239" t="s">
        <v>8195</v>
      </c>
      <c r="I23" s="239" t="s">
        <v>8249</v>
      </c>
      <c r="J23" s="257" t="str">
        <f>HYPERLINK("https://www.google.com/maps/search/Praia%20Fluvial%20de%20Ponte%20Frades%20%E2%80%94%20Vinhais%20Norte%20Portugal/@41.8361,-7.0039,17z","🏊 Praia Fluvial de Ponte Frad…")</f>
        <v>🏊 Praia Fluvial de Ponte Frad…</v>
      </c>
    </row>
    <row r="24" spans="1:10" ht="110" customHeight="1" x14ac:dyDescent="0.35">
      <c r="A24" s="336">
        <v>20</v>
      </c>
      <c r="B24" s="242" t="s">
        <v>8250</v>
      </c>
      <c r="C24" s="243" t="s">
        <v>792</v>
      </c>
      <c r="D24" s="242" t="s">
        <v>1552</v>
      </c>
      <c r="E24" s="242" t="s">
        <v>4579</v>
      </c>
      <c r="F24" s="242" t="s">
        <v>8251</v>
      </c>
      <c r="G24" s="242" t="s">
        <v>5819</v>
      </c>
      <c r="H24" s="242" t="s">
        <v>8217</v>
      </c>
      <c r="I24" s="242" t="s">
        <v>8252</v>
      </c>
      <c r="J24" s="258" t="str">
        <f>HYPERLINK("https://www.google.com/maps/search/Praia%20Fluvial%20Quinta%20do%20Rio%20%E2%80%94%20Parada%20de%20Bouro%20Norte%20Portugal/@41.6347,-8.1322,17z","🏊 Praia Fluvial Quinta do Rio…")</f>
        <v>🏊 Praia Fluvial Quinta do Rio…</v>
      </c>
    </row>
    <row r="25" spans="1:10" ht="110" customHeight="1" x14ac:dyDescent="0.35">
      <c r="A25" s="338">
        <v>21</v>
      </c>
      <c r="B25" s="239" t="s">
        <v>8253</v>
      </c>
      <c r="C25" s="240" t="s">
        <v>792</v>
      </c>
      <c r="D25" s="239" t="s">
        <v>1552</v>
      </c>
      <c r="E25" s="239" t="s">
        <v>1917</v>
      </c>
      <c r="F25" s="239" t="s">
        <v>8254</v>
      </c>
      <c r="G25" s="239" t="s">
        <v>8255</v>
      </c>
      <c r="H25" s="239" t="s">
        <v>8187</v>
      </c>
      <c r="I25" s="239" t="s">
        <v>8256</v>
      </c>
      <c r="J25" s="257" t="str">
        <f>HYPERLINK("https://www.google.com/maps/search/Praia%20Fluvial%20da%20Ponte%20Ranha%20%E2%80%94%20Cabeceiras%20de%20Basto%20Norte%20Portugal/@41.5111,-7.9933,17z","🏊 Praia Fluvial da Ponte Ranh…")</f>
        <v>🏊 Praia Fluvial da Ponte Ranh…</v>
      </c>
    </row>
    <row r="26" spans="1:10" ht="110" customHeight="1" x14ac:dyDescent="0.35">
      <c r="A26" s="336">
        <v>22</v>
      </c>
      <c r="B26" s="242" t="s">
        <v>8257</v>
      </c>
      <c r="C26" s="243" t="s">
        <v>792</v>
      </c>
      <c r="D26" s="242" t="s">
        <v>1149</v>
      </c>
      <c r="E26" s="242" t="s">
        <v>4677</v>
      </c>
      <c r="F26" s="242" t="s">
        <v>8258</v>
      </c>
      <c r="G26" s="242" t="s">
        <v>8259</v>
      </c>
      <c r="H26" s="242" t="s">
        <v>8187</v>
      </c>
      <c r="I26" s="242" t="s">
        <v>8260</v>
      </c>
      <c r="J26" s="258" t="str">
        <f>HYPERLINK("https://www.google.com/maps/search/Praia%20Fluvial%20de%20Tabo%C3%A3o%20%E2%80%94%20Paredes%20de%20Coura%20Norte%20Portugal/@41.9117,-8.5642,17z","🏊 Praia Fluvial de Taboão — P…")</f>
        <v>🏊 Praia Fluvial de Taboão — P…</v>
      </c>
    </row>
    <row r="27" spans="1:10" ht="110" customHeight="1" x14ac:dyDescent="0.35">
      <c r="A27" s="338">
        <v>23</v>
      </c>
      <c r="B27" s="239" t="s">
        <v>8261</v>
      </c>
      <c r="C27" s="240" t="s">
        <v>792</v>
      </c>
      <c r="D27" s="239" t="s">
        <v>1784</v>
      </c>
      <c r="E27" s="239" t="s">
        <v>1935</v>
      </c>
      <c r="F27" s="239" t="s">
        <v>8262</v>
      </c>
      <c r="G27" s="239" t="s">
        <v>8210</v>
      </c>
      <c r="H27" s="239" t="s">
        <v>8187</v>
      </c>
      <c r="I27" s="239" t="s">
        <v>8263</v>
      </c>
      <c r="J27" s="257" t="str">
        <f>HYPERLINK("https://www.google.com/maps/search/Praia%20Fluvial%20de%20S%C3%A3o%20Martinho%20de%20Angueira%20Norte%20Portugal/@41.4939,-6.2731,17z","🏊 Praia Fluvial de São Martin…")</f>
        <v>🏊 Praia Fluvial de São Martin…</v>
      </c>
    </row>
    <row r="28" spans="1:10" ht="110" customHeight="1" x14ac:dyDescent="0.35">
      <c r="A28" s="336">
        <v>24</v>
      </c>
      <c r="B28" s="242" t="s">
        <v>8264</v>
      </c>
      <c r="C28" s="243" t="s">
        <v>792</v>
      </c>
      <c r="D28" s="242" t="s">
        <v>1784</v>
      </c>
      <c r="E28" s="242" t="s">
        <v>8265</v>
      </c>
      <c r="F28" s="242" t="s">
        <v>8266</v>
      </c>
      <c r="G28" s="242" t="s">
        <v>8267</v>
      </c>
      <c r="H28" s="242" t="s">
        <v>8187</v>
      </c>
      <c r="I28" s="242" t="s">
        <v>8268</v>
      </c>
      <c r="J28" s="258" t="str">
        <f>HYPERLINK("https://www.google.com/maps/search/Praia%20Fluvial%20Foz%20do%20Rio%20Sabor%20%E2%80%94%20Moncorvo%20Norte%20Portugal/@41.1772,-7.0556,17z","🏊 Praia Fluvial Foz do Rio Sa…")</f>
        <v>🏊 Praia Fluvial Foz do Rio Sa…</v>
      </c>
    </row>
    <row r="29" spans="1:10" ht="110" customHeight="1" x14ac:dyDescent="0.35">
      <c r="A29" s="338">
        <v>25</v>
      </c>
      <c r="B29" s="239" t="s">
        <v>8269</v>
      </c>
      <c r="C29" s="240" t="s">
        <v>792</v>
      </c>
      <c r="D29" s="239" t="s">
        <v>1552</v>
      </c>
      <c r="E29" s="239" t="s">
        <v>2001</v>
      </c>
      <c r="F29" s="239" t="s">
        <v>8202</v>
      </c>
      <c r="G29" s="239" t="s">
        <v>8270</v>
      </c>
      <c r="H29" s="239" t="s">
        <v>8187</v>
      </c>
      <c r="I29" s="239" t="s">
        <v>8271</v>
      </c>
      <c r="J29" s="257" t="str">
        <f>HYPERLINK("https://www.google.com/maps/search/Praia%20Fluvial%20de%20Soutelo%20%E2%80%94%20Vila%20Verde%20Norte%20Portugal/@41.6522,-8.4333,17z","🏊 Praia Fluvial de Soutelo — …")</f>
        <v>🏊 Praia Fluvial de Soutelo — …</v>
      </c>
    </row>
    <row r="30" spans="1:10" ht="110" customHeight="1" x14ac:dyDescent="0.35">
      <c r="A30" s="336">
        <v>26</v>
      </c>
      <c r="B30" s="242" t="s">
        <v>8272</v>
      </c>
      <c r="C30" s="243" t="s">
        <v>792</v>
      </c>
      <c r="D30" s="242" t="s">
        <v>1363</v>
      </c>
      <c r="E30" s="242" t="s">
        <v>1908</v>
      </c>
      <c r="F30" s="242" t="s">
        <v>8273</v>
      </c>
      <c r="G30" s="242" t="s">
        <v>8274</v>
      </c>
      <c r="H30" s="242" t="s">
        <v>8187</v>
      </c>
      <c r="I30" s="242" t="s">
        <v>8275</v>
      </c>
      <c r="J30" s="258" t="str">
        <f>HYPERLINK("https://www.google.com/maps/search/Praia%20Fluvial%20da%20Espiunca%20%E2%80%94%20Arouca%20Norte%20Portugal/@40.9257,-8.2461,17z","🏊 Praia Fluvial da Espiunca —…")</f>
        <v>🏊 Praia Fluvial da Espiunca —…</v>
      </c>
    </row>
    <row r="31" spans="1:10" ht="110" customHeight="1" x14ac:dyDescent="0.35">
      <c r="A31" s="338">
        <v>27</v>
      </c>
      <c r="B31" s="239" t="s">
        <v>8276</v>
      </c>
      <c r="C31" s="240" t="s">
        <v>792</v>
      </c>
      <c r="D31" s="239" t="s">
        <v>1552</v>
      </c>
      <c r="E31" s="239" t="s">
        <v>1791</v>
      </c>
      <c r="F31" s="239" t="s">
        <v>1424</v>
      </c>
      <c r="G31" s="239" t="s">
        <v>8277</v>
      </c>
      <c r="H31" s="239" t="s">
        <v>8187</v>
      </c>
      <c r="I31" s="239" t="s">
        <v>8278</v>
      </c>
      <c r="J31" s="257" t="str">
        <f>HYPERLINK("https://www.google.com/maps/search/Praia%20Fluvial%20de%20Air%C3%A3o%20Santa%20Maria%20%E2%80%94%20Guimar%C3%A3es%20Norte%20Portugal/@41.4478,-8.2903,17z","🏊 Praia Fluvial de Airão Sant…")</f>
        <v>🏊 Praia Fluvial de Airão Sant…</v>
      </c>
    </row>
    <row r="32" spans="1:10" ht="110" customHeight="1" x14ac:dyDescent="0.35">
      <c r="A32" s="336">
        <v>28</v>
      </c>
      <c r="B32" s="242" t="s">
        <v>8279</v>
      </c>
      <c r="C32" s="243" t="s">
        <v>792</v>
      </c>
      <c r="D32" s="242" t="s">
        <v>1149</v>
      </c>
      <c r="E32" s="242" t="s">
        <v>8280</v>
      </c>
      <c r="F32" s="242" t="s">
        <v>8281</v>
      </c>
      <c r="G32" s="242" t="s">
        <v>8282</v>
      </c>
      <c r="H32" s="242" t="s">
        <v>8187</v>
      </c>
      <c r="I32" s="242" t="s">
        <v>8283</v>
      </c>
      <c r="J32" s="258" t="str">
        <f>HYPERLINK("https://www.google.com/maps/search/Praia%20Fluvial%20de%20Ponte%20da%20Barca%20Norte%20Portugal/@41.8019,-8.4167,17z","🏊 Praia Fluvial de Ponte da B…")</f>
        <v>🏊 Praia Fluvial de Ponte da B…</v>
      </c>
    </row>
    <row r="33" spans="1:10" ht="110" customHeight="1" x14ac:dyDescent="0.35">
      <c r="A33" s="338">
        <v>29</v>
      </c>
      <c r="B33" s="239" t="s">
        <v>8284</v>
      </c>
      <c r="C33" s="240" t="s">
        <v>792</v>
      </c>
      <c r="D33" s="239" t="s">
        <v>1552</v>
      </c>
      <c r="E33" s="239" t="s">
        <v>1791</v>
      </c>
      <c r="F33" s="239" t="s">
        <v>1424</v>
      </c>
      <c r="G33" s="239" t="s">
        <v>8285</v>
      </c>
      <c r="H33" s="239" t="s">
        <v>8187</v>
      </c>
      <c r="I33" s="241" t="s">
        <v>8286</v>
      </c>
      <c r="J33" s="257" t="str">
        <f>HYPERLINK("https://www.google.com/maps/search/Praia%20Seca%20%E2%80%94%20Caldas%20das%20Taipas%2C%20Guimar%C3%A3es%20Norte%20Portugal/@41.4478,-8.2903,17z","🏊 Praia Seca — Caldas das Tai…")</f>
        <v>🏊 Praia Seca — Caldas das Tai…</v>
      </c>
    </row>
    <row r="34" spans="1:10" ht="110" customHeight="1" x14ac:dyDescent="0.35">
      <c r="A34" s="336">
        <v>30</v>
      </c>
      <c r="B34" s="242" t="s">
        <v>8287</v>
      </c>
      <c r="C34" s="243" t="s">
        <v>792</v>
      </c>
      <c r="D34" s="242" t="s">
        <v>5578</v>
      </c>
      <c r="E34" s="242" t="s">
        <v>8288</v>
      </c>
      <c r="F34" s="242" t="s">
        <v>8289</v>
      </c>
      <c r="G34" s="242" t="s">
        <v>8290</v>
      </c>
      <c r="H34" s="242" t="s">
        <v>8187</v>
      </c>
      <c r="I34" s="242" t="s">
        <v>8291</v>
      </c>
      <c r="J34" s="258" t="str">
        <f>HYPERLINK("https://www.google.com/maps/search/Praia%20Fluvial%20de%20Fornelos%20%E2%80%94%20Santa%20Marta%20de%20Penagui%C3%A3o%20Norte%20Portugal/@41.1961,-7.7689,17z","🏊 Praia Fluvial de Fornelos —…")</f>
        <v>🏊 Praia Fluvial de Fornelos —…</v>
      </c>
    </row>
    <row r="35" spans="1:10" ht="110" customHeight="1" x14ac:dyDescent="0.35">
      <c r="A35" s="338">
        <v>31</v>
      </c>
      <c r="B35" s="239" t="s">
        <v>8292</v>
      </c>
      <c r="C35" s="240" t="s">
        <v>792</v>
      </c>
      <c r="D35" s="239" t="s">
        <v>1363</v>
      </c>
      <c r="E35" s="239" t="s">
        <v>1264</v>
      </c>
      <c r="F35" s="239" t="s">
        <v>8233</v>
      </c>
      <c r="G35" s="239" t="s">
        <v>8293</v>
      </c>
      <c r="H35" s="239" t="s">
        <v>8187</v>
      </c>
      <c r="I35" s="239" t="s">
        <v>8294</v>
      </c>
      <c r="J35" s="257" t="str">
        <f>HYPERLINK("https://www.google.com/maps/search/Praia%20Fluvial%20do%20Souto%20do%20Rio%20%E2%80%94%20Borralha%2C%20%C3%81gueda%20Norte%20Portugal/@40.5739,-8.4403,17z","🏊 Praia Fluvial do Souto do R…")</f>
        <v>🏊 Praia Fluvial do Souto do R…</v>
      </c>
    </row>
    <row r="36" spans="1:10" ht="110" customHeight="1" x14ac:dyDescent="0.35">
      <c r="A36" s="336">
        <v>32</v>
      </c>
      <c r="B36" s="242" t="s">
        <v>8295</v>
      </c>
      <c r="C36" s="243" t="s">
        <v>792</v>
      </c>
      <c r="D36" s="242" t="s">
        <v>3082</v>
      </c>
      <c r="E36" s="242" t="s">
        <v>1184</v>
      </c>
      <c r="F36" s="242" t="s">
        <v>8296</v>
      </c>
      <c r="G36" s="242" t="s">
        <v>8297</v>
      </c>
      <c r="H36" s="242" t="s">
        <v>8187</v>
      </c>
      <c r="I36" s="242" t="s">
        <v>8298</v>
      </c>
      <c r="J36" s="258" t="str">
        <f>HYPERLINK("https://www.google.com/maps/search/Praia%20Fluvial%20de%20Vila%20Me%C3%A3%20%E2%80%94%20Amarante%20Norte%20Portugal/@41.2694,-8.0767,17z","🏊 Praia Fluvial de Vila Meã —…")</f>
        <v>🏊 Praia Fluvial de Vila Meã —…</v>
      </c>
    </row>
    <row r="37" spans="1:10" ht="110" customHeight="1" x14ac:dyDescent="0.35">
      <c r="A37" s="338">
        <v>33</v>
      </c>
      <c r="B37" s="239" t="s">
        <v>8299</v>
      </c>
      <c r="C37" s="240" t="s">
        <v>792</v>
      </c>
      <c r="D37" s="239" t="s">
        <v>3082</v>
      </c>
      <c r="E37" s="239" t="s">
        <v>8300</v>
      </c>
      <c r="F37" s="239" t="s">
        <v>8301</v>
      </c>
      <c r="G37" s="239" t="s">
        <v>8302</v>
      </c>
      <c r="H37" s="239" t="s">
        <v>8187</v>
      </c>
      <c r="I37" s="239" t="s">
        <v>8303</v>
      </c>
      <c r="J37" s="257" t="str">
        <f>HYPERLINK("https://www.google.com/maps/search/Praia%20Fluvial%20de%20Arnelas%20%E2%80%94%20Vila%20Nova%20de%20Gaia%20Norte%20Portugal/@41.1239,-8.6119,17z","🏊 Praia Fluvial de Arnelas — …")</f>
        <v>🏊 Praia Fluvial de Arnelas — …</v>
      </c>
    </row>
    <row r="38" spans="1:10" ht="110" customHeight="1" x14ac:dyDescent="0.35">
      <c r="A38" s="336">
        <v>34</v>
      </c>
      <c r="B38" s="242" t="s">
        <v>8304</v>
      </c>
      <c r="C38" s="243" t="s">
        <v>792</v>
      </c>
      <c r="D38" s="242" t="s">
        <v>1363</v>
      </c>
      <c r="E38" s="242" t="s">
        <v>1840</v>
      </c>
      <c r="F38" s="242" t="s">
        <v>8305</v>
      </c>
      <c r="G38" s="242" t="s">
        <v>8274</v>
      </c>
      <c r="H38" s="242" t="s">
        <v>8217</v>
      </c>
      <c r="I38" s="242" t="s">
        <v>8306</v>
      </c>
      <c r="J38" s="258" t="str">
        <f>HYPERLINK("https://www.google.com/maps/search/Praia%20Fluvial%20da%20V%C3%A1rzea%20%E2%80%94%20Castelo%20de%20Paiva%20Norte%20Portugal/@41.0247,-8.2617,17z","🏊 Praia Fluvial da Várzea — C…")</f>
        <v>🏊 Praia Fluvial da Várzea — C…</v>
      </c>
    </row>
    <row r="39" spans="1:10" ht="110" customHeight="1" x14ac:dyDescent="0.35">
      <c r="A39" s="338">
        <v>35</v>
      </c>
      <c r="B39" s="239" t="s">
        <v>8307</v>
      </c>
      <c r="C39" s="240" t="s">
        <v>792</v>
      </c>
      <c r="D39" s="239" t="s">
        <v>1552</v>
      </c>
      <c r="E39" s="239" t="s">
        <v>5850</v>
      </c>
      <c r="F39" s="239" t="s">
        <v>8308</v>
      </c>
      <c r="G39" s="239" t="s">
        <v>8309</v>
      </c>
      <c r="H39" s="239" t="s">
        <v>8217</v>
      </c>
      <c r="I39" s="241" t="s">
        <v>8310</v>
      </c>
      <c r="J39" s="257" t="str">
        <f>HYPERLINK("https://www.google.com/maps/search/Praia%20Fluvial%20do%20Rio%20Homem%20%E2%80%94%20Terras%20de%20Bouro%20Norte%20Portugal/@41.7178,-8.2994,17z","🏊 Praia Fluvial do Rio Homem …")</f>
        <v>🏊 Praia Fluvial do Rio Homem …</v>
      </c>
    </row>
    <row r="40" spans="1:10" ht="110" customHeight="1" x14ac:dyDescent="0.35">
      <c r="A40" s="336">
        <v>36</v>
      </c>
      <c r="B40" s="242" t="s">
        <v>8311</v>
      </c>
      <c r="C40" s="243" t="s">
        <v>792</v>
      </c>
      <c r="D40" s="242" t="s">
        <v>1552</v>
      </c>
      <c r="E40" s="242" t="s">
        <v>5850</v>
      </c>
      <c r="F40" s="242" t="s">
        <v>8308</v>
      </c>
      <c r="G40" s="242" t="s">
        <v>8309</v>
      </c>
      <c r="H40" s="242" t="s">
        <v>8217</v>
      </c>
      <c r="I40" s="244" t="s">
        <v>8312</v>
      </c>
      <c r="J40" s="258" t="str">
        <f>HYPERLINK("https://www.google.com/maps/search/Praia%20Fluvial%20de%20Rega%20%E2%80%94%20Terras%20de%20Bouro%20Norte%20Portugal/@41.7178,-8.2994,17z","🏊 Praia Fluvial de Rega — Ter…")</f>
        <v>🏊 Praia Fluvial de Rega — Ter…</v>
      </c>
    </row>
    <row r="41" spans="1:10" ht="110" customHeight="1" x14ac:dyDescent="0.35">
      <c r="A41" s="338">
        <v>37</v>
      </c>
      <c r="B41" s="239" t="s">
        <v>8313</v>
      </c>
      <c r="C41" s="240" t="s">
        <v>792</v>
      </c>
      <c r="D41" s="239" t="s">
        <v>3082</v>
      </c>
      <c r="E41" s="239" t="s">
        <v>1184</v>
      </c>
      <c r="F41" s="239" t="s">
        <v>8296</v>
      </c>
      <c r="G41" s="239" t="s">
        <v>8314</v>
      </c>
      <c r="H41" s="239" t="s">
        <v>8187</v>
      </c>
      <c r="I41" s="239" t="s">
        <v>8315</v>
      </c>
      <c r="J41" s="257" t="str">
        <f>HYPERLINK("https://www.google.com/maps/search/Praia%20Fluvial%20de%20Larim%20%E2%80%94%20Gondar%2C%20Amarante%20Norte%20Portugal/@41.2694,-8.0767,17z","🏊 Praia Fluvial de Larim — Go…")</f>
        <v>🏊 Praia Fluvial de Larim — Go…</v>
      </c>
    </row>
    <row r="42" spans="1:10" ht="110" customHeight="1" x14ac:dyDescent="0.35">
      <c r="A42" s="336">
        <v>38</v>
      </c>
      <c r="B42" s="242" t="s">
        <v>8316</v>
      </c>
      <c r="C42" s="243" t="s">
        <v>792</v>
      </c>
      <c r="D42" s="242" t="s">
        <v>1552</v>
      </c>
      <c r="E42" s="242" t="s">
        <v>4579</v>
      </c>
      <c r="F42" s="242" t="s">
        <v>8251</v>
      </c>
      <c r="G42" s="242" t="s">
        <v>8317</v>
      </c>
      <c r="H42" s="242" t="s">
        <v>8187</v>
      </c>
      <c r="I42" s="242" t="s">
        <v>8318</v>
      </c>
      <c r="J42" s="258" t="str">
        <f>HYPERLINK("https://www.google.com/maps/search/Praia%20Fluvial%20do%20M%C3%A9xico%20%E2%80%94%20Ger%C3%AAs%20Norte%20Portugal/@41.6347,-8.1322,17z","🏊 Praia Fluvial do México — G…")</f>
        <v>🏊 Praia Fluvial do México — G…</v>
      </c>
    </row>
    <row r="43" spans="1:10" ht="110" customHeight="1" x14ac:dyDescent="0.35">
      <c r="A43" s="338">
        <v>39</v>
      </c>
      <c r="B43" s="239" t="s">
        <v>8319</v>
      </c>
      <c r="C43" s="240" t="s">
        <v>792</v>
      </c>
      <c r="D43" s="239" t="s">
        <v>3082</v>
      </c>
      <c r="E43" s="239" t="s">
        <v>1970</v>
      </c>
      <c r="F43" s="239" t="s">
        <v>8320</v>
      </c>
      <c r="G43" s="239" t="s">
        <v>8302</v>
      </c>
      <c r="H43" s="239" t="s">
        <v>8195</v>
      </c>
      <c r="I43" s="239" t="s">
        <v>8321</v>
      </c>
      <c r="J43" s="257" t="str">
        <f>HYPERLINK("https://www.google.com/maps/search/Praia%20Fluvial%20da%20Lomba%20%E2%80%94%20Gondomar%20Norte%20Portugal/@41.0394,-8.5383,17z","🏊 Praia Fluvial da Lomba — Go…")</f>
        <v>🏊 Praia Fluvial da Lomba — Go…</v>
      </c>
    </row>
    <row r="44" spans="1:10" ht="110" customHeight="1" x14ac:dyDescent="0.35">
      <c r="A44" s="336">
        <v>40</v>
      </c>
      <c r="B44" s="242" t="s">
        <v>8322</v>
      </c>
      <c r="C44" s="243" t="s">
        <v>792</v>
      </c>
      <c r="D44" s="242" t="s">
        <v>1149</v>
      </c>
      <c r="E44" s="242" t="s">
        <v>1864</v>
      </c>
      <c r="F44" s="242" t="s">
        <v>8323</v>
      </c>
      <c r="G44" s="242" t="s">
        <v>8324</v>
      </c>
      <c r="H44" s="242" t="s">
        <v>8187</v>
      </c>
      <c r="I44" s="242" t="s">
        <v>8325</v>
      </c>
      <c r="J44" s="258" t="str">
        <f>HYPERLINK("https://www.google.com/maps/search/Praia%20Fluvial%20da%20Valeta%20%E2%80%94%20Arcos%20de%20Valdevez%20Norte%20Portugal/@41.8436,-8.4203,17z","🏊 Praia Fluvial da Valeta — A…")</f>
        <v>🏊 Praia Fluvial da Valeta — A…</v>
      </c>
    </row>
    <row r="45" spans="1:10" ht="110" customHeight="1" x14ac:dyDescent="0.35">
      <c r="A45" s="338">
        <v>41</v>
      </c>
      <c r="B45" s="239" t="s">
        <v>8326</v>
      </c>
      <c r="C45" s="240" t="s">
        <v>792</v>
      </c>
      <c r="D45" s="239" t="s">
        <v>1552</v>
      </c>
      <c r="E45" s="239" t="s">
        <v>1552</v>
      </c>
      <c r="F45" s="239" t="s">
        <v>8241</v>
      </c>
      <c r="G45" s="239" t="s">
        <v>5819</v>
      </c>
      <c r="H45" s="239" t="s">
        <v>8217</v>
      </c>
      <c r="I45" s="239" t="s">
        <v>8327</v>
      </c>
      <c r="J45" s="257" t="str">
        <f>HYPERLINK("https://www.google.com/maps/search/Praia%20Fluvial%20de%20Navarra%20%E2%80%94%20Braga%20Norte%20Portugal/@41.5503,-8.4291,17z","🏊 Praia Fluvial de Navarra — …")</f>
        <v>🏊 Praia Fluvial de Navarra — …</v>
      </c>
    </row>
    <row r="46" spans="1:10" ht="110" customHeight="1" x14ac:dyDescent="0.35">
      <c r="A46" s="336">
        <v>42</v>
      </c>
      <c r="B46" s="242" t="s">
        <v>8328</v>
      </c>
      <c r="C46" s="243" t="s">
        <v>792</v>
      </c>
      <c r="D46" s="242" t="s">
        <v>1363</v>
      </c>
      <c r="E46" s="242" t="s">
        <v>1840</v>
      </c>
      <c r="F46" s="242" t="s">
        <v>8305</v>
      </c>
      <c r="G46" s="242" t="s">
        <v>8329</v>
      </c>
      <c r="H46" s="242" t="s">
        <v>8187</v>
      </c>
      <c r="I46" s="242" t="s">
        <v>8330</v>
      </c>
      <c r="J46" s="258" t="str">
        <f>HYPERLINK("https://www.google.com/maps/search/Praia%20do%20Castelo%20/%20Ilha%20dos%20Amores%20%E2%80%94%20Castelo%20de%20Paiva%20Norte%20Portugal/@41.0247,-8.2617,17z","🏊 Praia do Castelo / Ilha dos…")</f>
        <v>🏊 Praia do Castelo / Ilha dos…</v>
      </c>
    </row>
    <row r="47" spans="1:10" ht="110" customHeight="1" x14ac:dyDescent="0.35">
      <c r="A47" s="338">
        <v>43</v>
      </c>
      <c r="B47" s="239" t="s">
        <v>8331</v>
      </c>
      <c r="C47" s="240" t="s">
        <v>792</v>
      </c>
      <c r="D47" s="239" t="s">
        <v>5578</v>
      </c>
      <c r="E47" s="239" t="s">
        <v>1932</v>
      </c>
      <c r="F47" s="239" t="s">
        <v>8332</v>
      </c>
      <c r="G47" s="239" t="s">
        <v>8302</v>
      </c>
      <c r="H47" s="239" t="s">
        <v>8187</v>
      </c>
      <c r="I47" s="239" t="s">
        <v>8333</v>
      </c>
      <c r="J47" s="257" t="str">
        <f>HYPERLINK("https://www.google.com/maps/search/Praia%20Fluvial%20da%20Rede%20%E2%80%94%20Mes%C3%A3o%20Frio%20Norte%20Portugal/@41.1611,-7.8372,17z","🏊 Praia Fluvial da Rede — Mes…")</f>
        <v>🏊 Praia Fluvial da Rede — Mes…</v>
      </c>
    </row>
    <row r="48" spans="1:10" ht="110" customHeight="1" x14ac:dyDescent="0.35">
      <c r="A48" s="336">
        <v>44</v>
      </c>
      <c r="B48" s="242" t="s">
        <v>8334</v>
      </c>
      <c r="C48" s="243" t="s">
        <v>792</v>
      </c>
      <c r="D48" s="242" t="s">
        <v>1552</v>
      </c>
      <c r="E48" s="242" t="s">
        <v>8335</v>
      </c>
      <c r="F48" s="242" t="s">
        <v>8336</v>
      </c>
      <c r="G48" s="242" t="s">
        <v>5816</v>
      </c>
      <c r="H48" s="242" t="s">
        <v>8187</v>
      </c>
      <c r="I48" s="242" t="s">
        <v>8337</v>
      </c>
      <c r="J48" s="258" t="str">
        <f>HYPERLINK("https://www.google.com/maps/search/Praia%20Fluvial%20da%20Rola%20%E2%80%94%20Porto%20D%27Ave%2C%20P%C3%B3voa%20de%20Lanhoso%20Norte%20Portugal/@41.5797,-8.2703,17z","🏊 Praia Fluvial da Rola — Por…")</f>
        <v>🏊 Praia Fluvial da Rola — Por…</v>
      </c>
    </row>
    <row r="49" spans="1:10" ht="110" customHeight="1" x14ac:dyDescent="0.35">
      <c r="A49" s="338">
        <v>45</v>
      </c>
      <c r="B49" s="239" t="s">
        <v>8338</v>
      </c>
      <c r="C49" s="240" t="s">
        <v>792</v>
      </c>
      <c r="D49" s="239" t="s">
        <v>1552</v>
      </c>
      <c r="E49" s="239" t="s">
        <v>1902</v>
      </c>
      <c r="F49" s="239" t="s">
        <v>8339</v>
      </c>
      <c r="G49" s="239" t="s">
        <v>8309</v>
      </c>
      <c r="H49" s="239" t="s">
        <v>8187</v>
      </c>
      <c r="I49" s="241" t="s">
        <v>8340</v>
      </c>
      <c r="J49" s="257" t="str">
        <f>HYPERLINK("https://www.google.com/maps/search/Parque%20Fluvial%20de%20Felinhos%20%E2%80%94%20Amares%20Norte%20Portugal/@41.6339,-8.3469,17z","🏊 Parque Fluvial de Felinhos …")</f>
        <v>🏊 Parque Fluvial de Felinhos …</v>
      </c>
    </row>
    <row r="50" spans="1:10" ht="110" customHeight="1" x14ac:dyDescent="0.35">
      <c r="A50" s="336">
        <v>46</v>
      </c>
      <c r="B50" s="242" t="s">
        <v>8341</v>
      </c>
      <c r="C50" s="243" t="s">
        <v>792</v>
      </c>
      <c r="D50" s="242" t="s">
        <v>1552</v>
      </c>
      <c r="E50" s="242" t="s">
        <v>8335</v>
      </c>
      <c r="F50" s="242" t="s">
        <v>8336</v>
      </c>
      <c r="G50" s="242" t="s">
        <v>5819</v>
      </c>
      <c r="H50" s="242" t="s">
        <v>8195</v>
      </c>
      <c r="I50" s="242" t="s">
        <v>8342</v>
      </c>
      <c r="J50" s="258" t="str">
        <f>HYPERLINK("https://www.google.com/maps/search/Praia%20Fluvial%20de%20Verim%20%E2%80%94%20P%C3%B3voa%20de%20Lanhoso%20Norte%20Portugal/@41.5797,-8.2703,17z","🏊 Praia Fluvial de Verim — Pó…")</f>
        <v>🏊 Praia Fluvial de Verim — Pó…</v>
      </c>
    </row>
    <row r="51" spans="1:10" ht="110" customHeight="1" x14ac:dyDescent="0.35">
      <c r="A51" s="338">
        <v>47</v>
      </c>
      <c r="B51" s="239" t="s">
        <v>8343</v>
      </c>
      <c r="C51" s="240" t="s">
        <v>792</v>
      </c>
      <c r="D51" s="239" t="s">
        <v>1784</v>
      </c>
      <c r="E51" s="239" t="s">
        <v>1776</v>
      </c>
      <c r="F51" s="239" t="s">
        <v>8344</v>
      </c>
      <c r="G51" s="239" t="s">
        <v>8345</v>
      </c>
      <c r="H51" s="239" t="s">
        <v>8187</v>
      </c>
      <c r="I51" s="239" t="s">
        <v>8346</v>
      </c>
      <c r="J51" s="257" t="str">
        <f>HYPERLINK("https://www.google.com/maps/search/Praia%20Fluvial%20de%20Miradeses%20%E2%80%94%20Mirandela%20Norte%20Portugal/@41.4878,-7.1769,17z","🏊 Praia Fluvial de Miradeses …")</f>
        <v>🏊 Praia Fluvial de Miradeses …</v>
      </c>
    </row>
    <row r="52" spans="1:10" ht="110" customHeight="1" x14ac:dyDescent="0.35">
      <c r="A52" s="336">
        <v>48</v>
      </c>
      <c r="B52" s="242" t="s">
        <v>8347</v>
      </c>
      <c r="C52" s="243" t="s">
        <v>792</v>
      </c>
      <c r="D52" s="242" t="s">
        <v>3082</v>
      </c>
      <c r="E52" s="242" t="s">
        <v>1970</v>
      </c>
      <c r="F52" s="242" t="s">
        <v>8320</v>
      </c>
      <c r="G52" s="242" t="s">
        <v>8302</v>
      </c>
      <c r="H52" s="242" t="s">
        <v>8187</v>
      </c>
      <c r="I52" s="242" t="s">
        <v>8348</v>
      </c>
      <c r="J52" s="258" t="str">
        <f>HYPERLINK("https://www.google.com/maps/search/Praia%20Fluvial%20de%20Zebreiros%20%E2%80%94%20Gondomar%20Norte%20Portugal/@41.0394,-8.5383,17z","🏊 Praia Fluvial de Zebreiros …")</f>
        <v>🏊 Praia Fluvial de Zebreiros …</v>
      </c>
    </row>
    <row r="53" spans="1:10" ht="110" customHeight="1" x14ac:dyDescent="0.35">
      <c r="A53" s="338">
        <v>49</v>
      </c>
      <c r="B53" s="239" t="s">
        <v>8349</v>
      </c>
      <c r="C53" s="240" t="s">
        <v>792</v>
      </c>
      <c r="D53" s="239" t="s">
        <v>1363</v>
      </c>
      <c r="E53" s="239" t="s">
        <v>1853</v>
      </c>
      <c r="F53" s="239" t="s">
        <v>8229</v>
      </c>
      <c r="G53" s="239" t="s">
        <v>8350</v>
      </c>
      <c r="H53" s="239" t="s">
        <v>8187</v>
      </c>
      <c r="I53" s="239" t="s">
        <v>8351</v>
      </c>
      <c r="J53" s="257" t="str">
        <f>HYPERLINK("https://www.google.com/maps/search/Praia%20Fluvial%20de%20Pontemieiro%20%E2%80%94%20Vale%20de%20Cambra%20Norte%20Portugal/@40.8439,-8.3925,17z","🏊 Praia Fluvial de Pontemieir…")</f>
        <v>🏊 Praia Fluvial de Pontemieir…</v>
      </c>
    </row>
    <row r="54" spans="1:10" ht="110" customHeight="1" x14ac:dyDescent="0.35">
      <c r="A54" s="336">
        <v>50</v>
      </c>
      <c r="B54" s="242" t="s">
        <v>8352</v>
      </c>
      <c r="C54" s="243" t="s">
        <v>792</v>
      </c>
      <c r="D54" s="242" t="s">
        <v>1552</v>
      </c>
      <c r="E54" s="242" t="s">
        <v>5850</v>
      </c>
      <c r="F54" s="242" t="s">
        <v>8308</v>
      </c>
      <c r="G54" s="242" t="s">
        <v>8353</v>
      </c>
      <c r="H54" s="242" t="s">
        <v>8187</v>
      </c>
      <c r="I54" s="242" t="s">
        <v>8354</v>
      </c>
      <c r="J54" s="258" t="str">
        <f>HYPERLINK("https://www.google.com/maps/search/Praia%20Fluvial%20Ger%C3%AAs%20Albufeira%20%E2%80%94%20Terras%20de%20Bouro%20Norte%20Portugal/@41.7178,-8.2994,17z","🏊 Praia Fluvial Gerês Albufei…")</f>
        <v>🏊 Praia Fluvial Gerês Albufei…</v>
      </c>
    </row>
    <row r="55" spans="1:10" ht="110" customHeight="1" x14ac:dyDescent="0.35">
      <c r="A55" s="338">
        <v>51</v>
      </c>
      <c r="B55" s="239" t="s">
        <v>8355</v>
      </c>
      <c r="C55" s="240" t="s">
        <v>792</v>
      </c>
      <c r="D55" s="239" t="s">
        <v>1363</v>
      </c>
      <c r="E55" s="239" t="s">
        <v>8025</v>
      </c>
      <c r="F55" s="239" t="s">
        <v>8356</v>
      </c>
      <c r="G55" s="239" t="s">
        <v>8357</v>
      </c>
      <c r="H55" s="239" t="s">
        <v>8226</v>
      </c>
      <c r="I55" s="239" t="s">
        <v>8358</v>
      </c>
      <c r="J55" s="257" t="str">
        <f>HYPERLINK("https://www.google.com/maps/search/Praia%20Fluvial%20da%20Quinta%20do%20Barco%20%E2%80%94%20Paradela%2C%20Sever%20do%20Vouga%20Norte%20Portugal/@40.7289,-8.3622,17z","🏊 Praia Fluvial da Quinta do …")</f>
        <v>🏊 Praia Fluvial da Quinta do …</v>
      </c>
    </row>
    <row r="56" spans="1:10" ht="110" customHeight="1" x14ac:dyDescent="0.35">
      <c r="A56" s="336">
        <v>52</v>
      </c>
      <c r="B56" s="242" t="s">
        <v>8359</v>
      </c>
      <c r="C56" s="243" t="s">
        <v>792</v>
      </c>
      <c r="D56" s="242" t="s">
        <v>1552</v>
      </c>
      <c r="E56" s="242" t="s">
        <v>5850</v>
      </c>
      <c r="F56" s="242" t="s">
        <v>8308</v>
      </c>
      <c r="G56" s="242" t="s">
        <v>8317</v>
      </c>
      <c r="H56" s="242" t="s">
        <v>8187</v>
      </c>
      <c r="I56" s="242" t="s">
        <v>8360</v>
      </c>
      <c r="J56" s="258" t="str">
        <f>HYPERLINK("https://www.google.com/maps/search/Praias%20Fluviais%20da%20Barragem%20%E2%80%94%20Ger%C3%AAs%20%28Ipanema%20/%20Ilha%29%20Norte%20Portugal/@41.7178,-8.2994,17z","🏊 Praias Fluviais da Barragem…")</f>
        <v>🏊 Praias Fluviais da Barragem…</v>
      </c>
    </row>
    <row r="57" spans="1:10" ht="110" customHeight="1" x14ac:dyDescent="0.35">
      <c r="A57" s="338">
        <v>53</v>
      </c>
      <c r="B57" s="239" t="s">
        <v>8361</v>
      </c>
      <c r="C57" s="240" t="s">
        <v>792</v>
      </c>
      <c r="D57" s="239" t="s">
        <v>1552</v>
      </c>
      <c r="E57" s="239" t="s">
        <v>2001</v>
      </c>
      <c r="F57" s="239" t="s">
        <v>8202</v>
      </c>
      <c r="G57" s="239" t="s">
        <v>8309</v>
      </c>
      <c r="H57" s="239" t="s">
        <v>8187</v>
      </c>
      <c r="I57" s="241" t="s">
        <v>8362</v>
      </c>
      <c r="J57" s="257" t="str">
        <f>HYPERLINK("https://www.google.com/maps/search/Praia%20Fluvial%20de%20Porto%20Carrero%20%E2%80%94%20Soutelo%2C%20Vila%20Verde%20Norte%20Portugal/@41.6522,-8.4333,17z","🏊 Praia Fluvial de Porto Carr…")</f>
        <v>🏊 Praia Fluvial de Porto Carr…</v>
      </c>
    </row>
    <row r="58" spans="1:10" ht="110" customHeight="1" x14ac:dyDescent="0.35">
      <c r="A58" s="336">
        <v>54</v>
      </c>
      <c r="B58" s="242" t="s">
        <v>8363</v>
      </c>
      <c r="C58" s="243" t="s">
        <v>792</v>
      </c>
      <c r="D58" s="242" t="s">
        <v>1363</v>
      </c>
      <c r="E58" s="242" t="s">
        <v>1908</v>
      </c>
      <c r="F58" s="242" t="s">
        <v>8273</v>
      </c>
      <c r="G58" s="242" t="s">
        <v>8274</v>
      </c>
      <c r="H58" s="242" t="s">
        <v>8187</v>
      </c>
      <c r="I58" s="242" t="s">
        <v>8364</v>
      </c>
      <c r="J58" s="258" t="str">
        <f>HYPERLINK("https://www.google.com/maps/search/Praia%20Fluvial%20do%20Vau%20%E2%80%94%20Arouca%20Norte%20Portugal/@40.9257,-8.2461,17z","🏊 Praia Fluvial do Vau — Arouca")</f>
        <v>🏊 Praia Fluvial do Vau — Arouca</v>
      </c>
    </row>
    <row r="59" spans="1:10" ht="110" customHeight="1" x14ac:dyDescent="0.35">
      <c r="A59" s="338">
        <v>55</v>
      </c>
      <c r="B59" s="239" t="s">
        <v>8365</v>
      </c>
      <c r="C59" s="240" t="s">
        <v>792</v>
      </c>
      <c r="D59" s="239" t="s">
        <v>1784</v>
      </c>
      <c r="E59" s="239" t="s">
        <v>1776</v>
      </c>
      <c r="F59" s="239" t="s">
        <v>8344</v>
      </c>
      <c r="G59" s="239" t="s">
        <v>8366</v>
      </c>
      <c r="H59" s="239" t="s">
        <v>8217</v>
      </c>
      <c r="I59" s="239" t="s">
        <v>8367</v>
      </c>
      <c r="J59" s="257" t="str">
        <f>HYPERLINK("https://www.google.com/maps/search/Praia%20Fluvial%20de%20Quintas%20%E2%80%94%20Mirandela%20Norte%20Portugal/@41.4878,-7.1769,17z","🏊 Praia Fluvial de Quintas — …")</f>
        <v>🏊 Praia Fluvial de Quintas — …</v>
      </c>
    </row>
    <row r="60" spans="1:10" ht="110" customHeight="1" x14ac:dyDescent="0.35">
      <c r="A60" s="336">
        <v>56</v>
      </c>
      <c r="B60" s="242" t="s">
        <v>8368</v>
      </c>
      <c r="C60" s="243" t="s">
        <v>792</v>
      </c>
      <c r="D60" s="242" t="s">
        <v>1149</v>
      </c>
      <c r="E60" s="242" t="s">
        <v>1985</v>
      </c>
      <c r="F60" s="242" t="s">
        <v>8369</v>
      </c>
      <c r="G60" s="242" t="s">
        <v>8282</v>
      </c>
      <c r="H60" s="242" t="s">
        <v>8187</v>
      </c>
      <c r="I60" s="242" t="s">
        <v>8370</v>
      </c>
      <c r="J60" s="258" t="str">
        <f>HYPERLINK("https://www.google.com/maps/search/Praia%20Fluvial%20de%20Ponte%20de%20Lima%20%E2%80%94%20Parque%20do%20Arnado%20Norte%20Portugal/@41.7686,-8.5781,17z","🏊 Praia Fluvial de Ponte de L…")</f>
        <v>🏊 Praia Fluvial de Ponte de L…</v>
      </c>
    </row>
    <row r="61" spans="1:10" ht="110" customHeight="1" x14ac:dyDescent="0.35">
      <c r="A61" s="338">
        <v>57</v>
      </c>
      <c r="B61" s="239" t="s">
        <v>8371</v>
      </c>
      <c r="C61" s="240" t="s">
        <v>792</v>
      </c>
      <c r="D61" s="239" t="s">
        <v>3082</v>
      </c>
      <c r="E61" s="239" t="s">
        <v>8372</v>
      </c>
      <c r="F61" s="239" t="s">
        <v>8373</v>
      </c>
      <c r="G61" s="239" t="s">
        <v>8374</v>
      </c>
      <c r="H61" s="239" t="s">
        <v>8187</v>
      </c>
      <c r="I61" s="239" t="s">
        <v>8375</v>
      </c>
      <c r="J61" s="257" t="str">
        <f>HYPERLINK("https://www.google.com/maps/search/Praia%20Fluvial%20de%20Luzim%20%E2%80%94%20Penafiel%20Norte%20Portugal/@41.2081,-8.2844,17z","🏊 Praia Fluvial de Luzim — Pe…")</f>
        <v>🏊 Praia Fluvial de Luzim — Pe…</v>
      </c>
    </row>
    <row r="62" spans="1:10" ht="110" customHeight="1" x14ac:dyDescent="0.35">
      <c r="A62" s="336">
        <v>58</v>
      </c>
      <c r="B62" s="242" t="s">
        <v>8376</v>
      </c>
      <c r="C62" s="243" t="s">
        <v>792</v>
      </c>
      <c r="D62" s="242" t="s">
        <v>1552</v>
      </c>
      <c r="E62" s="242" t="s">
        <v>1791</v>
      </c>
      <c r="F62" s="242" t="s">
        <v>1424</v>
      </c>
      <c r="G62" s="242" t="s">
        <v>5816</v>
      </c>
      <c r="H62" s="242" t="s">
        <v>8187</v>
      </c>
      <c r="I62" s="242" t="s">
        <v>8377</v>
      </c>
      <c r="J62" s="258" t="str">
        <f>HYPERLINK("https://www.google.com/maps/search/Praia%20Fluvial%20das%20Taipas%20%E2%80%94%20Caldas%20das%20Taipas%2C%20Guimar%C3%A3es%20Norte%20Portugal/@41.4478,-8.2903,17z","🏊 Praia Fluvial das Taipas — …")</f>
        <v>🏊 Praia Fluvial das Taipas — …</v>
      </c>
    </row>
    <row r="63" spans="1:10" ht="110" customHeight="1" x14ac:dyDescent="0.35">
      <c r="A63" s="338">
        <v>59</v>
      </c>
      <c r="B63" s="239" t="s">
        <v>8378</v>
      </c>
      <c r="C63" s="240" t="s">
        <v>792</v>
      </c>
      <c r="D63" s="239" t="s">
        <v>1552</v>
      </c>
      <c r="E63" s="239" t="s">
        <v>5850</v>
      </c>
      <c r="F63" s="239" t="s">
        <v>8308</v>
      </c>
      <c r="G63" s="239" t="s">
        <v>8309</v>
      </c>
      <c r="H63" s="239" t="s">
        <v>8217</v>
      </c>
      <c r="I63" s="239" t="s">
        <v>8379</v>
      </c>
      <c r="J63" s="257" t="str">
        <f>HYPERLINK("https://www.google.com/maps/search/Praia%20Fluvial%20de%20Vilar%20%E2%80%94%20Terras%20de%20Bouro%20Norte%20Portugal/@41.7178,-8.2994,17z","🏊 Praia Fluvial de Vilar — Te…")</f>
        <v>🏊 Praia Fluvial de Vilar — Te…</v>
      </c>
    </row>
    <row r="64" spans="1:10" ht="110" customHeight="1" x14ac:dyDescent="0.35">
      <c r="A64" s="336">
        <v>60</v>
      </c>
      <c r="B64" s="242" t="s">
        <v>8380</v>
      </c>
      <c r="C64" s="243" t="s">
        <v>792</v>
      </c>
      <c r="D64" s="242" t="s">
        <v>1363</v>
      </c>
      <c r="E64" s="242" t="s">
        <v>1840</v>
      </c>
      <c r="F64" s="242" t="s">
        <v>8305</v>
      </c>
      <c r="G64" s="242" t="s">
        <v>8381</v>
      </c>
      <c r="H64" s="242" t="s">
        <v>8187</v>
      </c>
      <c r="I64" s="242" t="s">
        <v>8382</v>
      </c>
      <c r="J64" s="258" t="str">
        <f>HYPERLINK("https://www.google.com/maps/search/Praia%20Fluvial%20do%20Pedorido%20%E2%80%94%20Castelo%20de%20Paiva%20Norte%20Portugal/@41.0247,-8.2617,17z","🏊 Praia Fluvial do Pedorido —…")</f>
        <v>🏊 Praia Fluvial do Pedorido —…</v>
      </c>
    </row>
    <row r="65" spans="1:10" ht="110" customHeight="1" x14ac:dyDescent="0.35">
      <c r="A65" s="338">
        <v>61</v>
      </c>
      <c r="B65" s="239" t="s">
        <v>8383</v>
      </c>
      <c r="C65" s="240" t="s">
        <v>792</v>
      </c>
      <c r="D65" s="239" t="s">
        <v>1363</v>
      </c>
      <c r="E65" s="239" t="s">
        <v>1264</v>
      </c>
      <c r="F65" s="239" t="s">
        <v>8233</v>
      </c>
      <c r="G65" s="239" t="s">
        <v>8384</v>
      </c>
      <c r="H65" s="239" t="s">
        <v>8187</v>
      </c>
      <c r="I65" s="239" t="s">
        <v>8385</v>
      </c>
      <c r="J65" s="257" t="str">
        <f>HYPERLINK("https://www.google.com/maps/search/Praia%20Fluvial%20de%20Bolfiar%20%E2%80%94%20Borralha%2C%20%C3%81gueda%20Norte%20Portugal/@40.5741,-8.4581,17z","🏊 Praia Fluvial de Bolfiar — …")</f>
        <v>🏊 Praia Fluvial de Bolfiar — …</v>
      </c>
    </row>
    <row r="66" spans="1:10" ht="110" customHeight="1" x14ac:dyDescent="0.35">
      <c r="A66" s="336">
        <v>62</v>
      </c>
      <c r="B66" s="242" t="s">
        <v>8386</v>
      </c>
      <c r="C66" s="243" t="s">
        <v>792</v>
      </c>
      <c r="D66" s="242" t="s">
        <v>3082</v>
      </c>
      <c r="E66" s="242" t="s">
        <v>1970</v>
      </c>
      <c r="F66" s="242" t="s">
        <v>8387</v>
      </c>
      <c r="G66" s="242" t="s">
        <v>8302</v>
      </c>
      <c r="H66" s="242" t="s">
        <v>8187</v>
      </c>
      <c r="I66" s="242" t="s">
        <v>8388</v>
      </c>
      <c r="J66" s="258" t="str">
        <f>HYPERLINK("https://www.google.com/maps/search/Praia%20Fluvial%20de%20Melres%20%E2%80%94%20Gondomar%20Norte%20Portugal/@41.0394,-8.5383,17z","🏊 Praia Fluvial de Melres — G…")</f>
        <v>🏊 Praia Fluvial de Melres — G…</v>
      </c>
    </row>
    <row r="67" spans="1:10" ht="110" customHeight="1" x14ac:dyDescent="0.35">
      <c r="A67" s="338">
        <v>63</v>
      </c>
      <c r="B67" s="239" t="s">
        <v>8389</v>
      </c>
      <c r="C67" s="240" t="s">
        <v>792</v>
      </c>
      <c r="D67" s="239" t="s">
        <v>1149</v>
      </c>
      <c r="E67" s="239" t="s">
        <v>1985</v>
      </c>
      <c r="F67" s="239" t="s">
        <v>8369</v>
      </c>
      <c r="G67" s="239" t="s">
        <v>8390</v>
      </c>
      <c r="H67" s="239" t="s">
        <v>8187</v>
      </c>
      <c r="I67" s="239" t="s">
        <v>8391</v>
      </c>
      <c r="J67" s="257" t="str">
        <f>HYPERLINK("https://www.google.com/maps/search/Praia%20Fluvial%20das%20Azenhas%20de%20Estor%C3%A3os%20%E2%80%94%20Ponte%20de%20Lima%20Norte%20Portugal/@41.7686,-8.5781,17z","🏊 Praia Fluvial das Azenhas d…")</f>
        <v>🏊 Praia Fluvial das Azenhas d…</v>
      </c>
    </row>
    <row r="68" spans="1:10" ht="110" customHeight="1" x14ac:dyDescent="0.35">
      <c r="A68" s="336">
        <v>64</v>
      </c>
      <c r="B68" s="242" t="s">
        <v>8392</v>
      </c>
      <c r="C68" s="243" t="s">
        <v>792</v>
      </c>
      <c r="D68" s="242" t="s">
        <v>3082</v>
      </c>
      <c r="E68" s="242" t="s">
        <v>1184</v>
      </c>
      <c r="F68" s="242" t="s">
        <v>8296</v>
      </c>
      <c r="G68" s="242" t="s">
        <v>8374</v>
      </c>
      <c r="H68" s="242" t="s">
        <v>8187</v>
      </c>
      <c r="I68" s="242" t="s">
        <v>8393</v>
      </c>
      <c r="J68" s="258" t="str">
        <f>HYPERLINK("https://www.google.com/maps/search/Praia%20Fluvial%20Aurora%20%E2%80%94%20Amarante%20Norte%20Portugal/@41.2694,-8.0767,17z","🏊 Praia Fluvial Aurora — Amar…")</f>
        <v>🏊 Praia Fluvial Aurora — Amar…</v>
      </c>
    </row>
    <row r="69" spans="1:10" ht="110" customHeight="1" x14ac:dyDescent="0.35">
      <c r="A69" s="338">
        <v>65</v>
      </c>
      <c r="B69" s="239" t="s">
        <v>8394</v>
      </c>
      <c r="C69" s="240" t="s">
        <v>792</v>
      </c>
      <c r="D69" s="239" t="s">
        <v>1363</v>
      </c>
      <c r="E69" s="239" t="s">
        <v>8025</v>
      </c>
      <c r="F69" s="239" t="s">
        <v>8356</v>
      </c>
      <c r="G69" s="239" t="s">
        <v>8395</v>
      </c>
      <c r="H69" s="239" t="s">
        <v>8217</v>
      </c>
      <c r="I69" s="239" t="s">
        <v>8396</v>
      </c>
      <c r="J69" s="257" t="str">
        <f>HYPERLINK("https://www.google.com/maps/search/Praia%20Fluvial%20da%20Cabreia%20%E2%80%94%20Sever%20do%20Vouga%20Norte%20Portugal/@40.7289,-8.3622,17z","🏊 Praia Fluvial da Cabreia — …")</f>
        <v>🏊 Praia Fluvial da Cabreia — …</v>
      </c>
    </row>
    <row r="70" spans="1:10" ht="110" customHeight="1" x14ac:dyDescent="0.35">
      <c r="A70" s="336">
        <v>66</v>
      </c>
      <c r="B70" s="242" t="s">
        <v>8397</v>
      </c>
      <c r="C70" s="243" t="s">
        <v>792</v>
      </c>
      <c r="D70" s="242" t="s">
        <v>1363</v>
      </c>
      <c r="E70" s="242" t="s">
        <v>1908</v>
      </c>
      <c r="F70" s="242" t="s">
        <v>8273</v>
      </c>
      <c r="G70" s="242" t="s">
        <v>8230</v>
      </c>
      <c r="H70" s="242" t="s">
        <v>8217</v>
      </c>
      <c r="I70" s="242" t="s">
        <v>8398</v>
      </c>
      <c r="J70" s="258" t="str">
        <f>HYPERLINK("https://www.google.com/maps/search/Praia%20Fluvial%20da%20Mizarela%20%E2%80%94%20Albergaria%20da%20Serra%20Norte%20Portugal/@40.9257,-8.2461,17z","🏊 Praia Fluvial da Mizarela —…")</f>
        <v>🏊 Praia Fluvial da Mizarela —…</v>
      </c>
    </row>
    <row r="71" spans="1:10" ht="110" customHeight="1" x14ac:dyDescent="0.35">
      <c r="A71" s="338">
        <v>67</v>
      </c>
      <c r="B71" s="239" t="s">
        <v>8399</v>
      </c>
      <c r="C71" s="240" t="s">
        <v>792</v>
      </c>
      <c r="D71" s="239" t="s">
        <v>1552</v>
      </c>
      <c r="E71" s="239" t="s">
        <v>1552</v>
      </c>
      <c r="F71" s="239" t="s">
        <v>8241</v>
      </c>
      <c r="G71" s="239" t="s">
        <v>5819</v>
      </c>
      <c r="H71" s="239" t="s">
        <v>8195</v>
      </c>
      <c r="I71" s="241" t="s">
        <v>8400</v>
      </c>
      <c r="J71" s="257" t="str">
        <f>HYPERLINK("https://www.google.com/maps/search/Praia%20Fluvial%20do%20Cavadinho%20%E2%80%94%20Crespos%2C%20Braga%20Norte%20Portugal/@41.5503,-8.4291,17z","🏊 Praia Fluvial do Cavadinho …")</f>
        <v>🏊 Praia Fluvial do Cavadinho …</v>
      </c>
    </row>
    <row r="72" spans="1:10" ht="22" customHeight="1" x14ac:dyDescent="0.35">
      <c r="A72" s="1475" t="s">
        <v>8401</v>
      </c>
      <c r="B72" s="1313"/>
      <c r="C72" s="1313"/>
      <c r="D72" s="1313"/>
      <c r="E72" s="1313"/>
      <c r="F72" s="1313"/>
      <c r="G72" s="1313"/>
      <c r="H72" s="1313"/>
      <c r="I72" s="1313"/>
      <c r="J72" s="1313"/>
    </row>
    <row r="73" spans="1:10" ht="110" customHeight="1" x14ac:dyDescent="0.35">
      <c r="A73" s="358">
        <v>1</v>
      </c>
      <c r="B73" s="259" t="s">
        <v>8402</v>
      </c>
      <c r="C73" s="260" t="s">
        <v>836</v>
      </c>
      <c r="D73" s="259" t="s">
        <v>5501</v>
      </c>
      <c r="E73" s="259" t="s">
        <v>5726</v>
      </c>
      <c r="F73" s="259" t="s">
        <v>8403</v>
      </c>
      <c r="G73" s="259" t="s">
        <v>8404</v>
      </c>
      <c r="H73" s="259" t="s">
        <v>8187</v>
      </c>
      <c r="I73" s="259" t="s">
        <v>8405</v>
      </c>
      <c r="J73" s="286" t="str">
        <f>HYPERLINK("https://www.google.com/maps/search/Praia%20Fluvial%20do%20Sorraia%20Centro%20Portugal/@38.9572,-8.5228,17z","🏊 Praia Fluvial do Sorraia")</f>
        <v>🏊 Praia Fluvial do Sorraia</v>
      </c>
    </row>
    <row r="74" spans="1:10" ht="110" customHeight="1" x14ac:dyDescent="0.35">
      <c r="A74" s="352">
        <v>2</v>
      </c>
      <c r="B74" s="262" t="s">
        <v>8406</v>
      </c>
      <c r="C74" s="263" t="s">
        <v>836</v>
      </c>
      <c r="D74" s="262" t="s">
        <v>1713</v>
      </c>
      <c r="E74" s="262" t="s">
        <v>6255</v>
      </c>
      <c r="F74" s="262" t="s">
        <v>8407</v>
      </c>
      <c r="G74" s="262" t="s">
        <v>8408</v>
      </c>
      <c r="H74" s="262" t="s">
        <v>8195</v>
      </c>
      <c r="I74" s="264" t="s">
        <v>8409</v>
      </c>
      <c r="J74" s="287" t="str">
        <f>HYPERLINK("https://www.google.com/maps/search/Praia%20Fluvial%20da%20Zaboeira%20Centro%20Portugal/@39.6742,-8.1397,17z","🏊 Praia Fluvial da Zaboeira")</f>
        <v>🏊 Praia Fluvial da Zaboeira</v>
      </c>
    </row>
    <row r="75" spans="1:10" ht="110" customHeight="1" x14ac:dyDescent="0.35">
      <c r="A75" s="358">
        <v>3</v>
      </c>
      <c r="B75" s="259" t="s">
        <v>8410</v>
      </c>
      <c r="C75" s="260" t="s">
        <v>836</v>
      </c>
      <c r="D75" s="259" t="s">
        <v>1713</v>
      </c>
      <c r="E75" s="259" t="s">
        <v>6255</v>
      </c>
      <c r="F75" s="259" t="s">
        <v>8411</v>
      </c>
      <c r="G75" s="259" t="s">
        <v>8408</v>
      </c>
      <c r="H75" s="259" t="s">
        <v>8195</v>
      </c>
      <c r="I75" s="259" t="s">
        <v>8412</v>
      </c>
      <c r="J75" s="286" t="str">
        <f>HYPERLINK("https://www.google.com/maps/search/Praia%20Fluvial%20de%20Fernandaires%20Centro%20Portugal/@39.6742,-8.1397,17z","🏊 Praia Fluvial de Fernandaires")</f>
        <v>🏊 Praia Fluvial de Fernandaires</v>
      </c>
    </row>
    <row r="76" spans="1:10" ht="110" customHeight="1" x14ac:dyDescent="0.35">
      <c r="A76" s="352">
        <v>4</v>
      </c>
      <c r="B76" s="262" t="s">
        <v>8413</v>
      </c>
      <c r="C76" s="263" t="s">
        <v>836</v>
      </c>
      <c r="D76" s="262" t="s">
        <v>1713</v>
      </c>
      <c r="E76" s="262" t="s">
        <v>6255</v>
      </c>
      <c r="F76" s="262" t="s">
        <v>8411</v>
      </c>
      <c r="G76" s="262" t="s">
        <v>8414</v>
      </c>
      <c r="H76" s="262" t="s">
        <v>8195</v>
      </c>
      <c r="I76" s="262" t="s">
        <v>8415</v>
      </c>
      <c r="J76" s="287" t="str">
        <f>HYPERLINK("https://www.google.com/maps/search/Praia%20Fluvial%20do%20Pego%20das%20Cancelas%20Centro%20Portugal/@39.6742,-8.1397,17z","🏊 Praia Fluvial do Pego das C…")</f>
        <v>🏊 Praia Fluvial do Pego das C…</v>
      </c>
    </row>
    <row r="77" spans="1:10" ht="110" customHeight="1" x14ac:dyDescent="0.35">
      <c r="A77" s="358">
        <v>5</v>
      </c>
      <c r="B77" s="259" t="s">
        <v>8416</v>
      </c>
      <c r="C77" s="260" t="s">
        <v>836</v>
      </c>
      <c r="D77" s="259" t="s">
        <v>950</v>
      </c>
      <c r="E77" s="259" t="s">
        <v>2082</v>
      </c>
      <c r="F77" s="259" t="s">
        <v>8417</v>
      </c>
      <c r="G77" s="259" t="s">
        <v>8418</v>
      </c>
      <c r="H77" s="259" t="s">
        <v>8187</v>
      </c>
      <c r="I77" s="259" t="s">
        <v>8419</v>
      </c>
      <c r="J77" s="286" t="str">
        <f>HYPERLINK("https://www.google.com/maps/search/Praia%20Fluvial%20de%20Caldas%20de%20Sangemil%20Centro%20Portugal/@40.5175,-8.0761,17z","🏊 Praia Fluvial de Caldas de …")</f>
        <v>🏊 Praia Fluvial de Caldas de …</v>
      </c>
    </row>
    <row r="78" spans="1:10" ht="110" customHeight="1" x14ac:dyDescent="0.35">
      <c r="A78" s="352">
        <v>6</v>
      </c>
      <c r="B78" s="262" t="s">
        <v>8420</v>
      </c>
      <c r="C78" s="263" t="s">
        <v>836</v>
      </c>
      <c r="D78" s="262" t="s">
        <v>7725</v>
      </c>
      <c r="E78" s="262" t="s">
        <v>8421</v>
      </c>
      <c r="F78" s="262" t="s">
        <v>8422</v>
      </c>
      <c r="G78" s="262" t="s">
        <v>8423</v>
      </c>
      <c r="H78" s="262" t="s">
        <v>8187</v>
      </c>
      <c r="I78" s="262" t="s">
        <v>8424</v>
      </c>
      <c r="J78" s="287" t="str">
        <f>HYPERLINK("https://www.google.com/maps/search/Praia%20Fluvial%20de%20Campelo%20Centro%20Portugal/@39.9044,-8.2769,17z","🏊 Praia Fluvial de Campelo")</f>
        <v>🏊 Praia Fluvial de Campelo</v>
      </c>
    </row>
    <row r="79" spans="1:10" ht="110" customHeight="1" x14ac:dyDescent="0.35">
      <c r="A79" s="358">
        <v>7</v>
      </c>
      <c r="B79" s="259" t="s">
        <v>8425</v>
      </c>
      <c r="C79" s="260" t="s">
        <v>836</v>
      </c>
      <c r="D79" s="259" t="s">
        <v>1713</v>
      </c>
      <c r="E79" s="259" t="s">
        <v>2091</v>
      </c>
      <c r="F79" s="259" t="s">
        <v>8426</v>
      </c>
      <c r="G79" s="259" t="s">
        <v>8427</v>
      </c>
      <c r="H79" s="259" t="s">
        <v>8195</v>
      </c>
      <c r="I79" s="259" t="s">
        <v>8428</v>
      </c>
      <c r="J79" s="286" t="str">
        <f>HYPERLINK("https://www.google.com/maps/search/Praia%20Fluvial%20de%20Castelo%20Novo%20Centro%20Portugal/@40.1386,-7.5014,17z","🏊 Praia Fluvial de Castelo Novo")</f>
        <v>🏊 Praia Fluvial de Castelo Novo</v>
      </c>
    </row>
    <row r="80" spans="1:10" ht="110" customHeight="1" x14ac:dyDescent="0.35">
      <c r="A80" s="352">
        <v>8</v>
      </c>
      <c r="B80" s="262" t="s">
        <v>8429</v>
      </c>
      <c r="C80" s="263" t="s">
        <v>836</v>
      </c>
      <c r="D80" s="262" t="s">
        <v>1713</v>
      </c>
      <c r="E80" s="262" t="s">
        <v>8430</v>
      </c>
      <c r="F80" s="262" t="s">
        <v>8431</v>
      </c>
      <c r="G80" s="262" t="s">
        <v>8432</v>
      </c>
      <c r="H80" s="262" t="s">
        <v>8187</v>
      </c>
      <c r="I80" s="262" t="s">
        <v>8433</v>
      </c>
      <c r="J80" s="287" t="str">
        <f>HYPERLINK("https://www.google.com/maps/search/Praia%20Fluvial%20de%20Alvito%20da%20Beira%20Centro%20Portugal/@39.7472,-7.9181,17z","🏊 Praia Fluvial de Alvito da …")</f>
        <v>🏊 Praia Fluvial de Alvito da …</v>
      </c>
    </row>
    <row r="81" spans="1:10" ht="110" customHeight="1" x14ac:dyDescent="0.35">
      <c r="A81" s="358">
        <v>9</v>
      </c>
      <c r="B81" s="259" t="s">
        <v>8434</v>
      </c>
      <c r="C81" s="260" t="s">
        <v>836</v>
      </c>
      <c r="D81" s="259" t="s">
        <v>5501</v>
      </c>
      <c r="E81" s="259" t="s">
        <v>8435</v>
      </c>
      <c r="F81" s="259" t="s">
        <v>8436</v>
      </c>
      <c r="G81" s="259" t="s">
        <v>8437</v>
      </c>
      <c r="H81" s="259" t="s">
        <v>8187</v>
      </c>
      <c r="I81" s="259" t="s">
        <v>8438</v>
      </c>
      <c r="J81" s="286" t="str">
        <f>HYPERLINK("https://www.google.com/maps/search/Escaroupim%20%E2%80%94%20Praia%20Fluvial%20do%20Tejo%20Centro%20Portugal/@39.0264,-8.7972,17z","🏊 Escaroupim — Praia Fluvial …")</f>
        <v>🏊 Escaroupim — Praia Fluvial …</v>
      </c>
    </row>
    <row r="82" spans="1:10" ht="110" customHeight="1" x14ac:dyDescent="0.35">
      <c r="A82" s="352">
        <v>10</v>
      </c>
      <c r="B82" s="262" t="s">
        <v>8439</v>
      </c>
      <c r="C82" s="263" t="s">
        <v>836</v>
      </c>
      <c r="D82" s="262" t="s">
        <v>8011</v>
      </c>
      <c r="E82" s="262" t="s">
        <v>2049</v>
      </c>
      <c r="F82" s="262" t="s">
        <v>2467</v>
      </c>
      <c r="G82" s="262" t="s">
        <v>8440</v>
      </c>
      <c r="H82" s="262" t="s">
        <v>8195</v>
      </c>
      <c r="I82" s="262" t="s">
        <v>8441</v>
      </c>
      <c r="J82" s="287" t="str">
        <f>HYPERLINK("https://www.google.com/maps/search/Praia%20Fluvial%20Po%C3%A7o%20do%20Lagar%20Centro%20Portugal/@40.4175,-7.7019,17z","🏊 Praia Fluvial Poço do Lagar")</f>
        <v>🏊 Praia Fluvial Poço do Lagar</v>
      </c>
    </row>
    <row r="83" spans="1:10" ht="110" customHeight="1" x14ac:dyDescent="0.35">
      <c r="A83" s="358">
        <v>11</v>
      </c>
      <c r="B83" s="259" t="s">
        <v>8442</v>
      </c>
      <c r="C83" s="260" t="s">
        <v>836</v>
      </c>
      <c r="D83" s="259" t="s">
        <v>1713</v>
      </c>
      <c r="E83" s="259" t="s">
        <v>8430</v>
      </c>
      <c r="F83" s="259" t="s">
        <v>8443</v>
      </c>
      <c r="G83" s="259" t="s">
        <v>8432</v>
      </c>
      <c r="H83" s="259" t="s">
        <v>8187</v>
      </c>
      <c r="I83" s="259" t="s">
        <v>8444</v>
      </c>
      <c r="J83" s="286" t="str">
        <f>HYPERLINK("https://www.google.com/maps/search/Praia%20Fluvial%20Couca%20Cerejeira%20Centro%20Portugal/@39.7472,-7.9181,17z","🏊 Praia Fluvial Couca Cerejeira")</f>
        <v>🏊 Praia Fluvial Couca Cerejeira</v>
      </c>
    </row>
    <row r="84" spans="1:10" ht="110" customHeight="1" x14ac:dyDescent="0.35">
      <c r="A84" s="352">
        <v>12</v>
      </c>
      <c r="B84" s="262" t="s">
        <v>8445</v>
      </c>
      <c r="C84" s="263" t="s">
        <v>836</v>
      </c>
      <c r="D84" s="262" t="s">
        <v>950</v>
      </c>
      <c r="E84" s="262" t="s">
        <v>8446</v>
      </c>
      <c r="F84" s="262" t="s">
        <v>8447</v>
      </c>
      <c r="G84" s="262" t="s">
        <v>8448</v>
      </c>
      <c r="H84" s="262" t="s">
        <v>8187</v>
      </c>
      <c r="I84" s="262" t="s">
        <v>8449</v>
      </c>
      <c r="J84" s="287" t="str">
        <f>HYPERLINK("https://www.google.com/maps/search/Praia%20Fluvial%20Senhora%20da%20Ribeira%20Centro%20Portugal/@40.3958,-8.1261,17z","🏊 Praia Fluvial Senhora da Ri…")</f>
        <v>🏊 Praia Fluvial Senhora da Ri…</v>
      </c>
    </row>
    <row r="85" spans="1:10" ht="110" customHeight="1" x14ac:dyDescent="0.35">
      <c r="A85" s="358">
        <v>13</v>
      </c>
      <c r="B85" s="259" t="s">
        <v>8450</v>
      </c>
      <c r="C85" s="260" t="s">
        <v>836</v>
      </c>
      <c r="D85" s="259" t="s">
        <v>5501</v>
      </c>
      <c r="E85" s="259" t="s">
        <v>6238</v>
      </c>
      <c r="F85" s="259" t="s">
        <v>8451</v>
      </c>
      <c r="G85" s="259" t="s">
        <v>8452</v>
      </c>
      <c r="H85" s="259" t="s">
        <v>8187</v>
      </c>
      <c r="I85" s="261" t="s">
        <v>8453</v>
      </c>
      <c r="J85" s="286" t="str">
        <f>HYPERLINK("https://www.google.com/maps/search/Praia%20Fluvial%20de%20Const%C3%A2ncia%20Centro%20Portugal/@39.4753,-8.3297,17z","🏊 Praia Fluvial de Constância")</f>
        <v>🏊 Praia Fluvial de Constância</v>
      </c>
    </row>
    <row r="86" spans="1:10" ht="110" customHeight="1" x14ac:dyDescent="0.35">
      <c r="A86" s="352">
        <v>14</v>
      </c>
      <c r="B86" s="262" t="s">
        <v>8454</v>
      </c>
      <c r="C86" s="263" t="s">
        <v>836</v>
      </c>
      <c r="D86" s="262" t="s">
        <v>5497</v>
      </c>
      <c r="E86" s="262" t="s">
        <v>2481</v>
      </c>
      <c r="F86" s="262" t="s">
        <v>8455</v>
      </c>
      <c r="G86" s="262" t="s">
        <v>8456</v>
      </c>
      <c r="H86" s="262" t="s">
        <v>8226</v>
      </c>
      <c r="I86" s="262" t="s">
        <v>8457</v>
      </c>
      <c r="J86" s="287" t="str">
        <f>HYPERLINK("https://www.google.com/maps/search/Praia%20Fluvial%20das%20Canaveias%20Centro%20Portugal/@40.1578,-8.1067,17z","🏊 Praia Fluvial das Canaveias")</f>
        <v>🏊 Praia Fluvial das Canaveias</v>
      </c>
    </row>
    <row r="87" spans="1:10" ht="110" customHeight="1" x14ac:dyDescent="0.35">
      <c r="A87" s="358">
        <v>15</v>
      </c>
      <c r="B87" s="259" t="s">
        <v>8458</v>
      </c>
      <c r="C87" s="260" t="s">
        <v>836</v>
      </c>
      <c r="D87" s="259" t="s">
        <v>950</v>
      </c>
      <c r="E87" s="259" t="s">
        <v>8459</v>
      </c>
      <c r="F87" s="259" t="s">
        <v>8460</v>
      </c>
      <c r="G87" s="259" t="s">
        <v>8461</v>
      </c>
      <c r="H87" s="259" t="s">
        <v>8217</v>
      </c>
      <c r="I87" s="259" t="s">
        <v>8462</v>
      </c>
      <c r="J87" s="286" t="str">
        <f>HYPERLINK("https://www.google.com/maps/search/Po%C3%A7o%20Azul%20%E2%80%94%20Praia%20Fluvial%20Selvagem%20Centro%20Portugal/@40.7597,-8.0681,17z","🏊 Poço Azul — Praia Fluvial S…")</f>
        <v>🏊 Poço Azul — Praia Fluvial S…</v>
      </c>
    </row>
    <row r="88" spans="1:10" ht="110" customHeight="1" x14ac:dyDescent="0.35">
      <c r="A88" s="352">
        <v>16</v>
      </c>
      <c r="B88" s="262" t="s">
        <v>8463</v>
      </c>
      <c r="C88" s="263" t="s">
        <v>836</v>
      </c>
      <c r="D88" s="262" t="s">
        <v>1713</v>
      </c>
      <c r="E88" s="262" t="s">
        <v>5706</v>
      </c>
      <c r="F88" s="262" t="s">
        <v>8464</v>
      </c>
      <c r="G88" s="262" t="s">
        <v>8408</v>
      </c>
      <c r="H88" s="262" t="s">
        <v>8187</v>
      </c>
      <c r="I88" s="262" t="s">
        <v>8465</v>
      </c>
      <c r="J88" s="287" t="str">
        <f>HYPERLINK("https://www.google.com/maps/search/Praia%20Fluvial%20do%20Tr%C3%ADzio%20%E2%80%94%20Sert%C3%A3%20Centro%20Portugal/@39.8047,-8.1003,17z","🏊 Praia Fluvial do Trízio — S…")</f>
        <v>🏊 Praia Fluvial do Trízio — S…</v>
      </c>
    </row>
    <row r="89" spans="1:10" ht="110" customHeight="1" x14ac:dyDescent="0.35">
      <c r="A89" s="358">
        <v>17</v>
      </c>
      <c r="B89" s="259" t="s">
        <v>8466</v>
      </c>
      <c r="C89" s="260" t="s">
        <v>836</v>
      </c>
      <c r="D89" s="259" t="s">
        <v>5501</v>
      </c>
      <c r="E89" s="259" t="s">
        <v>8467</v>
      </c>
      <c r="F89" s="259" t="s">
        <v>8468</v>
      </c>
      <c r="G89" s="259" t="s">
        <v>8469</v>
      </c>
      <c r="H89" s="259" t="s">
        <v>8182</v>
      </c>
      <c r="I89" s="259" t="s">
        <v>8470</v>
      </c>
      <c r="J89" s="286" t="str">
        <f>HYPERLINK("https://www.google.com/maps/search/Praia%20Fluvial%20do%20Carvoeiro%20%E2%80%94%20Ma%C3%A7%C3%A3o%20Centro%20Portugal/@39.5586,-8.0056,17z","🏊 Praia Fluvial do Carvoeiro …")</f>
        <v>🏊 Praia Fluvial do Carvoeiro …</v>
      </c>
    </row>
    <row r="90" spans="1:10" ht="110" customHeight="1" x14ac:dyDescent="0.35">
      <c r="A90" s="352">
        <v>18</v>
      </c>
      <c r="B90" s="262" t="s">
        <v>8471</v>
      </c>
      <c r="C90" s="263" t="s">
        <v>836</v>
      </c>
      <c r="D90" s="262" t="s">
        <v>7725</v>
      </c>
      <c r="E90" s="262" t="s">
        <v>8421</v>
      </c>
      <c r="F90" s="262" t="s">
        <v>8422</v>
      </c>
      <c r="G90" s="262" t="s">
        <v>8423</v>
      </c>
      <c r="H90" s="262" t="s">
        <v>8226</v>
      </c>
      <c r="I90" s="262" t="s">
        <v>8472</v>
      </c>
      <c r="J90" s="287" t="str">
        <f>HYPERLINK("https://www.google.com/maps/search/Praia%20Fluvial%20de%20Fragas%20de%20S%C3%A3o%20Sim%C3%A3o%20Centro%20Portugal/@39.9044,-8.2769,17z","🏊 Praia Fluvial de Fragas de …")</f>
        <v>🏊 Praia Fluvial de Fragas de …</v>
      </c>
    </row>
    <row r="91" spans="1:10" ht="110" customHeight="1" x14ac:dyDescent="0.35">
      <c r="A91" s="358">
        <v>19</v>
      </c>
      <c r="B91" s="259" t="s">
        <v>8473</v>
      </c>
      <c r="C91" s="260" t="s">
        <v>836</v>
      </c>
      <c r="D91" s="259" t="s">
        <v>5497</v>
      </c>
      <c r="E91" s="259" t="s">
        <v>7323</v>
      </c>
      <c r="F91" s="259" t="s">
        <v>8474</v>
      </c>
      <c r="G91" s="259" t="s">
        <v>8475</v>
      </c>
      <c r="H91" s="259" t="s">
        <v>8226</v>
      </c>
      <c r="I91" s="259" t="s">
        <v>8476</v>
      </c>
      <c r="J91" s="286" t="str">
        <f>HYPERLINK("https://www.google.com/maps/search/Praia%20Fluvial%20da%20Lou%C3%A7ainha%20%E2%80%94%20Penela%20Centro%20Portugal/@40.0253,-8.3844,17z","🏊 Praia Fluvial da Louçainha …")</f>
        <v>🏊 Praia Fluvial da Louçainha …</v>
      </c>
    </row>
    <row r="92" spans="1:10" ht="110" customHeight="1" x14ac:dyDescent="0.35">
      <c r="A92" s="352">
        <v>20</v>
      </c>
      <c r="B92" s="262" t="s">
        <v>8477</v>
      </c>
      <c r="C92" s="263" t="s">
        <v>836</v>
      </c>
      <c r="D92" s="262" t="s">
        <v>5497</v>
      </c>
      <c r="E92" s="262" t="s">
        <v>8478</v>
      </c>
      <c r="F92" s="262" t="s">
        <v>1490</v>
      </c>
      <c r="G92" s="262" t="s">
        <v>8479</v>
      </c>
      <c r="H92" s="262" t="s">
        <v>8182</v>
      </c>
      <c r="I92" s="262" t="s">
        <v>8480</v>
      </c>
      <c r="J92" s="287" t="str">
        <f>HYPERLINK("https://www.google.com/maps/search/Praia%20Fluvial%20do%20Vimieiro%20%E2%80%94%20S.%20Pedro%20de%20Alva%20Centro%20Portugal/@40.2594,-8.2817,17z","🏊 Praia Fluvial do Vimieiro —…")</f>
        <v>🏊 Praia Fluvial do Vimieiro —…</v>
      </c>
    </row>
    <row r="93" spans="1:10" ht="110" customHeight="1" x14ac:dyDescent="0.35">
      <c r="A93" s="358">
        <v>21</v>
      </c>
      <c r="B93" s="259" t="s">
        <v>8481</v>
      </c>
      <c r="C93" s="260" t="s">
        <v>836</v>
      </c>
      <c r="D93" s="259" t="s">
        <v>7725</v>
      </c>
      <c r="E93" s="259" t="s">
        <v>8421</v>
      </c>
      <c r="F93" s="259" t="s">
        <v>8422</v>
      </c>
      <c r="G93" s="259" t="s">
        <v>8482</v>
      </c>
      <c r="H93" s="259" t="s">
        <v>8226</v>
      </c>
      <c r="I93" s="259" t="s">
        <v>8483</v>
      </c>
      <c r="J93" s="286" t="str">
        <f>HYPERLINK("https://www.google.com/maps/search/Praia%20Fluvial%20Ana%20de%20Aviz%20%E2%80%94%20Figueir%C3%B3%20dos%20Vinhos%20Centro%20Portugal/@39.9044,-8.2769,17z","🏊 Praia Fluvial Ana de Aviz —…")</f>
        <v>🏊 Praia Fluvial Ana de Aviz —…</v>
      </c>
    </row>
    <row r="94" spans="1:10" ht="110" customHeight="1" x14ac:dyDescent="0.35">
      <c r="A94" s="352">
        <v>22</v>
      </c>
      <c r="B94" s="262" t="s">
        <v>8484</v>
      </c>
      <c r="C94" s="263" t="s">
        <v>836</v>
      </c>
      <c r="D94" s="262" t="s">
        <v>5497</v>
      </c>
      <c r="E94" s="262" t="s">
        <v>8478</v>
      </c>
      <c r="F94" s="262" t="s">
        <v>8485</v>
      </c>
      <c r="G94" s="262" t="s">
        <v>8486</v>
      </c>
      <c r="H94" s="262" t="s">
        <v>8182</v>
      </c>
      <c r="I94" s="262" t="s">
        <v>8487</v>
      </c>
      <c r="J94" s="287" t="str">
        <f>HYPERLINK("https://www.google.com/maps/search/Reconquinho%20%E2%80%94%20Praia%20Fluvial%20de%20Penacova%20Centro%20Portugal/@40.2594,-8.2817,17z","🏊 Reconquinho — Praia Fluvial…")</f>
        <v>🏊 Reconquinho — Praia Fluvial…</v>
      </c>
    </row>
    <row r="95" spans="1:10" ht="110" customHeight="1" x14ac:dyDescent="0.35">
      <c r="A95" s="358">
        <v>23</v>
      </c>
      <c r="B95" s="259" t="s">
        <v>8488</v>
      </c>
      <c r="C95" s="260" t="s">
        <v>836</v>
      </c>
      <c r="D95" s="259" t="s">
        <v>8011</v>
      </c>
      <c r="E95" s="259" t="s">
        <v>2049</v>
      </c>
      <c r="F95" s="259" t="s">
        <v>2467</v>
      </c>
      <c r="G95" s="259" t="s">
        <v>8479</v>
      </c>
      <c r="H95" s="259" t="s">
        <v>8187</v>
      </c>
      <c r="I95" s="259" t="s">
        <v>8489</v>
      </c>
      <c r="J95" s="286" t="str">
        <f>HYPERLINK("https://www.google.com/maps/search/Praia%20Fluvial%20de%20Vila%20Cova%20%C3%A0%20Coelheira%20Centro%20Portugal/@40.4175,-7.7019,17z","🏊 Praia Fluvial de Vila Cova …")</f>
        <v>🏊 Praia Fluvial de Vila Cova …</v>
      </c>
    </row>
    <row r="96" spans="1:10" ht="110" customHeight="1" x14ac:dyDescent="0.35">
      <c r="A96" s="352">
        <v>24</v>
      </c>
      <c r="B96" s="262" t="s">
        <v>8490</v>
      </c>
      <c r="C96" s="263" t="s">
        <v>836</v>
      </c>
      <c r="D96" s="262" t="s">
        <v>5501</v>
      </c>
      <c r="E96" s="262" t="s">
        <v>2045</v>
      </c>
      <c r="F96" s="262" t="s">
        <v>8491</v>
      </c>
      <c r="G96" s="262" t="s">
        <v>8408</v>
      </c>
      <c r="H96" s="262" t="s">
        <v>8182</v>
      </c>
      <c r="I96" s="262" t="s">
        <v>8492</v>
      </c>
      <c r="J96" s="287" t="str">
        <f>HYPERLINK("https://www.google.com/maps/search/Praia%20Fluvial%20do%20Lago%20Azul%20%E2%80%94%20Castanheira%20Centro%20Portugal/@39.6953,-8.2914,17z","🏊 Praia Fluvial do Lago Azul …")</f>
        <v>🏊 Praia Fluvial do Lago Azul …</v>
      </c>
    </row>
    <row r="97" spans="1:10" ht="110" customHeight="1" x14ac:dyDescent="0.35">
      <c r="A97" s="358">
        <v>25</v>
      </c>
      <c r="B97" s="259" t="s">
        <v>8493</v>
      </c>
      <c r="C97" s="260" t="s">
        <v>836</v>
      </c>
      <c r="D97" s="259" t="s">
        <v>8011</v>
      </c>
      <c r="E97" s="259" t="s">
        <v>2049</v>
      </c>
      <c r="F97" s="259" t="s">
        <v>2467</v>
      </c>
      <c r="G97" s="259" t="s">
        <v>8494</v>
      </c>
      <c r="H97" s="259" t="s">
        <v>8226</v>
      </c>
      <c r="I97" s="259" t="s">
        <v>8495</v>
      </c>
      <c r="J97" s="286" t="str">
        <f>HYPERLINK("https://www.google.com/maps/search/Praia%20Fluvial%20de%20Lapa%20dos%20Dinheiros%20Centro%20Portugal/@40.4175,-7.7019,17z","🏊 Praia Fluvial de Lapa dos D…")</f>
        <v>🏊 Praia Fluvial de Lapa dos D…</v>
      </c>
    </row>
    <row r="98" spans="1:10" ht="110" customHeight="1" x14ac:dyDescent="0.35">
      <c r="A98" s="352">
        <v>26</v>
      </c>
      <c r="B98" s="262" t="s">
        <v>8496</v>
      </c>
      <c r="C98" s="263" t="s">
        <v>836</v>
      </c>
      <c r="D98" s="262" t="s">
        <v>1713</v>
      </c>
      <c r="E98" s="262" t="s">
        <v>5883</v>
      </c>
      <c r="F98" s="262" t="s">
        <v>8497</v>
      </c>
      <c r="G98" s="262" t="s">
        <v>8498</v>
      </c>
      <c r="H98" s="262" t="s">
        <v>8226</v>
      </c>
      <c r="I98" s="262" t="s">
        <v>8499</v>
      </c>
      <c r="J98" s="287" t="str">
        <f>HYPERLINK("https://www.google.com/maps/search/Praia%20Fluvial%20de%20Unhais%20da%20Serra%20Centro%20Portugal/@40.2806,-7.5028,17z","🏊 Praia Fluvial de Unhais da …")</f>
        <v>🏊 Praia Fluvial de Unhais da …</v>
      </c>
    </row>
    <row r="99" spans="1:10" ht="110" customHeight="1" x14ac:dyDescent="0.35">
      <c r="A99" s="358">
        <v>27</v>
      </c>
      <c r="B99" s="259" t="s">
        <v>8500</v>
      </c>
      <c r="C99" s="260" t="s">
        <v>836</v>
      </c>
      <c r="D99" s="259" t="s">
        <v>950</v>
      </c>
      <c r="E99" s="259" t="s">
        <v>8501</v>
      </c>
      <c r="F99" s="259" t="s">
        <v>8502</v>
      </c>
      <c r="G99" s="259" t="s">
        <v>8274</v>
      </c>
      <c r="H99" s="259" t="s">
        <v>8182</v>
      </c>
      <c r="I99" s="259" t="s">
        <v>8503</v>
      </c>
      <c r="J99" s="286" t="str">
        <f>HYPERLINK("https://www.google.com/maps/search/Praia%20Fluvial%20da%20Folgosa%20%E2%80%94%20Castro%20Daire%20Centro%20Portugal/@40.9039,-7.9378,17z","🏊 Praia Fluvial da Folgosa — …")</f>
        <v>🏊 Praia Fluvial da Folgosa — …</v>
      </c>
    </row>
    <row r="100" spans="1:10" ht="110" customHeight="1" x14ac:dyDescent="0.35">
      <c r="A100" s="352">
        <v>28</v>
      </c>
      <c r="B100" s="262" t="s">
        <v>8504</v>
      </c>
      <c r="C100" s="263" t="s">
        <v>836</v>
      </c>
      <c r="D100" s="262" t="s">
        <v>5501</v>
      </c>
      <c r="E100" s="262" t="s">
        <v>8467</v>
      </c>
      <c r="F100" s="262" t="s">
        <v>8468</v>
      </c>
      <c r="G100" s="262" t="s">
        <v>8469</v>
      </c>
      <c r="H100" s="262" t="s">
        <v>8195</v>
      </c>
      <c r="I100" s="262" t="s">
        <v>8505</v>
      </c>
      <c r="J100" s="287" t="str">
        <f>HYPERLINK("https://www.google.com/maps/search/Praia%20Fluvial%20de%20Cardigos%20%E2%80%94%20Ma%C3%A7%C3%A3o%20Centro%20Portugal/@39.5586,-8.0056,17z","🏊 Praia Fluvial de Cardigos —…")</f>
        <v>🏊 Praia Fluvial de Cardigos —…</v>
      </c>
    </row>
    <row r="101" spans="1:10" ht="110" customHeight="1" x14ac:dyDescent="0.35">
      <c r="A101" s="358">
        <v>29</v>
      </c>
      <c r="B101" s="259" t="s">
        <v>8506</v>
      </c>
      <c r="C101" s="260" t="s">
        <v>836</v>
      </c>
      <c r="D101" s="259" t="s">
        <v>5501</v>
      </c>
      <c r="E101" s="259" t="s">
        <v>1276</v>
      </c>
      <c r="F101" s="259" t="s">
        <v>1407</v>
      </c>
      <c r="G101" s="259" t="s">
        <v>8408</v>
      </c>
      <c r="H101" s="259" t="s">
        <v>8187</v>
      </c>
      <c r="I101" s="259" t="s">
        <v>8507</v>
      </c>
      <c r="J101" s="286" t="str">
        <f>HYPERLINK("https://www.google.com/maps/search/Praia%20Fluvial%20de%20Alverangel%20%E2%80%94%20Tomar%20Centro%20Portugal/@39.6036,-8.4186,17z","🏊 Praia Fluvial de Alverangel…")</f>
        <v>🏊 Praia Fluvial de Alverangel…</v>
      </c>
    </row>
    <row r="102" spans="1:10" ht="110" customHeight="1" x14ac:dyDescent="0.35">
      <c r="A102" s="352">
        <v>30</v>
      </c>
      <c r="B102" s="262" t="s">
        <v>8508</v>
      </c>
      <c r="C102" s="263" t="s">
        <v>836</v>
      </c>
      <c r="D102" s="262" t="s">
        <v>950</v>
      </c>
      <c r="E102" s="262" t="s">
        <v>2082</v>
      </c>
      <c r="F102" s="262" t="s">
        <v>8417</v>
      </c>
      <c r="G102" s="262" t="s">
        <v>8234</v>
      </c>
      <c r="H102" s="262" t="s">
        <v>8187</v>
      </c>
      <c r="I102" s="262" t="s">
        <v>8509</v>
      </c>
      <c r="J102" s="287" t="str">
        <f>HYPERLINK("https://www.google.com/maps/search/Praia%20Fluvial%20Para%C3%ADso%20%E2%80%94%20S%C3%A3o%20Jo%C3%A3o%20do%20Monte%20Centro%20Portugal/@40.5175,-8.0761,17z","🏊 Praia Fluvial Paraíso — São…")</f>
        <v>🏊 Praia Fluvial Paraíso — São…</v>
      </c>
    </row>
    <row r="103" spans="1:10" ht="110" customHeight="1" x14ac:dyDescent="0.35">
      <c r="A103" s="358">
        <v>31</v>
      </c>
      <c r="B103" s="259" t="s">
        <v>8510</v>
      </c>
      <c r="C103" s="260" t="s">
        <v>836</v>
      </c>
      <c r="D103" s="259" t="s">
        <v>1713</v>
      </c>
      <c r="E103" s="259" t="s">
        <v>5883</v>
      </c>
      <c r="F103" s="259" t="s">
        <v>8511</v>
      </c>
      <c r="G103" s="259" t="s">
        <v>8512</v>
      </c>
      <c r="H103" s="259" t="s">
        <v>8187</v>
      </c>
      <c r="I103" s="259" t="s">
        <v>8513</v>
      </c>
      <c r="J103" s="286" t="str">
        <f>HYPERLINK("https://www.google.com/maps/search/Praia%20Fluvial%20do%20Ourondo%20%E2%80%94%20Covilh%C3%A3%20Centro%20Portugal/@40.2806,-7.5028,17z","🏊 Praia Fluvial do Ourondo — …")</f>
        <v>🏊 Praia Fluvial do Ourondo — …</v>
      </c>
    </row>
    <row r="104" spans="1:10" ht="110" customHeight="1" x14ac:dyDescent="0.35">
      <c r="A104" s="352">
        <v>32</v>
      </c>
      <c r="B104" s="262" t="s">
        <v>8514</v>
      </c>
      <c r="C104" s="263" t="s">
        <v>836</v>
      </c>
      <c r="D104" s="262" t="s">
        <v>8011</v>
      </c>
      <c r="E104" s="262" t="s">
        <v>6570</v>
      </c>
      <c r="F104" s="262" t="s">
        <v>8515</v>
      </c>
      <c r="G104" s="262" t="s">
        <v>8516</v>
      </c>
      <c r="H104" s="262" t="s">
        <v>8187</v>
      </c>
      <c r="I104" s="262" t="s">
        <v>8517</v>
      </c>
      <c r="J104" s="287" t="str">
        <f>HYPERLINK("https://www.google.com/maps/search/Praia%20Fluvial%20da%20Devesa%20%E2%80%94%20Sabugal%20Centro%20Portugal/@40.3528,-7.0878,17z","🏊 Praia Fluvial da Devesa — S…")</f>
        <v>🏊 Praia Fluvial da Devesa — S…</v>
      </c>
    </row>
    <row r="105" spans="1:10" ht="110" customHeight="1" x14ac:dyDescent="0.35">
      <c r="A105" s="358">
        <v>33</v>
      </c>
      <c r="B105" s="259" t="s">
        <v>8518</v>
      </c>
      <c r="C105" s="260" t="s">
        <v>836</v>
      </c>
      <c r="D105" s="259" t="s">
        <v>950</v>
      </c>
      <c r="E105" s="259" t="s">
        <v>8459</v>
      </c>
      <c r="F105" s="259" t="s">
        <v>8460</v>
      </c>
      <c r="G105" s="259" t="s">
        <v>8519</v>
      </c>
      <c r="H105" s="259" t="s">
        <v>8187</v>
      </c>
      <c r="I105" s="259" t="s">
        <v>8520</v>
      </c>
      <c r="J105" s="286" t="str">
        <f>HYPERLINK("https://www.google.com/maps/search/Praia%20Fluvial%20de%20Pouves%20%E2%80%94%20S%C3%A3o%20Pedro%20do%20Sul%20Centro%20Portugal/@40.7597,-8.0681,17z","🏊 Praia Fluvial de Pouves — S…")</f>
        <v>🏊 Praia Fluvial de Pouves — S…</v>
      </c>
    </row>
    <row r="106" spans="1:10" ht="110" customHeight="1" x14ac:dyDescent="0.35">
      <c r="A106" s="352">
        <v>34</v>
      </c>
      <c r="B106" s="262" t="s">
        <v>8521</v>
      </c>
      <c r="C106" s="263" t="s">
        <v>836</v>
      </c>
      <c r="D106" s="262" t="s">
        <v>5497</v>
      </c>
      <c r="E106" s="262" t="s">
        <v>8522</v>
      </c>
      <c r="F106" s="262" t="s">
        <v>8523</v>
      </c>
      <c r="G106" s="262" t="s">
        <v>8524</v>
      </c>
      <c r="H106" s="262" t="s">
        <v>8226</v>
      </c>
      <c r="I106" s="262" t="s">
        <v>8525</v>
      </c>
      <c r="J106" s="287" t="str">
        <f>HYPERLINK("https://www.google.com/maps/search/Praia%20Fluvial%20de%20Pessegueiro%20%E2%80%94%20Pampilhosa%20da%20Serra%20Centro%20Portugal/@40.0244,-7.9375,17z","🏊 Praia Fluvial de Pessegueir…")</f>
        <v>🏊 Praia Fluvial de Pessegueir…</v>
      </c>
    </row>
    <row r="107" spans="1:10" ht="110" customHeight="1" x14ac:dyDescent="0.35">
      <c r="A107" s="358">
        <v>35</v>
      </c>
      <c r="B107" s="259" t="s">
        <v>8526</v>
      </c>
      <c r="C107" s="260" t="s">
        <v>836</v>
      </c>
      <c r="D107" s="259" t="s">
        <v>950</v>
      </c>
      <c r="E107" s="259" t="s">
        <v>8527</v>
      </c>
      <c r="F107" s="259" t="s">
        <v>8528</v>
      </c>
      <c r="G107" s="259" t="s">
        <v>8529</v>
      </c>
      <c r="H107" s="259" t="s">
        <v>8187</v>
      </c>
      <c r="I107" s="259" t="s">
        <v>8530</v>
      </c>
      <c r="J107" s="286" t="str">
        <f>HYPERLINK("https://www.google.com/maps/search/Praia%20Fluvial%20do%20Vau%20%E2%80%94%20Mort%C3%A1gua%20Centro%20Portugal/@40.4081,-8.2286,17z","🏊 Praia Fluvial do Vau — Mort…")</f>
        <v>🏊 Praia Fluvial do Vau — Mort…</v>
      </c>
    </row>
    <row r="108" spans="1:10" ht="110" customHeight="1" x14ac:dyDescent="0.35">
      <c r="A108" s="352">
        <v>36</v>
      </c>
      <c r="B108" s="262" t="s">
        <v>8531</v>
      </c>
      <c r="C108" s="263" t="s">
        <v>836</v>
      </c>
      <c r="D108" s="262" t="s">
        <v>8011</v>
      </c>
      <c r="E108" s="262" t="s">
        <v>2049</v>
      </c>
      <c r="F108" s="262" t="s">
        <v>8532</v>
      </c>
      <c r="G108" s="262" t="s">
        <v>8533</v>
      </c>
      <c r="H108" s="262" t="s">
        <v>8182</v>
      </c>
      <c r="I108" s="264" t="s">
        <v>8534</v>
      </c>
      <c r="J108" s="287" t="str">
        <f>HYPERLINK("https://www.google.com/maps/search/Praia%20Fluvial%20de%20Loriga%20%E2%80%94%20Seia%20Centro%20Portugal/@40.4175,-7.7019,17z","🏊 Praia Fluvial de Loriga — S…")</f>
        <v>🏊 Praia Fluvial de Loriga — S…</v>
      </c>
    </row>
    <row r="109" spans="1:10" ht="110" customHeight="1" x14ac:dyDescent="0.35">
      <c r="A109" s="358">
        <v>37</v>
      </c>
      <c r="B109" s="259" t="s">
        <v>8535</v>
      </c>
      <c r="C109" s="260" t="s">
        <v>836</v>
      </c>
      <c r="D109" s="259" t="s">
        <v>950</v>
      </c>
      <c r="E109" s="259" t="s">
        <v>2082</v>
      </c>
      <c r="F109" s="259" t="s">
        <v>8417</v>
      </c>
      <c r="G109" s="259" t="s">
        <v>8536</v>
      </c>
      <c r="H109" s="259" t="s">
        <v>8217</v>
      </c>
      <c r="I109" s="259" t="s">
        <v>8537</v>
      </c>
      <c r="J109" s="286" t="str">
        <f>HYPERLINK("https://www.google.com/maps/search/Praia%20Fluvial%20do%20Teixo%20/%20Rio%20Dornas%20Centro%20Portugal/@40.5175,-8.0761,17z","🏊 Praia Fluvial do Teixo / Ri…")</f>
        <v>🏊 Praia Fluvial do Teixo / Ri…</v>
      </c>
    </row>
    <row r="110" spans="1:10" ht="110" customHeight="1" x14ac:dyDescent="0.35">
      <c r="A110" s="352">
        <v>38</v>
      </c>
      <c r="B110" s="262" t="s">
        <v>8538</v>
      </c>
      <c r="C110" s="263" t="s">
        <v>836</v>
      </c>
      <c r="D110" s="262" t="s">
        <v>5501</v>
      </c>
      <c r="E110" s="262" t="s">
        <v>2068</v>
      </c>
      <c r="F110" s="262" t="s">
        <v>8539</v>
      </c>
      <c r="G110" s="262" t="s">
        <v>8540</v>
      </c>
      <c r="H110" s="262" t="s">
        <v>8226</v>
      </c>
      <c r="I110" s="262" t="s">
        <v>8541</v>
      </c>
      <c r="J110" s="287" t="str">
        <f>HYPERLINK("https://www.google.com/maps/search/Praia%20Fluvial%20do%20Agroal%20%E2%80%94%20Our%C3%A9m%20Centro%20Portugal/@39.6578,-8.5828,17z","🏊 Praia Fluvial do Agroal — O…")</f>
        <v>🏊 Praia Fluvial do Agroal — O…</v>
      </c>
    </row>
    <row r="111" spans="1:10" ht="110" customHeight="1" x14ac:dyDescent="0.35">
      <c r="A111" s="358">
        <v>39</v>
      </c>
      <c r="B111" s="259" t="s">
        <v>8542</v>
      </c>
      <c r="C111" s="260" t="s">
        <v>836</v>
      </c>
      <c r="D111" s="259" t="s">
        <v>5501</v>
      </c>
      <c r="E111" s="259" t="s">
        <v>8435</v>
      </c>
      <c r="F111" s="259" t="s">
        <v>8436</v>
      </c>
      <c r="G111" s="259" t="s">
        <v>8437</v>
      </c>
      <c r="H111" s="259" t="s">
        <v>8187</v>
      </c>
      <c r="I111" s="259" t="s">
        <v>8543</v>
      </c>
      <c r="J111" s="286" t="str">
        <f>HYPERLINK("https://www.google.com/maps/search/Praia%20Doce%20%E2%80%94%20Salvaterra%20de%20Magos%20Centro%20Portugal/@39.0264,-8.7972,17z","🏊 Praia Doce — Salvaterra de …")</f>
        <v>🏊 Praia Doce — Salvaterra de …</v>
      </c>
    </row>
    <row r="112" spans="1:10" ht="110" customHeight="1" x14ac:dyDescent="0.35">
      <c r="A112" s="352">
        <v>40</v>
      </c>
      <c r="B112" s="262" t="s">
        <v>8544</v>
      </c>
      <c r="C112" s="263" t="s">
        <v>836</v>
      </c>
      <c r="D112" s="262" t="s">
        <v>8011</v>
      </c>
      <c r="E112" s="262" t="s">
        <v>6570</v>
      </c>
      <c r="F112" s="262" t="s">
        <v>8515</v>
      </c>
      <c r="G112" s="262" t="s">
        <v>8516</v>
      </c>
      <c r="H112" s="262" t="s">
        <v>8195</v>
      </c>
      <c r="I112" s="264" t="s">
        <v>8545</v>
      </c>
      <c r="J112" s="287" t="str">
        <f>HYPERLINK("https://www.google.com/maps/search/Praia%20Fluvial%20de%20Quadrazais%20%E2%80%94%20Sabugal%20Centro%20Portugal/@40.3528,-7.0878,17z","🏊 Praia Fluvial de Quadrazais…")</f>
        <v>🏊 Praia Fluvial de Quadrazais…</v>
      </c>
    </row>
    <row r="113" spans="1:10" ht="110" customHeight="1" x14ac:dyDescent="0.35">
      <c r="A113" s="358">
        <v>41</v>
      </c>
      <c r="B113" s="259" t="s">
        <v>8546</v>
      </c>
      <c r="C113" s="260" t="s">
        <v>836</v>
      </c>
      <c r="D113" s="259" t="s">
        <v>950</v>
      </c>
      <c r="E113" s="259" t="s">
        <v>2082</v>
      </c>
      <c r="F113" s="259" t="s">
        <v>8417</v>
      </c>
      <c r="G113" s="259" t="s">
        <v>8547</v>
      </c>
      <c r="H113" s="259" t="s">
        <v>8187</v>
      </c>
      <c r="I113" s="259" t="s">
        <v>8548</v>
      </c>
      <c r="J113" s="286" t="str">
        <f>HYPERLINK("https://www.google.com/maps/search/Praia%20Fluvial%20de%20Nandufe%20%E2%80%94%20Tondela%20Centro%20Portugal/@40.5175,-8.0761,17z","🏊 Praia Fluvial de Nandufe — …")</f>
        <v>🏊 Praia Fluvial de Nandufe — …</v>
      </c>
    </row>
    <row r="114" spans="1:10" ht="110" customHeight="1" x14ac:dyDescent="0.35">
      <c r="A114" s="352">
        <v>42</v>
      </c>
      <c r="B114" s="262" t="s">
        <v>8549</v>
      </c>
      <c r="C114" s="263" t="s">
        <v>836</v>
      </c>
      <c r="D114" s="262" t="s">
        <v>5497</v>
      </c>
      <c r="E114" s="262" t="s">
        <v>5488</v>
      </c>
      <c r="F114" s="262" t="s">
        <v>8550</v>
      </c>
      <c r="G114" s="262" t="s">
        <v>8456</v>
      </c>
      <c r="H114" s="262" t="s">
        <v>8226</v>
      </c>
      <c r="I114" s="262" t="s">
        <v>8551</v>
      </c>
      <c r="J114" s="287" t="str">
        <f>HYPERLINK("https://www.google.com/maps/search/Praia%20Fluvial%20da%20Sr%C2%AA%20da%20Gra%C3%A7a%20%E2%80%94%20Serpins%2C%20Lous%C3%A3%20Centro%20Portugal/@40.1028,-8.2428,17z","🏊 Praia Fluvial da Srª da Gra…")</f>
        <v>🏊 Praia Fluvial da Srª da Gra…</v>
      </c>
    </row>
    <row r="115" spans="1:10" ht="110" customHeight="1" x14ac:dyDescent="0.35">
      <c r="A115" s="358">
        <v>43</v>
      </c>
      <c r="B115" s="259" t="s">
        <v>8552</v>
      </c>
      <c r="C115" s="260" t="s">
        <v>836</v>
      </c>
      <c r="D115" s="259" t="s">
        <v>8011</v>
      </c>
      <c r="E115" s="259" t="s">
        <v>6570</v>
      </c>
      <c r="F115" s="259" t="s">
        <v>8515</v>
      </c>
      <c r="G115" s="259" t="s">
        <v>8553</v>
      </c>
      <c r="H115" s="259" t="s">
        <v>8187</v>
      </c>
      <c r="I115" s="259" t="s">
        <v>8554</v>
      </c>
      <c r="J115" s="286" t="str">
        <f>HYPERLINK("https://www.google.com/maps/search/Praia%20Fluvial%20da%20Barragem%20de%20Alfaiates%20%E2%80%94%20Sabugal%20Centro%20Portugal/@40.3528,-7.0878,17z","🏊 Praia Fluvial da Barragem d…")</f>
        <v>🏊 Praia Fluvial da Barragem d…</v>
      </c>
    </row>
    <row r="116" spans="1:10" ht="110" customHeight="1" x14ac:dyDescent="0.35">
      <c r="A116" s="352">
        <v>44</v>
      </c>
      <c r="B116" s="262" t="s">
        <v>8555</v>
      </c>
      <c r="C116" s="263" t="s">
        <v>836</v>
      </c>
      <c r="D116" s="262" t="s">
        <v>7725</v>
      </c>
      <c r="E116" s="262" t="s">
        <v>5644</v>
      </c>
      <c r="F116" s="262" t="s">
        <v>8556</v>
      </c>
      <c r="G116" s="262" t="s">
        <v>8557</v>
      </c>
      <c r="H116" s="262" t="s">
        <v>8187</v>
      </c>
      <c r="I116" s="262" t="s">
        <v>8558</v>
      </c>
      <c r="J116" s="287" t="str">
        <f>HYPERLINK("https://www.google.com/maps/search/Praia%20Fluvial%20de%20Alpedriz%20%E2%80%94%20Alcoba%C3%A7a%20Centro%20Portugal/@39.5472,-8.9797,17z","🏊 Praia Fluvial de Alpedriz —…")</f>
        <v>🏊 Praia Fluvial de Alpedriz —…</v>
      </c>
    </row>
    <row r="117" spans="1:10" ht="110" customHeight="1" x14ac:dyDescent="0.35">
      <c r="A117" s="358">
        <v>45</v>
      </c>
      <c r="B117" s="259" t="s">
        <v>8559</v>
      </c>
      <c r="C117" s="260" t="s">
        <v>836</v>
      </c>
      <c r="D117" s="259" t="s">
        <v>950</v>
      </c>
      <c r="E117" s="259" t="s">
        <v>7002</v>
      </c>
      <c r="F117" s="259" t="s">
        <v>8560</v>
      </c>
      <c r="G117" s="259" t="s">
        <v>8418</v>
      </c>
      <c r="H117" s="259" t="s">
        <v>8187</v>
      </c>
      <c r="I117" s="261" t="s">
        <v>8561</v>
      </c>
      <c r="J117" s="286" t="str">
        <f>HYPERLINK("https://www.google.com/maps/search/Praias%20Fluviais%20de%20Alcafache%20Centro%20Portugal/@40.6014,-7.7661,17z","🏊 Praias Fluviais de Alcafache")</f>
        <v>🏊 Praias Fluviais de Alcafache</v>
      </c>
    </row>
    <row r="118" spans="1:10" ht="110" customHeight="1" x14ac:dyDescent="0.35">
      <c r="A118" s="352">
        <v>46</v>
      </c>
      <c r="B118" s="262" t="s">
        <v>8562</v>
      </c>
      <c r="C118" s="263" t="s">
        <v>836</v>
      </c>
      <c r="D118" s="262" t="s">
        <v>7725</v>
      </c>
      <c r="E118" s="262" t="s">
        <v>8563</v>
      </c>
      <c r="F118" s="262" t="s">
        <v>8564</v>
      </c>
      <c r="G118" s="262" t="s">
        <v>8565</v>
      </c>
      <c r="H118" s="262" t="s">
        <v>8187</v>
      </c>
      <c r="I118" s="262" t="s">
        <v>8566</v>
      </c>
      <c r="J118" s="287" t="str">
        <f>HYPERLINK("https://www.google.com/maps/search/Praia%20Fluvial%20do%20Po%C3%A7o%20da%20Corga%20%E2%80%94%20Castanheira%20de%20P%C3%AAra%20Centro%20Portugal/@40.0017,-8.2031,17z","🏊 Praia Fluvial do Poço da Co…")</f>
        <v>🏊 Praia Fluvial do Poço da Co…</v>
      </c>
    </row>
    <row r="119" spans="1:10" ht="110" customHeight="1" x14ac:dyDescent="0.35">
      <c r="A119" s="358">
        <v>47</v>
      </c>
      <c r="B119" s="259" t="s">
        <v>8567</v>
      </c>
      <c r="C119" s="260" t="s">
        <v>836</v>
      </c>
      <c r="D119" s="259" t="s">
        <v>5501</v>
      </c>
      <c r="E119" s="259" t="s">
        <v>2555</v>
      </c>
      <c r="F119" s="259" t="s">
        <v>8568</v>
      </c>
      <c r="G119" s="259" t="s">
        <v>8408</v>
      </c>
      <c r="H119" s="259" t="s">
        <v>8226</v>
      </c>
      <c r="I119" s="259" t="s">
        <v>8569</v>
      </c>
      <c r="J119" s="286" t="str">
        <f>HYPERLINK("https://www.google.com/maps/search/Praia%20Fluvial%20de%20Aldeia%20do%20Mato%20%E2%80%94%20Abrantes%20Centro%20Portugal/@39.4636,-8.1969,17z","🏊 Praia Fluvial de Aldeia do …")</f>
        <v>🏊 Praia Fluvial de Aldeia do …</v>
      </c>
    </row>
    <row r="120" spans="1:10" ht="110" customHeight="1" x14ac:dyDescent="0.35">
      <c r="A120" s="352">
        <v>48</v>
      </c>
      <c r="B120" s="262" t="s">
        <v>8570</v>
      </c>
      <c r="C120" s="263" t="s">
        <v>836</v>
      </c>
      <c r="D120" s="262" t="s">
        <v>8011</v>
      </c>
      <c r="E120" s="262" t="s">
        <v>2049</v>
      </c>
      <c r="F120" s="262" t="s">
        <v>2467</v>
      </c>
      <c r="G120" s="262" t="s">
        <v>8479</v>
      </c>
      <c r="H120" s="262" t="s">
        <v>8187</v>
      </c>
      <c r="I120" s="264" t="s">
        <v>8571</v>
      </c>
      <c r="J120" s="287" t="str">
        <f>HYPERLINK("https://www.google.com/maps/search/Praia%20Fluvial%20de%20Sandomil%20%E2%80%94%20Seia%20Centro%20Portugal/@40.4175,-7.7019,17z","🏊 Praia Fluvial de Sandomil —…")</f>
        <v>🏊 Praia Fluvial de Sandomil —…</v>
      </c>
    </row>
    <row r="121" spans="1:10" ht="110" customHeight="1" x14ac:dyDescent="0.35">
      <c r="A121" s="358">
        <v>49</v>
      </c>
      <c r="B121" s="259" t="s">
        <v>8572</v>
      </c>
      <c r="C121" s="260" t="s">
        <v>836</v>
      </c>
      <c r="D121" s="259" t="s">
        <v>5497</v>
      </c>
      <c r="E121" s="259" t="s">
        <v>2481</v>
      </c>
      <c r="F121" s="259" t="s">
        <v>8455</v>
      </c>
      <c r="G121" s="259" t="s">
        <v>8456</v>
      </c>
      <c r="H121" s="259" t="s">
        <v>8182</v>
      </c>
      <c r="I121" s="259" t="s">
        <v>8573</v>
      </c>
      <c r="J121" s="286" t="str">
        <f>HYPERLINK("https://www.google.com/maps/search/Praia%20Fluvial%20do%20Pego%20Escuro%20%E2%80%94%20G%C3%B3is%20Centro%20Portugal/@40.1578,-8.1067,17z","🏊 Praia Fluvial do Pego Escur…")</f>
        <v>🏊 Praia Fluvial do Pego Escur…</v>
      </c>
    </row>
    <row r="122" spans="1:10" ht="110" customHeight="1" x14ac:dyDescent="0.35">
      <c r="A122" s="352">
        <v>50</v>
      </c>
      <c r="B122" s="262" t="s">
        <v>8574</v>
      </c>
      <c r="C122" s="263" t="s">
        <v>836</v>
      </c>
      <c r="D122" s="262" t="s">
        <v>1713</v>
      </c>
      <c r="E122" s="262" t="s">
        <v>8430</v>
      </c>
      <c r="F122" s="262" t="s">
        <v>8443</v>
      </c>
      <c r="G122" s="262" t="s">
        <v>8414</v>
      </c>
      <c r="H122" s="262" t="s">
        <v>8187</v>
      </c>
      <c r="I122" s="262" t="s">
        <v>8575</v>
      </c>
      <c r="J122" s="287" t="str">
        <f>HYPERLINK("https://www.google.com/maps/search/Praia%20Fluvial%20do%20Malhadal%20%E2%80%94%20Proen%C3%A7a-a-Nova%20Centro%20Portugal/@39.7472,-7.9181,17z","🏊 Praia Fluvial do Malhadal —…")</f>
        <v>🏊 Praia Fluvial do Malhadal —…</v>
      </c>
    </row>
    <row r="123" spans="1:10" ht="110" customHeight="1" x14ac:dyDescent="0.35">
      <c r="A123" s="358">
        <v>51</v>
      </c>
      <c r="B123" s="259" t="s">
        <v>8576</v>
      </c>
      <c r="C123" s="260" t="s">
        <v>836</v>
      </c>
      <c r="D123" s="259" t="s">
        <v>1713</v>
      </c>
      <c r="E123" s="259" t="s">
        <v>1713</v>
      </c>
      <c r="F123" s="259" t="s">
        <v>8577</v>
      </c>
      <c r="G123" s="259" t="s">
        <v>8432</v>
      </c>
      <c r="H123" s="259" t="s">
        <v>8217</v>
      </c>
      <c r="I123" s="259" t="s">
        <v>8578</v>
      </c>
      <c r="J123" s="286" t="str">
        <f>HYPERLINK("https://www.google.com/maps/search/Praia%20Fluvial%20de%20Almaceda%20%E2%80%94%20Castelo%20Branco%20Centro%20Portugal/@39.8197,-7.49,17z","🏊 Praia Fluvial de Almaceda —…")</f>
        <v>🏊 Praia Fluvial de Almaceda —…</v>
      </c>
    </row>
    <row r="124" spans="1:10" ht="110" customHeight="1" x14ac:dyDescent="0.35">
      <c r="A124" s="352">
        <v>52</v>
      </c>
      <c r="B124" s="262" t="s">
        <v>8579</v>
      </c>
      <c r="C124" s="263" t="s">
        <v>836</v>
      </c>
      <c r="D124" s="262" t="s">
        <v>7725</v>
      </c>
      <c r="E124" s="262" t="s">
        <v>8580</v>
      </c>
      <c r="F124" s="262" t="s">
        <v>8581</v>
      </c>
      <c r="G124" s="262" t="s">
        <v>8565</v>
      </c>
      <c r="H124" s="262" t="s">
        <v>8226</v>
      </c>
      <c r="I124" s="262" t="s">
        <v>8582</v>
      </c>
      <c r="J124" s="287" t="str">
        <f>HYPERLINK("https://www.google.com/maps/search/Praia%20Fluvial%20de%20Mosteiro%20%E2%80%94%20Pedrog%C3%A3o%20Grande%20Centro%20Portugal/@39.9197,-8.1461,17z","🏊 Praia Fluvial de Mosteiro —…")</f>
        <v>🏊 Praia Fluvial de Mosteiro —…</v>
      </c>
    </row>
    <row r="125" spans="1:10" ht="110" customHeight="1" x14ac:dyDescent="0.35">
      <c r="A125" s="358">
        <v>53</v>
      </c>
      <c r="B125" s="259" t="s">
        <v>8583</v>
      </c>
      <c r="C125" s="260" t="s">
        <v>836</v>
      </c>
      <c r="D125" s="259" t="s">
        <v>1713</v>
      </c>
      <c r="E125" s="259" t="s">
        <v>5883</v>
      </c>
      <c r="F125" s="259" t="s">
        <v>8511</v>
      </c>
      <c r="G125" s="259" t="s">
        <v>8584</v>
      </c>
      <c r="H125" s="259" t="s">
        <v>8217</v>
      </c>
      <c r="I125" s="259" t="s">
        <v>8585</v>
      </c>
      <c r="J125" s="286" t="str">
        <f>HYPERLINK("https://www.google.com/maps/search/Praia%20Fluvial%20de%20Pa%C3%BAl%20%E2%80%94%20Covilh%C3%A3%20Centro%20Portugal/@40.2421,-7.5011,17z","🏊 Praia Fluvial de Paúl — Cov…")</f>
        <v>🏊 Praia Fluvial de Paúl — Cov…</v>
      </c>
    </row>
    <row r="126" spans="1:10" ht="110" customHeight="1" x14ac:dyDescent="0.35">
      <c r="A126" s="352">
        <v>54</v>
      </c>
      <c r="B126" s="262" t="s">
        <v>8586</v>
      </c>
      <c r="C126" s="263" t="s">
        <v>836</v>
      </c>
      <c r="D126" s="262" t="s">
        <v>8011</v>
      </c>
      <c r="E126" s="262" t="s">
        <v>6570</v>
      </c>
      <c r="F126" s="262" t="s">
        <v>8515</v>
      </c>
      <c r="G126" s="262" t="s">
        <v>8516</v>
      </c>
      <c r="H126" s="262" t="s">
        <v>8187</v>
      </c>
      <c r="I126" s="262" t="s">
        <v>8587</v>
      </c>
      <c r="J126" s="287" t="str">
        <f>HYPERLINK("https://www.google.com/maps/search/Praia%20Fluvial%20de%20Rapoula%20do%20C%C3%B4a%20%E2%80%94%20Sabugal%20Centro%20Portugal/@40.3528,-7.0878,17z","🏊 Praia Fluvial de Rapoula do…")</f>
        <v>🏊 Praia Fluvial de Rapoula do…</v>
      </c>
    </row>
    <row r="127" spans="1:10" ht="110" customHeight="1" x14ac:dyDescent="0.35">
      <c r="A127" s="358">
        <v>55</v>
      </c>
      <c r="B127" s="259" t="s">
        <v>8588</v>
      </c>
      <c r="C127" s="260" t="s">
        <v>836</v>
      </c>
      <c r="D127" s="259" t="s">
        <v>1713</v>
      </c>
      <c r="E127" s="259" t="s">
        <v>8430</v>
      </c>
      <c r="F127" s="259" t="s">
        <v>8443</v>
      </c>
      <c r="G127" s="259" t="s">
        <v>8414</v>
      </c>
      <c r="H127" s="259" t="s">
        <v>8187</v>
      </c>
      <c r="I127" s="259" t="s">
        <v>8589</v>
      </c>
      <c r="J127" s="286" t="str">
        <f>HYPERLINK("https://www.google.com/maps/search/Praia%20Fluvial%20de%20Aldeia%20Ruiva%20%E2%80%94%20Proen%C3%A7a-a-Nova%20Centro%20Portugal/@39.7472,-7.9181,17z","🏊 Praia Fluvial de Aldeia Rui…")</f>
        <v>🏊 Praia Fluvial de Aldeia Rui…</v>
      </c>
    </row>
    <row r="128" spans="1:10" ht="110" customHeight="1" x14ac:dyDescent="0.35">
      <c r="A128" s="352">
        <v>56</v>
      </c>
      <c r="B128" s="262" t="s">
        <v>8590</v>
      </c>
      <c r="C128" s="263" t="s">
        <v>836</v>
      </c>
      <c r="D128" s="262" t="s">
        <v>5497</v>
      </c>
      <c r="E128" s="262" t="s">
        <v>1131</v>
      </c>
      <c r="F128" s="262" t="s">
        <v>8591</v>
      </c>
      <c r="G128" s="262" t="s">
        <v>8592</v>
      </c>
      <c r="H128" s="262" t="s">
        <v>8187</v>
      </c>
      <c r="I128" s="262" t="s">
        <v>8593</v>
      </c>
      <c r="J128" s="287" t="str">
        <f>HYPERLINK("https://www.google.com/maps/search/Praia%20Fluvial%20de%20Sete%20Fontes%20%E2%80%94%20Cantanhede%20Centro%20Portugal/@40.3428,-8.5961,17z","🏊 Praia Fluvial de Sete Fonte…")</f>
        <v>🏊 Praia Fluvial de Sete Fonte…</v>
      </c>
    </row>
    <row r="129" spans="1:10" ht="110" customHeight="1" x14ac:dyDescent="0.35">
      <c r="A129" s="358">
        <v>57</v>
      </c>
      <c r="B129" s="259" t="s">
        <v>8594</v>
      </c>
      <c r="C129" s="260" t="s">
        <v>836</v>
      </c>
      <c r="D129" s="259" t="s">
        <v>5501</v>
      </c>
      <c r="E129" s="259" t="s">
        <v>1276</v>
      </c>
      <c r="F129" s="259" t="s">
        <v>1407</v>
      </c>
      <c r="G129" s="259" t="s">
        <v>8408</v>
      </c>
      <c r="H129" s="259" t="s">
        <v>8195</v>
      </c>
      <c r="I129" s="259" t="s">
        <v>8595</v>
      </c>
      <c r="J129" s="286" t="str">
        <f>HYPERLINK("https://www.google.com/maps/search/Praia%20Fluvial%20de%20Montes%20%E2%80%94%20Tomar%20Centro%20Portugal/@39.6036,-8.4186,17z","🏊 Praia Fluvial de Montes — T…")</f>
        <v>🏊 Praia Fluvial de Montes — T…</v>
      </c>
    </row>
    <row r="130" spans="1:10" ht="110" customHeight="1" x14ac:dyDescent="0.35">
      <c r="A130" s="352">
        <v>58</v>
      </c>
      <c r="B130" s="262" t="s">
        <v>8596</v>
      </c>
      <c r="C130" s="263" t="s">
        <v>836</v>
      </c>
      <c r="D130" s="262" t="s">
        <v>5501</v>
      </c>
      <c r="E130" s="262" t="s">
        <v>8597</v>
      </c>
      <c r="F130" s="262" t="s">
        <v>8598</v>
      </c>
      <c r="G130" s="262" t="s">
        <v>8437</v>
      </c>
      <c r="H130" s="262" t="s">
        <v>8217</v>
      </c>
      <c r="I130" s="262" t="s">
        <v>8599</v>
      </c>
      <c r="J130" s="287" t="str">
        <f>HYPERLINK("https://www.google.com/maps/search/Praia%20Fluvial%20da%20Chamusca%20Centro%20Portugal/@39.3578,-8.4781,17z","🏊 Praia Fluvial da Chamusca")</f>
        <v>🏊 Praia Fluvial da Chamusca</v>
      </c>
    </row>
    <row r="131" spans="1:10" ht="110" customHeight="1" x14ac:dyDescent="0.35">
      <c r="A131" s="358">
        <v>59</v>
      </c>
      <c r="B131" s="259" t="s">
        <v>8600</v>
      </c>
      <c r="C131" s="260" t="s">
        <v>836</v>
      </c>
      <c r="D131" s="259" t="s">
        <v>1713</v>
      </c>
      <c r="E131" s="259" t="s">
        <v>2091</v>
      </c>
      <c r="F131" s="259" t="s">
        <v>8426</v>
      </c>
      <c r="G131" s="259" t="s">
        <v>8601</v>
      </c>
      <c r="H131" s="259" t="s">
        <v>8187</v>
      </c>
      <c r="I131" s="259" t="s">
        <v>8602</v>
      </c>
      <c r="J131" s="286" t="str">
        <f>HYPERLINK("https://www.google.com/maps/search/Praia%20Fluvial%20de%20Lavacolhos%20%E2%80%94%20Fund%C3%A3o%20Centro%20Portugal/@40.1386,-7.5014,17z","🏊 Praia Fluvial de Lavacolhos…")</f>
        <v>🏊 Praia Fluvial de Lavacolhos…</v>
      </c>
    </row>
    <row r="132" spans="1:10" ht="110" customHeight="1" x14ac:dyDescent="0.35">
      <c r="A132" s="352">
        <v>60</v>
      </c>
      <c r="B132" s="262" t="s">
        <v>8603</v>
      </c>
      <c r="C132" s="263" t="s">
        <v>836</v>
      </c>
      <c r="D132" s="262" t="s">
        <v>5501</v>
      </c>
      <c r="E132" s="262" t="s">
        <v>2555</v>
      </c>
      <c r="F132" s="262" t="s">
        <v>8568</v>
      </c>
      <c r="G132" s="262" t="s">
        <v>8408</v>
      </c>
      <c r="H132" s="262" t="s">
        <v>8182</v>
      </c>
      <c r="I132" s="264" t="s">
        <v>8604</v>
      </c>
      <c r="J132" s="287" t="str">
        <f>HYPERLINK("https://www.google.com/maps/search/Praia%20Fluvial%20de%20Fontes%20%E2%80%94%20Abrantes%20Centro%20Portugal/@39.4636,-8.1969,17z","🏊 Praia Fluvial de Fontes — A…")</f>
        <v>🏊 Praia Fluvial de Fontes — A…</v>
      </c>
    </row>
    <row r="133" spans="1:10" ht="110" customHeight="1" x14ac:dyDescent="0.35">
      <c r="A133" s="358">
        <v>61</v>
      </c>
      <c r="B133" s="259" t="s">
        <v>8605</v>
      </c>
      <c r="C133" s="260" t="s">
        <v>836</v>
      </c>
      <c r="D133" s="259" t="s">
        <v>8011</v>
      </c>
      <c r="E133" s="259" t="s">
        <v>8011</v>
      </c>
      <c r="F133" s="259" t="s">
        <v>8606</v>
      </c>
      <c r="G133" s="259" t="s">
        <v>8486</v>
      </c>
      <c r="H133" s="259" t="s">
        <v>8226</v>
      </c>
      <c r="I133" s="259" t="s">
        <v>8607</v>
      </c>
      <c r="J133" s="286" t="str">
        <f>HYPERLINK("https://www.google.com/maps/search/Praia%20Fluvial%20de%20Aldeia%20Vi%C3%A7osa%20%E2%80%94%20Guarda%20Centro%20Portugal/@40.5378,-7.2684,17z","🏊 Praia Fluvial de Aldeia Viç…")</f>
        <v>🏊 Praia Fluvial de Aldeia Viç…</v>
      </c>
    </row>
    <row r="134" spans="1:10" ht="110" customHeight="1" x14ac:dyDescent="0.35">
      <c r="A134" s="352">
        <v>62</v>
      </c>
      <c r="B134" s="262" t="s">
        <v>8608</v>
      </c>
      <c r="C134" s="263" t="s">
        <v>836</v>
      </c>
      <c r="D134" s="262" t="s">
        <v>5501</v>
      </c>
      <c r="E134" s="262" t="s">
        <v>5483</v>
      </c>
      <c r="F134" s="262" t="s">
        <v>8609</v>
      </c>
      <c r="G134" s="262" t="s">
        <v>8610</v>
      </c>
      <c r="H134" s="262" t="s">
        <v>8187</v>
      </c>
      <c r="I134" s="262" t="s">
        <v>8611</v>
      </c>
      <c r="J134" s="287" t="str">
        <f>HYPERLINK("https://www.google.com/maps/search/Praia%20Fluvial%20Olhos%20d%27%C3%81gua%20%E2%80%94%20Alcanena%20Centro%20Portugal/@39.4597,-8.6831,17z","🏊 Praia Fluvial Olhos d'Água …")</f>
        <v>🏊 Praia Fluvial Olhos d'Água …</v>
      </c>
    </row>
    <row r="135" spans="1:10" ht="110" customHeight="1" x14ac:dyDescent="0.35">
      <c r="A135" s="358">
        <v>63</v>
      </c>
      <c r="B135" s="259" t="s">
        <v>8612</v>
      </c>
      <c r="C135" s="260" t="s">
        <v>836</v>
      </c>
      <c r="D135" s="259" t="s">
        <v>5497</v>
      </c>
      <c r="E135" s="259" t="s">
        <v>8478</v>
      </c>
      <c r="F135" s="259" t="s">
        <v>1490</v>
      </c>
      <c r="G135" s="259" t="s">
        <v>8479</v>
      </c>
      <c r="H135" s="259" t="s">
        <v>8187</v>
      </c>
      <c r="I135" s="259" t="s">
        <v>8613</v>
      </c>
      <c r="J135" s="286" t="str">
        <f>HYPERLINK("https://www.google.com/maps/search/Praia%20Fluvial%20do%20Cornicovo%20%E2%80%94%20Penacova%20Centro%20Portugal/@40.2594,-8.2817,17z","🏊 Praia Fluvial do Cornicovo …")</f>
        <v>🏊 Praia Fluvial do Cornicovo …</v>
      </c>
    </row>
    <row r="136" spans="1:10" ht="110" customHeight="1" x14ac:dyDescent="0.35">
      <c r="A136" s="352">
        <v>64</v>
      </c>
      <c r="B136" s="262" t="s">
        <v>8614</v>
      </c>
      <c r="C136" s="263" t="s">
        <v>836</v>
      </c>
      <c r="D136" s="262" t="s">
        <v>950</v>
      </c>
      <c r="E136" s="262" t="s">
        <v>8615</v>
      </c>
      <c r="F136" s="262" t="s">
        <v>8616</v>
      </c>
      <c r="G136" s="262" t="s">
        <v>8293</v>
      </c>
      <c r="H136" s="262" t="s">
        <v>8217</v>
      </c>
      <c r="I136" s="262" t="s">
        <v>8617</v>
      </c>
      <c r="J136" s="287" t="str">
        <f>HYPERLINK("https://www.google.com/maps/search/Praia%20Fluvial%20de%20Porto%20V%C3%A1rzea%20%E2%80%94%20Vouzela%20Centro%20Portugal/@40.7214,-8.1119,17z","🏊 Praia Fluvial de Porto Várz…")</f>
        <v>🏊 Praia Fluvial de Porto Várz…</v>
      </c>
    </row>
    <row r="137" spans="1:10" ht="110" customHeight="1" x14ac:dyDescent="0.35">
      <c r="A137" s="358">
        <v>65</v>
      </c>
      <c r="B137" s="259" t="s">
        <v>8618</v>
      </c>
      <c r="C137" s="260" t="s">
        <v>836</v>
      </c>
      <c r="D137" s="259" t="s">
        <v>1713</v>
      </c>
      <c r="E137" s="259" t="s">
        <v>5706</v>
      </c>
      <c r="F137" s="259" t="s">
        <v>8464</v>
      </c>
      <c r="G137" s="259" t="s">
        <v>8619</v>
      </c>
      <c r="H137" s="259" t="s">
        <v>8187</v>
      </c>
      <c r="I137" s="259" t="s">
        <v>8620</v>
      </c>
      <c r="J137" s="286" t="str">
        <f>HYPERLINK("https://www.google.com/maps/search/Praia%20Fluvial%20do%20Troviscal%20%E2%80%94%20Sert%C3%A3%20Centro%20Portugal/@39.8041,-8.1001,17z","🏊 Praia Fluvial do Troviscal …")</f>
        <v>🏊 Praia Fluvial do Troviscal …</v>
      </c>
    </row>
    <row r="138" spans="1:10" ht="22" customHeight="1" x14ac:dyDescent="0.35">
      <c r="A138" s="1480" t="s">
        <v>8621</v>
      </c>
      <c r="B138" s="1313"/>
      <c r="C138" s="1313"/>
      <c r="D138" s="1313"/>
      <c r="E138" s="1313"/>
      <c r="F138" s="1313"/>
      <c r="G138" s="1313"/>
      <c r="H138" s="1313"/>
      <c r="I138" s="1313"/>
      <c r="J138" s="1313"/>
    </row>
    <row r="139" spans="1:10" ht="110" customHeight="1" x14ac:dyDescent="0.35">
      <c r="A139" s="360">
        <v>1</v>
      </c>
      <c r="B139" s="245" t="s">
        <v>8622</v>
      </c>
      <c r="C139" s="246" t="s">
        <v>913</v>
      </c>
      <c r="D139" s="245" t="s">
        <v>913</v>
      </c>
      <c r="E139" s="245" t="s">
        <v>7718</v>
      </c>
      <c r="F139" s="245" t="s">
        <v>8623</v>
      </c>
      <c r="G139" s="245" t="s">
        <v>8624</v>
      </c>
      <c r="H139" s="245" t="s">
        <v>8226</v>
      </c>
      <c r="I139" s="245" t="s">
        <v>8625</v>
      </c>
      <c r="J139" s="265" t="str">
        <f>HYPERLINK("https://www.google.com/maps/search/Praia%20Fluvial%20da%20Foz%20do%20Lizandro%20Lisboa%20Portugal/@38.9336,-9.3267,17z","🏊 Praia Fluvial da Foz do Liz…")</f>
        <v>🏊 Praia Fluvial da Foz do Liz…</v>
      </c>
    </row>
    <row r="140" spans="1:10" ht="110" customHeight="1" x14ac:dyDescent="0.35">
      <c r="A140" s="340">
        <v>2</v>
      </c>
      <c r="B140" s="248" t="s">
        <v>8626</v>
      </c>
      <c r="C140" s="249" t="s">
        <v>913</v>
      </c>
      <c r="D140" s="248" t="s">
        <v>913</v>
      </c>
      <c r="E140" s="248" t="s">
        <v>1347</v>
      </c>
      <c r="F140" s="248" t="s">
        <v>8627</v>
      </c>
      <c r="G140" s="248" t="s">
        <v>8628</v>
      </c>
      <c r="H140" s="248" t="s">
        <v>8187</v>
      </c>
      <c r="I140" s="248" t="s">
        <v>8629</v>
      </c>
      <c r="J140" s="266" t="str">
        <f>HYPERLINK("https://www.google.com/maps/search/Praia%20Fluvial%20da%20Sa%C3%BAde%20%E2%80%94%20Set%C3%BAbal%20Lisboa%20Portugal/@38.5244,-8.8882,17z","🏊 Praia Fluvial da Saúde — Se…")</f>
        <v>🏊 Praia Fluvial da Saúde — Se…</v>
      </c>
    </row>
    <row r="141" spans="1:10" ht="110" customHeight="1" x14ac:dyDescent="0.35">
      <c r="A141" s="360">
        <v>3</v>
      </c>
      <c r="B141" s="245" t="s">
        <v>8630</v>
      </c>
      <c r="C141" s="246" t="s">
        <v>913</v>
      </c>
      <c r="D141" s="245" t="s">
        <v>913</v>
      </c>
      <c r="E141" s="245" t="s">
        <v>8631</v>
      </c>
      <c r="F141" s="245" t="s">
        <v>8632</v>
      </c>
      <c r="G141" s="245" t="s">
        <v>8633</v>
      </c>
      <c r="H141" s="245" t="s">
        <v>8187</v>
      </c>
      <c r="I141" s="245" t="s">
        <v>8634</v>
      </c>
      <c r="J141" s="265" t="str">
        <f>HYPERLINK("https://www.google.com/maps/search/Praia%20Fluvial%20do%20Ros%C3%A1rio%20%E2%80%94%20Moita%20Lisboa%20Portugal/@38.6411,-8.9833,17z","🏊 Praia Fluvial do Rosário — …")</f>
        <v>🏊 Praia Fluvial do Rosário — …</v>
      </c>
    </row>
    <row r="142" spans="1:10" ht="110" customHeight="1" x14ac:dyDescent="0.35">
      <c r="A142" s="340">
        <v>4</v>
      </c>
      <c r="B142" s="248" t="s">
        <v>8635</v>
      </c>
      <c r="C142" s="249" t="s">
        <v>913</v>
      </c>
      <c r="D142" s="248" t="s">
        <v>913</v>
      </c>
      <c r="E142" s="248" t="s">
        <v>8636</v>
      </c>
      <c r="F142" s="248" t="s">
        <v>8637</v>
      </c>
      <c r="G142" s="248" t="s">
        <v>8437</v>
      </c>
      <c r="H142" s="248" t="s">
        <v>8187</v>
      </c>
      <c r="I142" s="248" t="s">
        <v>8638</v>
      </c>
      <c r="J142" s="266" t="str">
        <f>HYPERLINK("https://www.google.com/maps/search/Praia%20Fluvial%20do%20Samouco%20%E2%80%94%20Alcochete%20Lisboa%20Portugal/@38.7536,-8.9608,17z","🏊 Praia Fluvial do Samouco — …")</f>
        <v>🏊 Praia Fluvial do Samouco — …</v>
      </c>
    </row>
    <row r="143" spans="1:10" ht="110" customHeight="1" x14ac:dyDescent="0.35">
      <c r="A143" s="360">
        <v>5</v>
      </c>
      <c r="B143" s="245" t="s">
        <v>8639</v>
      </c>
      <c r="C143" s="246" t="s">
        <v>913</v>
      </c>
      <c r="D143" s="245" t="s">
        <v>913</v>
      </c>
      <c r="E143" s="245" t="s">
        <v>8640</v>
      </c>
      <c r="F143" s="245" t="s">
        <v>8641</v>
      </c>
      <c r="G143" s="245" t="s">
        <v>8437</v>
      </c>
      <c r="H143" s="245" t="s">
        <v>8187</v>
      </c>
      <c r="I143" s="245" t="s">
        <v>8642</v>
      </c>
      <c r="J143" s="265" t="str">
        <f>HYPERLINK("https://www.google.com/maps/search/Bico%20do%20Mexilhoeiro%20%E2%80%94%20Praia%20Fluvial%20do%20Barreiro%20Lisboa%20Portugal/@38.6578,-9.0714,17z","🏊 Bico do Mexilhoeiro — Praia…")</f>
        <v>🏊 Bico do Mexilhoeiro — Praia…</v>
      </c>
    </row>
    <row r="144" spans="1:10" ht="110" customHeight="1" x14ac:dyDescent="0.35">
      <c r="A144" s="340">
        <v>6</v>
      </c>
      <c r="B144" s="248" t="s">
        <v>8643</v>
      </c>
      <c r="C144" s="249" t="s">
        <v>913</v>
      </c>
      <c r="D144" s="248" t="s">
        <v>913</v>
      </c>
      <c r="E144" s="248" t="s">
        <v>8640</v>
      </c>
      <c r="F144" s="248" t="s">
        <v>8641</v>
      </c>
      <c r="G144" s="248" t="s">
        <v>8633</v>
      </c>
      <c r="H144" s="248" t="s">
        <v>8187</v>
      </c>
      <c r="I144" s="248" t="s">
        <v>8644</v>
      </c>
      <c r="J144" s="266" t="str">
        <f>HYPERLINK("https://www.google.com/maps/search/Praia%20Fluvial%20de%20Alburrica%20%E2%80%94%20Barreiro%20Lisboa%20Portugal/@38.6578,-9.0714,17z","🏊 Praia Fluvial de Alburrica …")</f>
        <v>🏊 Praia Fluvial de Alburrica …</v>
      </c>
    </row>
    <row r="145" spans="1:10" ht="110" customHeight="1" x14ac:dyDescent="0.35">
      <c r="A145" s="360">
        <v>7</v>
      </c>
      <c r="B145" s="245" t="s">
        <v>8645</v>
      </c>
      <c r="C145" s="246" t="s">
        <v>913</v>
      </c>
      <c r="D145" s="245" t="s">
        <v>913</v>
      </c>
      <c r="E145" s="245" t="s">
        <v>8636</v>
      </c>
      <c r="F145" s="245" t="s">
        <v>8637</v>
      </c>
      <c r="G145" s="245" t="s">
        <v>8633</v>
      </c>
      <c r="H145" s="245" t="s">
        <v>8187</v>
      </c>
      <c r="I145" s="245" t="s">
        <v>8646</v>
      </c>
      <c r="J145" s="265" t="str">
        <f>HYPERLINK("https://www.google.com/maps/search/Praia%20Fluvial%20dos%20Moinhos%20%E2%80%94%20Alcochete%20Lisboa%20Portugal/@38.7536,-8.9608,17z","🏊 Praia Fluvial dos Moinhos —…")</f>
        <v>🏊 Praia Fluvial dos Moinhos —…</v>
      </c>
    </row>
    <row r="146" spans="1:10" ht="110" customHeight="1" x14ac:dyDescent="0.35">
      <c r="A146" s="340">
        <v>8</v>
      </c>
      <c r="B146" s="248" t="s">
        <v>8647</v>
      </c>
      <c r="C146" s="249" t="s">
        <v>913</v>
      </c>
      <c r="D146" s="248" t="s">
        <v>913</v>
      </c>
      <c r="E146" s="248" t="s">
        <v>8648</v>
      </c>
      <c r="F146" s="248" t="s">
        <v>8649</v>
      </c>
      <c r="G146" s="248" t="s">
        <v>8633</v>
      </c>
      <c r="H146" s="248" t="s">
        <v>8187</v>
      </c>
      <c r="I146" s="248" t="s">
        <v>8650</v>
      </c>
      <c r="J146" s="266" t="str">
        <f>HYPERLINK("https://www.google.com/maps/search/Praia%20Ponta%20dos%20Corvos%20%E2%80%94%20Seixal%20Lisboa%20Portugal/@38.64,-9.1011,17z","🏊 Praia Ponta dos Corvos — Se…")</f>
        <v>🏊 Praia Ponta dos Corvos — Se…</v>
      </c>
    </row>
    <row r="147" spans="1:10" ht="110" customHeight="1" x14ac:dyDescent="0.35">
      <c r="A147" s="360">
        <v>9</v>
      </c>
      <c r="B147" s="245" t="s">
        <v>8651</v>
      </c>
      <c r="C147" s="246" t="s">
        <v>913</v>
      </c>
      <c r="D147" s="245" t="s">
        <v>913</v>
      </c>
      <c r="E147" s="245" t="s">
        <v>8640</v>
      </c>
      <c r="F147" s="245" t="s">
        <v>8641</v>
      </c>
      <c r="G147" s="245" t="s">
        <v>8633</v>
      </c>
      <c r="H147" s="245" t="s">
        <v>8187</v>
      </c>
      <c r="I147" s="245" t="s">
        <v>8652</v>
      </c>
      <c r="J147" s="265" t="str">
        <f>HYPERLINK("https://www.google.com/maps/search/Praia%20Fluvial%20de%20Copacabana%20%E2%80%94%20Barreiro%20Lisboa%20Portugal/@38.6578,-9.0714,17z","🏊 Praia Fluvial de Copacabana…")</f>
        <v>🏊 Praia Fluvial de Copacabana…</v>
      </c>
    </row>
    <row r="148" spans="1:10" ht="22" customHeight="1" x14ac:dyDescent="0.35">
      <c r="A148" s="1478" t="s">
        <v>8653</v>
      </c>
      <c r="B148" s="1313"/>
      <c r="C148" s="1313"/>
      <c r="D148" s="1313"/>
      <c r="E148" s="1313"/>
      <c r="F148" s="1313"/>
      <c r="G148" s="1313"/>
      <c r="H148" s="1313"/>
      <c r="I148" s="1313"/>
      <c r="J148" s="1313"/>
    </row>
    <row r="149" spans="1:10" ht="110" customHeight="1" x14ac:dyDescent="0.35">
      <c r="A149" s="346">
        <v>1</v>
      </c>
      <c r="B149" s="267" t="s">
        <v>8654</v>
      </c>
      <c r="C149" s="268" t="s">
        <v>853</v>
      </c>
      <c r="D149" s="267" t="s">
        <v>1233</v>
      </c>
      <c r="E149" s="267" t="s">
        <v>6081</v>
      </c>
      <c r="F149" s="267" t="s">
        <v>1640</v>
      </c>
      <c r="G149" s="267" t="s">
        <v>8655</v>
      </c>
      <c r="H149" s="267" t="s">
        <v>8187</v>
      </c>
      <c r="I149" s="269" t="s">
        <v>8656</v>
      </c>
      <c r="J149" s="288" t="str">
        <f>HYPERLINK("https://www.google.com/maps/search/Azenhas%20do%20Guadiana%20%E2%80%94%20Praia%20Fluvial%20Alentejo%20Portugal/@37.6414,-7.6572,17z","🏊 Azenhas do Guadiana — Praia…")</f>
        <v>🏊 Azenhas do Guadiana — Praia…</v>
      </c>
    </row>
    <row r="150" spans="1:10" ht="110" customHeight="1" x14ac:dyDescent="0.35">
      <c r="A150" s="362">
        <v>2</v>
      </c>
      <c r="B150" s="270" t="s">
        <v>8657</v>
      </c>
      <c r="C150" s="271" t="s">
        <v>853</v>
      </c>
      <c r="D150" s="270" t="s">
        <v>2538</v>
      </c>
      <c r="E150" s="270" t="s">
        <v>8658</v>
      </c>
      <c r="F150" s="270" t="s">
        <v>8659</v>
      </c>
      <c r="G150" s="270" t="s">
        <v>8660</v>
      </c>
      <c r="H150" s="270" t="s">
        <v>8187</v>
      </c>
      <c r="I150" s="270" t="s">
        <v>8661</v>
      </c>
      <c r="J150" s="289" t="str">
        <f>HYPERLINK("https://www.google.com/maps/search/Praia%20Fluvial%20da%20Ribeira%20da%20Venda%20%E2%80%94%20Comenda%20Alentejo%20Portugal/@39.4589,-7.9433,17z","🏊 Praia Fluvial da Ribeira da…")</f>
        <v>🏊 Praia Fluvial da Ribeira da…</v>
      </c>
    </row>
    <row r="151" spans="1:10" ht="110" customHeight="1" x14ac:dyDescent="0.35">
      <c r="A151" s="346">
        <v>3</v>
      </c>
      <c r="B151" s="267" t="s">
        <v>8662</v>
      </c>
      <c r="C151" s="268" t="s">
        <v>853</v>
      </c>
      <c r="D151" s="267" t="s">
        <v>1412</v>
      </c>
      <c r="E151" s="267" t="s">
        <v>7980</v>
      </c>
      <c r="F151" s="267" t="s">
        <v>8663</v>
      </c>
      <c r="G151" s="267" t="s">
        <v>8664</v>
      </c>
      <c r="H151" s="267" t="s">
        <v>8226</v>
      </c>
      <c r="I151" s="267" t="s">
        <v>8665</v>
      </c>
      <c r="J151" s="288" t="str">
        <f>HYPERLINK("https://www.google.com/maps/search/Praia%20Fluvial%20de%20Monsaraz%20%E2%80%94%20Alqueva%20Alentejo%20Portugal/@38.4451,-7.3791,17z","🏊 Praia Fluvial de Monsaraz —…")</f>
        <v>🏊 Praia Fluvial de Monsaraz —…</v>
      </c>
    </row>
    <row r="152" spans="1:10" ht="110" customHeight="1" x14ac:dyDescent="0.35">
      <c r="A152" s="362">
        <v>4</v>
      </c>
      <c r="B152" s="270" t="s">
        <v>8666</v>
      </c>
      <c r="C152" s="271" t="s">
        <v>853</v>
      </c>
      <c r="D152" s="270" t="s">
        <v>1233</v>
      </c>
      <c r="E152" s="270" t="s">
        <v>6081</v>
      </c>
      <c r="F152" s="270" t="s">
        <v>1640</v>
      </c>
      <c r="G152" s="270" t="s">
        <v>8667</v>
      </c>
      <c r="H152" s="270" t="s">
        <v>8226</v>
      </c>
      <c r="I152" s="270" t="s">
        <v>8668</v>
      </c>
      <c r="J152" s="289" t="str">
        <f>HYPERLINK("https://www.google.com/maps/search/Praia%20Fluvial%20da%20Tapada%20Grande%20%E2%80%94%20Mina%20de%20S%C3%A3o%20Domingos%20Alentejo%20Portugal/@37.6414,-7.6572,17z","🏊 Praia Fluvial da Tapada Gra…")</f>
        <v>🏊 Praia Fluvial da Tapada Gra…</v>
      </c>
    </row>
    <row r="153" spans="1:10" ht="110" customHeight="1" x14ac:dyDescent="0.35">
      <c r="A153" s="346">
        <v>5</v>
      </c>
      <c r="B153" s="267" t="s">
        <v>8669</v>
      </c>
      <c r="C153" s="268" t="s">
        <v>853</v>
      </c>
      <c r="D153" s="267" t="s">
        <v>2538</v>
      </c>
      <c r="E153" s="267" t="s">
        <v>7470</v>
      </c>
      <c r="F153" s="267" t="s">
        <v>8670</v>
      </c>
      <c r="G153" s="267" t="s">
        <v>8671</v>
      </c>
      <c r="H153" s="267" t="s">
        <v>8226</v>
      </c>
      <c r="I153" s="267" t="s">
        <v>8672</v>
      </c>
      <c r="J153" s="288" t="str">
        <f>HYPERLINK("https://www.google.com/maps/search/Praia%20Fluvial%20de%20Avis%20%E2%80%94%20Albufeira%20do%20Maranh%C3%A3o%20Alentejo%20Portugal/@39.0711,-7.9011,17z","🏊 Praia Fluvial de Avis — Alb…")</f>
        <v>🏊 Praia Fluvial de Avis — Alb…</v>
      </c>
    </row>
    <row r="154" spans="1:10" ht="110" customHeight="1" x14ac:dyDescent="0.35">
      <c r="A154" s="362">
        <v>6</v>
      </c>
      <c r="B154" s="270" t="s">
        <v>8673</v>
      </c>
      <c r="C154" s="271" t="s">
        <v>853</v>
      </c>
      <c r="D154" s="270" t="s">
        <v>1233</v>
      </c>
      <c r="E154" s="270" t="s">
        <v>8674</v>
      </c>
      <c r="F154" s="270" t="s">
        <v>8675</v>
      </c>
      <c r="G154" s="270" t="s">
        <v>8676</v>
      </c>
      <c r="H154" s="270" t="s">
        <v>8187</v>
      </c>
      <c r="I154" s="270" t="s">
        <v>8677</v>
      </c>
      <c r="J154" s="289" t="str">
        <f>HYPERLINK("https://www.google.com/maps/search/Praia%20Fluvial%20de%20Albergaria%20dos%20Fusos%20%E2%80%94%20Cuba%20Alentejo%20Portugal/@38.1633,-7.8964,17z","🏊 Praia Fluvial de Albergaria…")</f>
        <v>🏊 Praia Fluvial de Albergaria…</v>
      </c>
    </row>
    <row r="155" spans="1:10" ht="110" customHeight="1" x14ac:dyDescent="0.35">
      <c r="A155" s="346">
        <v>7</v>
      </c>
      <c r="B155" s="267" t="s">
        <v>8678</v>
      </c>
      <c r="C155" s="268" t="s">
        <v>853</v>
      </c>
      <c r="D155" s="267" t="s">
        <v>1233</v>
      </c>
      <c r="E155" s="267" t="s">
        <v>2143</v>
      </c>
      <c r="F155" s="267" t="s">
        <v>8679</v>
      </c>
      <c r="G155" s="267" t="s">
        <v>8680</v>
      </c>
      <c r="H155" s="267" t="s">
        <v>8217</v>
      </c>
      <c r="I155" s="267" t="s">
        <v>8681</v>
      </c>
      <c r="J155" s="288" t="str">
        <f>HYPERLINK("https://www.google.com/maps/search/Pego%20das%20Pias%20%E2%80%94%20Praia%20Fluvial%20Selvagem%20Alentejo%20Portugal/@37.5964,-8.633,17z","🏊 Pego das Pias — Praia Fluvi…")</f>
        <v>🏊 Pego das Pias — Praia Fluvi…</v>
      </c>
    </row>
    <row r="156" spans="1:10" ht="110" customHeight="1" x14ac:dyDescent="0.35">
      <c r="A156" s="362">
        <v>8</v>
      </c>
      <c r="B156" s="270" t="s">
        <v>8682</v>
      </c>
      <c r="C156" s="271" t="s">
        <v>853</v>
      </c>
      <c r="D156" s="270" t="s">
        <v>1412</v>
      </c>
      <c r="E156" s="270" t="s">
        <v>2159</v>
      </c>
      <c r="F156" s="270" t="s">
        <v>8683</v>
      </c>
      <c r="G156" s="270" t="s">
        <v>8684</v>
      </c>
      <c r="H156" s="270" t="s">
        <v>8226</v>
      </c>
      <c r="I156" s="270" t="s">
        <v>8685</v>
      </c>
      <c r="J156" s="289" t="str">
        <f>HYPERLINK("https://www.google.com/maps/search/Praia%20Fluvial%20de%20Azenhas%20d%27El%20Rei%20%E2%80%94%20Alandroal%20Alentejo%20Portugal/@38.705,-7.3989,17z","🏊 Praia Fluvial de Azenhas d'…")</f>
        <v>🏊 Praia Fluvial de Azenhas d'…</v>
      </c>
    </row>
    <row r="157" spans="1:10" ht="110" customHeight="1" x14ac:dyDescent="0.35">
      <c r="A157" s="346">
        <v>9</v>
      </c>
      <c r="B157" s="267" t="s">
        <v>8686</v>
      </c>
      <c r="C157" s="268" t="s">
        <v>853</v>
      </c>
      <c r="D157" s="267" t="s">
        <v>1412</v>
      </c>
      <c r="E157" s="267" t="s">
        <v>8687</v>
      </c>
      <c r="F157" s="267" t="s">
        <v>8688</v>
      </c>
      <c r="G157" s="267" t="s">
        <v>8664</v>
      </c>
      <c r="H157" s="267" t="s">
        <v>8187</v>
      </c>
      <c r="I157" s="269" t="s">
        <v>8689</v>
      </c>
      <c r="J157" s="288" t="str">
        <f>HYPERLINK("https://www.google.com/maps/search/Praia%20Fluvial%20de%20Alqueva%20%E2%80%94%20Portel%20Alentejo%20Portugal/@38.3075,-7.705,17z","🏊 Praia Fluvial de Alqueva — …")</f>
        <v>🏊 Praia Fluvial de Alqueva — …</v>
      </c>
    </row>
    <row r="158" spans="1:10" ht="110" customHeight="1" x14ac:dyDescent="0.35">
      <c r="A158" s="362">
        <v>10</v>
      </c>
      <c r="B158" s="270" t="s">
        <v>8690</v>
      </c>
      <c r="C158" s="271" t="s">
        <v>853</v>
      </c>
      <c r="D158" s="270" t="s">
        <v>2538</v>
      </c>
      <c r="E158" s="270" t="s">
        <v>8691</v>
      </c>
      <c r="F158" s="270" t="s">
        <v>8692</v>
      </c>
      <c r="G158" s="270" t="s">
        <v>8693</v>
      </c>
      <c r="H158" s="270" t="s">
        <v>8187</v>
      </c>
      <c r="I158" s="270" t="s">
        <v>8694</v>
      </c>
      <c r="J158" s="289" t="str">
        <f>HYPERLINK("https://www.google.com/maps/search/Praia%20Fluvial%20da%20Barragem%20de%20Montargil%20Alentejo%20Portugal/@39.2475,-8.0114,17z","🏊 Praia Fluvial da Barragem d…")</f>
        <v>🏊 Praia Fluvial da Barragem d…</v>
      </c>
    </row>
    <row r="159" spans="1:10" ht="110" customHeight="1" x14ac:dyDescent="0.35">
      <c r="A159" s="346">
        <v>11</v>
      </c>
      <c r="B159" s="267" t="s">
        <v>8695</v>
      </c>
      <c r="C159" s="268" t="s">
        <v>853</v>
      </c>
      <c r="D159" s="267" t="s">
        <v>1412</v>
      </c>
      <c r="E159" s="267" t="s">
        <v>6383</v>
      </c>
      <c r="F159" s="267" t="s">
        <v>8696</v>
      </c>
      <c r="G159" s="267" t="s">
        <v>8697</v>
      </c>
      <c r="H159" s="267" t="s">
        <v>8187</v>
      </c>
      <c r="I159" s="267" t="s">
        <v>8698</v>
      </c>
      <c r="J159" s="288" t="str">
        <f>HYPERLINK("https://www.google.com/maps/search/Praia%20Fluvial%20do%20Gameiro%20%E2%80%94%20Cabe%C3%A7%C3%A3o%2C%20Mora%20Alentejo%20Portugal/@38.9403,-8.1594,17z","🏊 Praia Fluvial do Gameiro — …")</f>
        <v>🏊 Praia Fluvial do Gameiro — …</v>
      </c>
    </row>
    <row r="160" spans="1:10" ht="110" customHeight="1" x14ac:dyDescent="0.35">
      <c r="A160" s="362">
        <v>12</v>
      </c>
      <c r="B160" s="270" t="s">
        <v>8699</v>
      </c>
      <c r="C160" s="271" t="s">
        <v>853</v>
      </c>
      <c r="D160" s="270" t="s">
        <v>1233</v>
      </c>
      <c r="E160" s="270" t="s">
        <v>2143</v>
      </c>
      <c r="F160" s="270" t="s">
        <v>8344</v>
      </c>
      <c r="G160" s="270" t="s">
        <v>8700</v>
      </c>
      <c r="H160" s="270" t="s">
        <v>8226</v>
      </c>
      <c r="I160" s="270" t="s">
        <v>8701</v>
      </c>
      <c r="J160" s="289" t="str">
        <f>HYPERLINK("https://www.google.com/maps/search/Praia%20Fluvial%20de%20Santa%20Clara%20%E2%80%94%20Odemira%20Alentejo%20Portugal/@37.5964,-8.633,17z","🏊 Praia Fluvial de Santa Clar…")</f>
        <v>🏊 Praia Fluvial de Santa Clar…</v>
      </c>
    </row>
    <row r="161" spans="1:10" ht="110" customHeight="1" x14ac:dyDescent="0.35">
      <c r="A161" s="346">
        <v>13</v>
      </c>
      <c r="B161" s="267" t="s">
        <v>8702</v>
      </c>
      <c r="C161" s="268" t="s">
        <v>853</v>
      </c>
      <c r="D161" s="267" t="s">
        <v>1233</v>
      </c>
      <c r="E161" s="267" t="s">
        <v>8703</v>
      </c>
      <c r="F161" s="267" t="s">
        <v>2045</v>
      </c>
      <c r="G161" s="267" t="s">
        <v>8704</v>
      </c>
      <c r="H161" s="267" t="s">
        <v>8187</v>
      </c>
      <c r="I161" s="267" t="s">
        <v>8705</v>
      </c>
      <c r="J161" s="288" t="str">
        <f>HYPERLINK("https://www.google.com/maps/search/Praia%20Fluvial%20de%20Odivelas%20%E2%80%94%20Ferreira%20do%20Alentejo%20Portugal/@38.0544,-8.1133,17z","🏊 Praia Fluvial de Odivelas —…")</f>
        <v>🏊 Praia Fluvial de Odivelas —…</v>
      </c>
    </row>
    <row r="162" spans="1:10" ht="110" customHeight="1" x14ac:dyDescent="0.35">
      <c r="A162" s="362">
        <v>14</v>
      </c>
      <c r="B162" s="270" t="s">
        <v>8706</v>
      </c>
      <c r="C162" s="271" t="s">
        <v>853</v>
      </c>
      <c r="D162" s="270" t="s">
        <v>2538</v>
      </c>
      <c r="E162" s="270" t="s">
        <v>8658</v>
      </c>
      <c r="F162" s="270" t="s">
        <v>8659</v>
      </c>
      <c r="G162" s="270" t="s">
        <v>8437</v>
      </c>
      <c r="H162" s="270" t="s">
        <v>8226</v>
      </c>
      <c r="I162" s="270" t="s">
        <v>8707</v>
      </c>
      <c r="J162" s="289" t="str">
        <f>HYPERLINK("https://www.google.com/maps/search/Praia%20Fluvial%20do%20Alamal%20%E2%80%94%20Gavi%C3%A3o%20Alentejo%20Portugal/@39.4589,-7.9433,17z","🏊 Praia Fluvial do Alamal — G…")</f>
        <v>🏊 Praia Fluvial do Alamal — G…</v>
      </c>
    </row>
    <row r="163" spans="1:10" ht="22" customHeight="1" x14ac:dyDescent="0.35">
      <c r="A163" s="1477" t="s">
        <v>8135</v>
      </c>
      <c r="B163" s="1313"/>
      <c r="C163" s="1313"/>
      <c r="D163" s="1313"/>
      <c r="E163" s="1313"/>
      <c r="F163" s="1313"/>
      <c r="G163" s="1313"/>
      <c r="H163" s="1313"/>
      <c r="I163" s="1313"/>
      <c r="J163" s="1313"/>
    </row>
    <row r="164" spans="1:10" ht="110" customHeight="1" x14ac:dyDescent="0.35">
      <c r="A164" s="348">
        <v>1</v>
      </c>
      <c r="B164" s="273" t="s">
        <v>8708</v>
      </c>
      <c r="C164" s="274" t="s">
        <v>767</v>
      </c>
      <c r="D164" s="273" t="s">
        <v>5761</v>
      </c>
      <c r="E164" s="273" t="s">
        <v>5532</v>
      </c>
      <c r="F164" s="273" t="s">
        <v>8709</v>
      </c>
      <c r="G164" s="273" t="s">
        <v>8710</v>
      </c>
      <c r="H164" s="273" t="s">
        <v>8187</v>
      </c>
      <c r="I164" s="273" t="s">
        <v>8711</v>
      </c>
      <c r="J164" s="275" t="str">
        <f>HYPERLINK("https://www.google.com/maps/search/Praia%20Fluvial%20da%20Barragem%20de%20Odeleite%20Algarve%20Portugal/@37.2152,-7.4424,17z","🏊 Praia Fluvial da Barragem d…")</f>
        <v>🏊 Praia Fluvial da Barragem d…</v>
      </c>
    </row>
    <row r="165" spans="1:10" ht="110" customHeight="1" x14ac:dyDescent="0.35">
      <c r="A165" s="354">
        <v>2</v>
      </c>
      <c r="B165" s="277" t="s">
        <v>8712</v>
      </c>
      <c r="C165" s="278" t="s">
        <v>767</v>
      </c>
      <c r="D165" s="277" t="s">
        <v>5761</v>
      </c>
      <c r="E165" s="277" t="s">
        <v>7499</v>
      </c>
      <c r="F165" s="277" t="s">
        <v>8713</v>
      </c>
      <c r="G165" s="277" t="s">
        <v>8714</v>
      </c>
      <c r="H165" s="277" t="s">
        <v>8187</v>
      </c>
      <c r="I165" s="277" t="s">
        <v>8715</v>
      </c>
      <c r="J165" s="280" t="str">
        <f>HYPERLINK("https://www.google.com/maps/search/Praia%20Fluvial%20do%20Pego%20Fundo%20%E2%80%94%20Alcoutim%20Algarve%20Portugal/@37.4717,-7.4756,17z","🏊 Praia Fluvial do Pego Fundo…")</f>
        <v>🏊 Praia Fluvial do Pego Fundo…</v>
      </c>
    </row>
    <row r="166" spans="1:10" ht="110" customHeight="1" x14ac:dyDescent="0.35">
      <c r="A166" s="348">
        <v>3</v>
      </c>
      <c r="B166" s="273" t="s">
        <v>8716</v>
      </c>
      <c r="C166" s="274" t="s">
        <v>767</v>
      </c>
      <c r="D166" s="273" t="s">
        <v>5761</v>
      </c>
      <c r="E166" s="273" t="s">
        <v>2194</v>
      </c>
      <c r="F166" s="273" t="s">
        <v>8717</v>
      </c>
      <c r="G166" s="273" t="s">
        <v>8718</v>
      </c>
      <c r="H166" s="273" t="s">
        <v>8226</v>
      </c>
      <c r="I166" s="276" t="s">
        <v>8719</v>
      </c>
      <c r="J166" s="275" t="str">
        <f>HYPERLINK("https://www.google.com/maps/search/Praia%20Fluvial%20de%20Odeceixe%20%E2%80%94%20Aljezur%20Algarve%20Portugal/@37.32,-8.7994,17z","🏊 Praia Fluvial de Odeceixe —…")</f>
        <v>🏊 Praia Fluvial de Odeceixe —…</v>
      </c>
    </row>
    <row r="167" spans="1:10" ht="110" customHeight="1" x14ac:dyDescent="0.35">
      <c r="A167" s="354">
        <v>4</v>
      </c>
      <c r="B167" s="277" t="s">
        <v>8720</v>
      </c>
      <c r="C167" s="278" t="s">
        <v>767</v>
      </c>
      <c r="D167" s="277" t="s">
        <v>5761</v>
      </c>
      <c r="E167" s="277" t="s">
        <v>2194</v>
      </c>
      <c r="F167" s="277" t="s">
        <v>8717</v>
      </c>
      <c r="G167" s="277" t="s">
        <v>8721</v>
      </c>
      <c r="H167" s="277" t="s">
        <v>8187</v>
      </c>
      <c r="I167" s="277" t="s">
        <v>8722</v>
      </c>
      <c r="J167" s="280" t="str">
        <f>HYPERLINK("https://www.google.com/maps/search/Praia%20Fluvial%20da%20Amoreira%20%E2%80%94%20Aljezur%20Algarve%20Portugal/@37.32,-8.7994,17z","🏊 Praia Fluvial da Amoreira —…")</f>
        <v>🏊 Praia Fluvial da Amoreira —…</v>
      </c>
    </row>
    <row r="169" spans="1:10" x14ac:dyDescent="0.35">
      <c r="A169" s="1353" t="s">
        <v>8723</v>
      </c>
      <c r="B169" s="1354"/>
      <c r="C169" s="1354"/>
      <c r="D169" s="1354"/>
      <c r="E169" s="1354"/>
      <c r="F169" s="1354"/>
      <c r="G169" s="1354"/>
      <c r="H169" s="1354"/>
      <c r="I169" s="1354"/>
      <c r="J169" s="1354"/>
    </row>
    <row r="171" spans="1:10" ht="22" customHeight="1" x14ac:dyDescent="0.35">
      <c r="A171" s="1370" t="s">
        <v>6909</v>
      </c>
      <c r="B171" s="1313"/>
      <c r="C171" s="1313"/>
      <c r="D171" s="1313"/>
      <c r="E171" s="1313"/>
      <c r="F171" s="1313"/>
      <c r="G171" s="1313"/>
      <c r="H171" s="1313"/>
      <c r="I171" s="1313"/>
      <c r="J171" s="1313"/>
    </row>
    <row r="172" spans="1:10" ht="110" customHeight="1" x14ac:dyDescent="0.35">
      <c r="A172" s="350">
        <v>1</v>
      </c>
      <c r="B172" s="251" t="s">
        <v>8724</v>
      </c>
      <c r="C172" s="251" t="s">
        <v>524</v>
      </c>
      <c r="D172" s="251" t="s">
        <v>5999</v>
      </c>
      <c r="E172" s="251" t="s">
        <v>5999</v>
      </c>
      <c r="F172" s="251" t="s">
        <v>6705</v>
      </c>
      <c r="G172" s="251" t="s">
        <v>8725</v>
      </c>
      <c r="H172" s="251" t="s">
        <v>8226</v>
      </c>
      <c r="I172" s="253" t="s">
        <v>8726</v>
      </c>
      <c r="J172" s="291" t="str">
        <f>HYPERLINK("https://www.google.com/maps/search/Piscinas%20Porto%20Moniz/@32.8611,-17.1681,16z","📍 Piscinas Porto Moniz")</f>
        <v>📍 Piscinas Porto Moniz</v>
      </c>
    </row>
    <row r="173" spans="1:10" ht="110" customHeight="1" x14ac:dyDescent="0.35">
      <c r="A173" s="356">
        <v>2</v>
      </c>
      <c r="B173" s="254" t="s">
        <v>8727</v>
      </c>
      <c r="C173" s="254" t="s">
        <v>524</v>
      </c>
      <c r="D173" s="254" t="s">
        <v>8728</v>
      </c>
      <c r="E173" s="254" t="s">
        <v>8728</v>
      </c>
      <c r="F173" s="254" t="s">
        <v>8729</v>
      </c>
      <c r="G173" s="254" t="s">
        <v>8730</v>
      </c>
      <c r="H173" s="254" t="s">
        <v>8195</v>
      </c>
      <c r="I173" s="256" t="s">
        <v>8731</v>
      </c>
      <c r="J173" s="366" t="str">
        <f>HYPERLINK("https://www.google.com/maps/search/Piscinas%20Seixal%20Madeira/@32.8247,-17.1048,16z","📍 Piscinas Seixal Madeira")</f>
        <v>📍 Piscinas Seixal Madeira</v>
      </c>
    </row>
    <row r="174" spans="1:10" ht="110" customHeight="1" x14ac:dyDescent="0.35">
      <c r="A174" s="350">
        <v>3</v>
      </c>
      <c r="B174" s="251" t="s">
        <v>8732</v>
      </c>
      <c r="C174" s="251" t="s">
        <v>524</v>
      </c>
      <c r="D174" s="251" t="s">
        <v>8733</v>
      </c>
      <c r="E174" s="251" t="s">
        <v>8733</v>
      </c>
      <c r="F174" s="251" t="s">
        <v>8734</v>
      </c>
      <c r="G174" s="251" t="s">
        <v>8735</v>
      </c>
      <c r="H174" s="251" t="s">
        <v>1357</v>
      </c>
      <c r="I174" s="253" t="s">
        <v>8736</v>
      </c>
      <c r="J174" s="291" t="str">
        <f>HYPERLINK("https://www.google.com/maps/search/Raba%C3%A7al%2025%20Fontes%20Madeira/@32.7631,-17.0571,16z","📍 Rabaçal 25 Fontes Madeira")</f>
        <v>📍 Rabaçal 25 Fontes Madeira</v>
      </c>
    </row>
    <row r="175" spans="1:10" ht="110" customHeight="1" x14ac:dyDescent="0.35">
      <c r="A175" s="356">
        <v>4</v>
      </c>
      <c r="B175" s="254" t="s">
        <v>8737</v>
      </c>
      <c r="C175" s="254" t="s">
        <v>524</v>
      </c>
      <c r="D175" s="254" t="s">
        <v>1065</v>
      </c>
      <c r="E175" s="254" t="s">
        <v>3141</v>
      </c>
      <c r="F175" s="254" t="s">
        <v>8738</v>
      </c>
      <c r="G175" s="254" t="s">
        <v>8739</v>
      </c>
      <c r="H175" s="254" t="s">
        <v>8226</v>
      </c>
      <c r="I175" s="256" t="s">
        <v>8740</v>
      </c>
      <c r="J175" s="366" t="str">
        <f>HYPERLINK("https://www.google.com/maps/search/Piscinas%20Biscoitos%20Terceira/@38.8203,-27.25,16z","📍 Piscinas Biscoitos Terceira")</f>
        <v>📍 Piscinas Biscoitos Terceira</v>
      </c>
    </row>
    <row r="177" spans="1:10" ht="22" customHeight="1" x14ac:dyDescent="0.35">
      <c r="A177" s="1369" t="s">
        <v>8149</v>
      </c>
      <c r="B177" s="1313"/>
      <c r="C177" s="1313"/>
      <c r="D177" s="1313"/>
      <c r="E177" s="1313"/>
      <c r="F177" s="1313"/>
      <c r="G177" s="1313"/>
      <c r="H177" s="1313"/>
      <c r="I177" s="1313"/>
      <c r="J177" s="1313"/>
    </row>
    <row r="178" spans="1:10" ht="110" customHeight="1" x14ac:dyDescent="0.35">
      <c r="A178" s="344">
        <v>1</v>
      </c>
      <c r="B178" s="281" t="s">
        <v>886</v>
      </c>
      <c r="C178" s="281" t="s">
        <v>522</v>
      </c>
      <c r="D178" s="281" t="s">
        <v>2815</v>
      </c>
      <c r="E178" s="281" t="s">
        <v>1086</v>
      </c>
      <c r="F178" s="281" t="s">
        <v>8741</v>
      </c>
      <c r="G178" s="281" t="s">
        <v>8742</v>
      </c>
      <c r="H178" s="281" t="s">
        <v>8743</v>
      </c>
      <c r="I178" s="283" t="s">
        <v>8744</v>
      </c>
      <c r="J178" s="290" t="str">
        <f>HYPERLINK("https://www.google.com/maps/search/Sete%20Cidades%20Lagoa/@37.7894,-25.7861,16z","📍 Sete Cidades Lagoa")</f>
        <v>📍 Sete Cidades Lagoa</v>
      </c>
    </row>
    <row r="179" spans="1:10" ht="110" customHeight="1" x14ac:dyDescent="0.35">
      <c r="A179" s="342">
        <v>2</v>
      </c>
      <c r="B179" s="284" t="s">
        <v>8745</v>
      </c>
      <c r="C179" s="284" t="s">
        <v>522</v>
      </c>
      <c r="D179" s="284" t="s">
        <v>2815</v>
      </c>
      <c r="E179" s="284" t="s">
        <v>6024</v>
      </c>
      <c r="F179" s="284" t="s">
        <v>8746</v>
      </c>
      <c r="G179" s="284" t="s">
        <v>8747</v>
      </c>
      <c r="H179" s="284" t="s">
        <v>1357</v>
      </c>
      <c r="I179" s="285" t="s">
        <v>8748</v>
      </c>
      <c r="J179" s="364" t="str">
        <f>HYPERLINK("https://www.google.com/maps/search/Lagoa%20do%20Fogo%20S%C3%A3o%20Miguel/@37.7228,-25.4672,16z","📍 Lagoa do Fogo São Miguel")</f>
        <v>📍 Lagoa do Fogo São Miguel</v>
      </c>
    </row>
    <row r="180" spans="1:10" ht="110" customHeight="1" x14ac:dyDescent="0.35">
      <c r="A180" s="344">
        <v>3</v>
      </c>
      <c r="B180" s="281" t="s">
        <v>8749</v>
      </c>
      <c r="C180" s="281" t="s">
        <v>522</v>
      </c>
      <c r="D180" s="281" t="s">
        <v>2815</v>
      </c>
      <c r="E180" s="281" t="s">
        <v>6024</v>
      </c>
      <c r="F180" s="281" t="s">
        <v>8750</v>
      </c>
      <c r="G180" s="281" t="s">
        <v>8751</v>
      </c>
      <c r="H180" s="281" t="s">
        <v>8752</v>
      </c>
      <c r="I180" s="283" t="s">
        <v>8753</v>
      </c>
      <c r="J180" s="290" t="str">
        <f>HYPERLINK("https://www.google.com/maps/search/Caldeira%20Velha%20S%C3%A3o%20Miguel/@37.7833,-25.5133,16z","📍 Caldeira Velha São Miguel")</f>
        <v>📍 Caldeira Velha São Miguel</v>
      </c>
    </row>
    <row r="181" spans="1:10" ht="110" customHeight="1" x14ac:dyDescent="0.35">
      <c r="A181" s="342">
        <v>4</v>
      </c>
      <c r="B181" s="284" t="s">
        <v>8754</v>
      </c>
      <c r="C181" s="284" t="s">
        <v>522</v>
      </c>
      <c r="D181" s="284" t="s">
        <v>2815</v>
      </c>
      <c r="E181" s="284" t="s">
        <v>1086</v>
      </c>
      <c r="F181" s="284" t="s">
        <v>8755</v>
      </c>
      <c r="G181" s="284" t="s">
        <v>8756</v>
      </c>
      <c r="H181" s="284" t="s">
        <v>8757</v>
      </c>
      <c r="I181" s="285" t="s">
        <v>8758</v>
      </c>
      <c r="J181" s="364" t="str">
        <f>HYPERLINK("https://www.google.com/maps/search/Furnas%20Banhos%20Termais/@37.7689,-25.302,16z","📍 Furnas Banhos Termais")</f>
        <v>📍 Furnas Banhos Termais</v>
      </c>
    </row>
    <row r="182" spans="1:10" ht="110" customHeight="1" x14ac:dyDescent="0.35">
      <c r="A182" s="344">
        <v>5</v>
      </c>
      <c r="B182" s="281" t="s">
        <v>8759</v>
      </c>
      <c r="C182" s="281" t="s">
        <v>522</v>
      </c>
      <c r="D182" s="281" t="s">
        <v>2833</v>
      </c>
      <c r="E182" s="281" t="s">
        <v>8760</v>
      </c>
      <c r="F182" s="281" t="s">
        <v>8760</v>
      </c>
      <c r="G182" s="281" t="s">
        <v>8761</v>
      </c>
      <c r="H182" s="281" t="s">
        <v>1357</v>
      </c>
      <c r="I182" s="283" t="s">
        <v>8762</v>
      </c>
      <c r="J182" s="290" t="str">
        <f>HYPERLINK("https://www.google.com/maps/search/Lagoa%20das%20Patas%20Flores/@39.4531,-31.1239,16z","📍 Lagoa das Patas Flores")</f>
        <v>📍 Lagoa das Patas Flores</v>
      </c>
    </row>
  </sheetData>
  <mergeCells count="10">
    <mergeCell ref="A177:J177"/>
    <mergeCell ref="A169:J169"/>
    <mergeCell ref="A138:J138"/>
    <mergeCell ref="A1:J1"/>
    <mergeCell ref="A148:J148"/>
    <mergeCell ref="A163:J163"/>
    <mergeCell ref="A4:J4"/>
    <mergeCell ref="A171:J171"/>
    <mergeCell ref="A2:J2"/>
    <mergeCell ref="A72:J7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79"/>
  <sheetViews>
    <sheetView workbookViewId="0">
      <pane ySplit="3" topLeftCell="A163" activePane="bottomLeft" state="frozen"/>
      <selection pane="bottomLeft" activeCell="D102" sqref="D102"/>
    </sheetView>
  </sheetViews>
  <sheetFormatPr defaultRowHeight="14.5" x14ac:dyDescent="0.35"/>
  <cols>
    <col min="1" max="1" width="4" customWidth="1"/>
    <col min="2" max="2" width="36" customWidth="1"/>
    <col min="3" max="3" width="12" customWidth="1"/>
    <col min="4" max="4" width="32" customWidth="1"/>
    <col min="5" max="5" width="22" customWidth="1"/>
    <col min="6" max="6" width="14" customWidth="1"/>
    <col min="7" max="7" width="18" customWidth="1"/>
    <col min="8" max="8" width="20" customWidth="1"/>
    <col min="9" max="9" width="52" customWidth="1"/>
    <col min="10" max="10" width="58" customWidth="1"/>
  </cols>
  <sheetData>
    <row r="1" spans="1:10" ht="32" customHeight="1" x14ac:dyDescent="0.35">
      <c r="A1" s="1527" t="s">
        <v>18366</v>
      </c>
      <c r="B1" s="1527"/>
      <c r="C1" s="1527"/>
      <c r="D1" s="1527"/>
      <c r="E1" s="1527"/>
      <c r="F1" s="1527"/>
      <c r="G1" s="1527"/>
      <c r="H1" s="1527"/>
      <c r="I1" s="1527"/>
      <c r="J1" s="1527"/>
    </row>
    <row r="2" spans="1:10" ht="16" customHeight="1" x14ac:dyDescent="0.35">
      <c r="A2" s="1528" t="s">
        <v>18367</v>
      </c>
      <c r="B2" s="1528"/>
      <c r="C2" s="1528"/>
      <c r="D2" s="1528"/>
      <c r="E2" s="1528"/>
      <c r="F2" s="1528"/>
      <c r="G2" s="1528"/>
      <c r="H2" s="1528"/>
      <c r="I2" s="1528"/>
      <c r="J2" s="1528"/>
    </row>
    <row r="3" spans="1:10" ht="24" customHeight="1" x14ac:dyDescent="0.35">
      <c r="A3" s="238" t="s">
        <v>141</v>
      </c>
      <c r="B3" s="238" t="s">
        <v>8763</v>
      </c>
      <c r="C3" s="238" t="s">
        <v>4370</v>
      </c>
      <c r="D3" s="238" t="s">
        <v>13178</v>
      </c>
      <c r="E3" s="238" t="s">
        <v>3080</v>
      </c>
      <c r="F3" s="238" t="s">
        <v>906</v>
      </c>
      <c r="G3" s="238" t="s">
        <v>18369</v>
      </c>
      <c r="H3" s="238" t="s">
        <v>18368</v>
      </c>
      <c r="I3" s="303" t="s">
        <v>8</v>
      </c>
      <c r="J3" s="238" t="s">
        <v>789</v>
      </c>
    </row>
    <row r="4" spans="1:10" ht="22" customHeight="1" x14ac:dyDescent="0.35">
      <c r="A4" s="1479" t="s">
        <v>8765</v>
      </c>
      <c r="B4" s="1313"/>
      <c r="C4" s="1313"/>
      <c r="D4" s="1313"/>
      <c r="E4" s="1313"/>
      <c r="F4" s="1313"/>
      <c r="G4" s="1313"/>
      <c r="H4" s="1313"/>
      <c r="I4" s="1313"/>
    </row>
    <row r="5" spans="1:10" ht="110" customHeight="1" x14ac:dyDescent="0.35">
      <c r="A5" s="338">
        <v>1</v>
      </c>
      <c r="B5" s="239" t="s">
        <v>8766</v>
      </c>
      <c r="C5" s="240" t="s">
        <v>8767</v>
      </c>
      <c r="D5" s="239" t="s">
        <v>8768</v>
      </c>
      <c r="E5" s="239" t="s">
        <v>8769</v>
      </c>
      <c r="F5" s="239" t="s">
        <v>8770</v>
      </c>
      <c r="G5" s="239" t="s">
        <v>3096</v>
      </c>
      <c r="H5" s="239" t="s">
        <v>3096</v>
      </c>
      <c r="I5" s="304" t="s">
        <v>8771</v>
      </c>
      <c r="J5" s="257" t="str">
        <f>HYPERLINK("https://www.google.com/maps/search/A%20Queijeira%20do%20Raba%C3%A7al%20Portugal/@40.0253,-8.3844,17z","🧀 A Queijeira do Rabaçal")</f>
        <v>🧀 A Queijeira do Rabaçal</v>
      </c>
    </row>
    <row r="6" spans="1:10" ht="110" customHeight="1" x14ac:dyDescent="0.35">
      <c r="A6" s="336">
        <v>2</v>
      </c>
      <c r="B6" s="242" t="s">
        <v>8772</v>
      </c>
      <c r="C6" s="243" t="s">
        <v>8767</v>
      </c>
      <c r="D6" s="242" t="s">
        <v>2452</v>
      </c>
      <c r="E6" s="242" t="s">
        <v>8767</v>
      </c>
      <c r="F6" s="242" t="s">
        <v>8773</v>
      </c>
      <c r="G6" s="242" t="s">
        <v>3096</v>
      </c>
      <c r="H6" s="242" t="s">
        <v>3096</v>
      </c>
      <c r="I6" s="305" t="s">
        <v>8774</v>
      </c>
      <c r="J6" s="258" t="str">
        <f>HYPERLINK("https://www.google.com/maps/search/Agostinho%20Saraiva%20Pais%20%E2%80%93%20Queijaria%20Tia%20Am%C3%A9lia%20Serra%20da%20Estrela%20Portugal/@40.6361,-7.3956,17z","🧀 Agostinho Saraiva Pais – Qu…")</f>
        <v>🧀 Agostinho Saraiva Pais – Qu…</v>
      </c>
    </row>
    <row r="7" spans="1:10" ht="110" customHeight="1" x14ac:dyDescent="0.35">
      <c r="A7" s="338">
        <v>3</v>
      </c>
      <c r="B7" s="239" t="s">
        <v>8775</v>
      </c>
      <c r="C7" s="240" t="s">
        <v>8776</v>
      </c>
      <c r="D7" s="239" t="s">
        <v>2452</v>
      </c>
      <c r="E7" s="239" t="s">
        <v>8777</v>
      </c>
      <c r="F7" s="239" t="s">
        <v>8778</v>
      </c>
      <c r="G7" s="239" t="s">
        <v>3096</v>
      </c>
      <c r="H7" s="239" t="s">
        <v>3096</v>
      </c>
      <c r="I7" s="304" t="s">
        <v>8779</v>
      </c>
      <c r="J7" s="257" t="str">
        <f>HYPERLINK("https://www.google.com/maps/search/Agroturismo%20Vale%20do%20Beijames%20Serra%20da%20Estrela%20Portugal/@40.4047,-7.5433,17z","🧀 Agroturismo Vale do Beijames")</f>
        <v>🧀 Agroturismo Vale do Beijames</v>
      </c>
    </row>
    <row r="8" spans="1:10" ht="110" customHeight="1" x14ac:dyDescent="0.35">
      <c r="A8" s="336">
        <v>4</v>
      </c>
      <c r="B8" s="242" t="s">
        <v>8780</v>
      </c>
      <c r="C8" s="243" t="s">
        <v>8781</v>
      </c>
      <c r="D8" s="242" t="s">
        <v>8782</v>
      </c>
      <c r="E8" s="242" t="s">
        <v>8783</v>
      </c>
      <c r="F8" s="242" t="s">
        <v>8784</v>
      </c>
      <c r="G8" s="242" t="s">
        <v>3096</v>
      </c>
      <c r="H8" s="242" t="s">
        <v>3096</v>
      </c>
      <c r="I8" s="305" t="s">
        <v>8785</v>
      </c>
      <c r="J8" s="258" t="str">
        <f>HYPERLINK("https://www.google.com/maps/search/ApiJardins%20Beira%20Baixa%20Portugal/@39.9833,-7.65,17z","🧀 ApiJardins")</f>
        <v>🧀 ApiJardins</v>
      </c>
    </row>
    <row r="9" spans="1:10" ht="110" customHeight="1" x14ac:dyDescent="0.35">
      <c r="A9" s="338">
        <v>5</v>
      </c>
      <c r="B9" s="239" t="s">
        <v>8786</v>
      </c>
      <c r="C9" s="240" t="s">
        <v>8767</v>
      </c>
      <c r="D9" s="239" t="s">
        <v>8782</v>
      </c>
      <c r="E9" s="239" t="s">
        <v>8767</v>
      </c>
      <c r="F9" s="239" t="s">
        <v>8787</v>
      </c>
      <c r="G9" s="239" t="s">
        <v>3096</v>
      </c>
      <c r="H9" s="239" t="s">
        <v>3096</v>
      </c>
      <c r="I9" s="304" t="s">
        <v>8788</v>
      </c>
      <c r="J9" s="257" t="str">
        <f>HYPERLINK("https://www.google.com/maps/search/BeiraLacte%20%E2%80%93%20Lactic%C3%ADnios%20da%20Beira%20Baixa%20Portugal/@40.1386,-7.5014,17z","🧀 BeiraLacte – Lacticínios da…")</f>
        <v>🧀 BeiraLacte – Lacticínios da…</v>
      </c>
    </row>
    <row r="10" spans="1:10" ht="110" customHeight="1" x14ac:dyDescent="0.35">
      <c r="A10" s="336">
        <v>6</v>
      </c>
      <c r="B10" s="242" t="s">
        <v>8789</v>
      </c>
      <c r="C10" s="243" t="s">
        <v>8790</v>
      </c>
      <c r="D10" s="242" t="s">
        <v>2452</v>
      </c>
      <c r="E10" s="242" t="s">
        <v>8783</v>
      </c>
      <c r="F10" s="242" t="s">
        <v>8791</v>
      </c>
      <c r="G10" s="242" t="s">
        <v>3096</v>
      </c>
      <c r="H10" s="242" t="s">
        <v>3096</v>
      </c>
      <c r="I10" s="305" t="s">
        <v>8792</v>
      </c>
      <c r="J10" s="258" t="str">
        <f>HYPERLINK("https://www.google.com/maps/search/Burel%20Factory%20Serra%20da%20Estrela%20Portugal/@40.4047,-7.5433,17z","🧀 Burel Factory")</f>
        <v>🧀 Burel Factory</v>
      </c>
    </row>
    <row r="11" spans="1:10" ht="110" customHeight="1" x14ac:dyDescent="0.35">
      <c r="A11" s="338">
        <v>7</v>
      </c>
      <c r="B11" s="239" t="s">
        <v>7711</v>
      </c>
      <c r="C11" s="240" t="s">
        <v>8767</v>
      </c>
      <c r="D11" s="239" t="s">
        <v>2452</v>
      </c>
      <c r="E11" s="239" t="s">
        <v>8793</v>
      </c>
      <c r="F11" s="239" t="s">
        <v>8794</v>
      </c>
      <c r="G11" s="239" t="s">
        <v>3096</v>
      </c>
      <c r="H11" s="239" t="s">
        <v>3096</v>
      </c>
      <c r="I11" s="304" t="s">
        <v>8774</v>
      </c>
      <c r="J11" s="257" t="str">
        <f>HYPERLINK("https://www.google.com/maps/search/Casa%20da%20%C3%8Dnsua%20Serra%20da%20Estrela%20Portugal/@40.6619,-7.6908,17z","🧀 Casa da Ínsua")</f>
        <v>🧀 Casa da Ínsua</v>
      </c>
    </row>
    <row r="12" spans="1:10" ht="110" customHeight="1" x14ac:dyDescent="0.35">
      <c r="A12" s="336">
        <v>8</v>
      </c>
      <c r="B12" s="242" t="s">
        <v>8795</v>
      </c>
      <c r="C12" s="243" t="s">
        <v>8790</v>
      </c>
      <c r="D12" s="242" t="s">
        <v>2452</v>
      </c>
      <c r="E12" s="242" t="s">
        <v>8796</v>
      </c>
      <c r="F12" s="242" t="s">
        <v>8797</v>
      </c>
      <c r="G12" s="242" t="s">
        <v>3096</v>
      </c>
      <c r="H12" s="242" t="s">
        <v>3096</v>
      </c>
      <c r="I12" s="305" t="s">
        <v>8798</v>
      </c>
      <c r="J12" s="258" t="str">
        <f>HYPERLINK("https://www.google.com/maps/search/Casa%20das%20Palmeiras%20Serra%20da%20Estrela%20Portugal/@40.6014,-7.7661,17z","🧀 Casa das Palmeiras")</f>
        <v>🧀 Casa das Palmeiras</v>
      </c>
    </row>
    <row r="13" spans="1:10" ht="110" customHeight="1" x14ac:dyDescent="0.35">
      <c r="A13" s="338">
        <v>9</v>
      </c>
      <c r="B13" s="239" t="s">
        <v>8799</v>
      </c>
      <c r="C13" s="240" t="s">
        <v>8790</v>
      </c>
      <c r="D13" s="239" t="s">
        <v>2452</v>
      </c>
      <c r="E13" s="239" t="s">
        <v>8783</v>
      </c>
      <c r="F13" s="239" t="s">
        <v>8800</v>
      </c>
      <c r="G13" s="239" t="s">
        <v>3096</v>
      </c>
      <c r="H13" s="239" t="s">
        <v>3096</v>
      </c>
      <c r="I13" s="304" t="s">
        <v>8792</v>
      </c>
      <c r="J13" s="257" t="str">
        <f>HYPERLINK("https://www.google.com/maps/search/Ecol%C3%A3%20Serra%20da%20Estrela%20Portugal/@40.4047,-7.5433,17z","🧀 Ecolã")</f>
        <v>🧀 Ecolã</v>
      </c>
    </row>
    <row r="14" spans="1:10" ht="110" customHeight="1" x14ac:dyDescent="0.35">
      <c r="A14" s="336">
        <v>10</v>
      </c>
      <c r="B14" s="242" t="s">
        <v>8801</v>
      </c>
      <c r="C14" s="243" t="s">
        <v>8767</v>
      </c>
      <c r="D14" s="242" t="s">
        <v>2452</v>
      </c>
      <c r="E14" s="242" t="s">
        <v>8767</v>
      </c>
      <c r="F14" s="242" t="s">
        <v>8802</v>
      </c>
      <c r="G14" s="242" t="s">
        <v>3096</v>
      </c>
      <c r="H14" s="242" t="s">
        <v>3096</v>
      </c>
      <c r="I14" s="305" t="s">
        <v>8774</v>
      </c>
      <c r="J14" s="258" t="str">
        <f>HYPERLINK("https://www.google.com/maps/search/Estrela%20Artesanal%20%E2%80%93%20Queijaria%2C%20Lda%20Serra%20da%20Estrela%20Portugal/@40.3594,-7.8622,17z","🧀 Estrela Artesanal – Queijar…")</f>
        <v>🧀 Estrela Artesanal – Queijar…</v>
      </c>
    </row>
    <row r="15" spans="1:10" ht="110" customHeight="1" x14ac:dyDescent="0.35">
      <c r="A15" s="338">
        <v>11</v>
      </c>
      <c r="B15" s="239" t="s">
        <v>4896</v>
      </c>
      <c r="C15" s="240" t="s">
        <v>8790</v>
      </c>
      <c r="D15" s="239" t="s">
        <v>2452</v>
      </c>
      <c r="E15" s="239" t="s">
        <v>8803</v>
      </c>
      <c r="F15" s="239" t="s">
        <v>8804</v>
      </c>
      <c r="G15" s="239" t="s">
        <v>3096</v>
      </c>
      <c r="H15" s="239" t="s">
        <v>3096</v>
      </c>
      <c r="I15" s="304" t="s">
        <v>8805</v>
      </c>
      <c r="J15" s="257" t="str">
        <f>HYPERLINK("https://www.google.com/maps/search/Museu%20do%20P%C3%A3o%20Serra%20da%20Estrela%20Portugal/@40.4175,-7.7019,17z","🧀 Museu do Pão")</f>
        <v>🧀 Museu do Pão</v>
      </c>
    </row>
    <row r="16" spans="1:10" ht="110" customHeight="1" x14ac:dyDescent="0.35">
      <c r="A16" s="336">
        <v>12</v>
      </c>
      <c r="B16" s="242" t="s">
        <v>8806</v>
      </c>
      <c r="C16" s="243" t="s">
        <v>8790</v>
      </c>
      <c r="D16" s="242" t="s">
        <v>2452</v>
      </c>
      <c r="E16" s="242" t="s">
        <v>8783</v>
      </c>
      <c r="F16" s="242" t="s">
        <v>8807</v>
      </c>
      <c r="G16" s="242" t="s">
        <v>3096</v>
      </c>
      <c r="H16" s="242" t="s">
        <v>3096</v>
      </c>
      <c r="I16" s="305" t="s">
        <v>8792</v>
      </c>
      <c r="J16" s="258" t="str">
        <f>HYPERLINK("https://www.google.com/maps/search/New%20Hand%20Lab%20Serra%20da%20Estrela%20Portugal/@40.2806,-7.5028,17z","🧀 New Hand Lab")</f>
        <v>🧀 New Hand Lab</v>
      </c>
    </row>
    <row r="17" spans="1:10" ht="110" customHeight="1" x14ac:dyDescent="0.35">
      <c r="A17" s="338">
        <v>13</v>
      </c>
      <c r="B17" s="239" t="s">
        <v>8808</v>
      </c>
      <c r="C17" s="240" t="s">
        <v>8767</v>
      </c>
      <c r="D17" s="239" t="s">
        <v>2452</v>
      </c>
      <c r="E17" s="239" t="s">
        <v>8769</v>
      </c>
      <c r="F17" s="239" t="s">
        <v>8809</v>
      </c>
      <c r="G17" s="239" t="s">
        <v>3096</v>
      </c>
      <c r="H17" s="239" t="s">
        <v>3096</v>
      </c>
      <c r="I17" s="304" t="s">
        <v>8774</v>
      </c>
      <c r="J17" s="257" t="str">
        <f>HYPERLINK("https://www.google.com/maps/search/Ponte%20dos%20Cavaleiros%20Serra%20da%20Estrela%20Portugal/@40.4969,-7.5931,17z","🧀 Ponte dos Cavaleiros")</f>
        <v>🧀 Ponte dos Cavaleiros</v>
      </c>
    </row>
    <row r="18" spans="1:10" ht="110" customHeight="1" x14ac:dyDescent="0.35">
      <c r="A18" s="336">
        <v>14</v>
      </c>
      <c r="B18" s="242" t="s">
        <v>8810</v>
      </c>
      <c r="C18" s="243" t="s">
        <v>8767</v>
      </c>
      <c r="D18" s="242" t="s">
        <v>8768</v>
      </c>
      <c r="E18" s="242" t="s">
        <v>8811</v>
      </c>
      <c r="F18" s="242" t="s">
        <v>8812</v>
      </c>
      <c r="G18" s="242" t="s">
        <v>3096</v>
      </c>
      <c r="H18" s="242" t="s">
        <v>3096</v>
      </c>
      <c r="I18" s="305" t="s">
        <v>8771</v>
      </c>
      <c r="J18" s="258" t="str">
        <f>HYPERLINK("https://www.google.com/maps/search/Prado%20da%20Sic%C3%B3%20Raba%C3%A7al%20Portugal/@40.0039,-8.4375,17z","🧀 Prado da Sicó")</f>
        <v>🧀 Prado da Sicó</v>
      </c>
    </row>
    <row r="19" spans="1:10" ht="110" customHeight="1" x14ac:dyDescent="0.35">
      <c r="A19" s="338">
        <v>15</v>
      </c>
      <c r="B19" s="239" t="s">
        <v>8813</v>
      </c>
      <c r="C19" s="240" t="s">
        <v>8767</v>
      </c>
      <c r="D19" s="239" t="s">
        <v>8782</v>
      </c>
      <c r="E19" s="239" t="s">
        <v>8767</v>
      </c>
      <c r="F19" s="239" t="s">
        <v>8814</v>
      </c>
      <c r="G19" s="239" t="s">
        <v>3096</v>
      </c>
      <c r="H19" s="239" t="s">
        <v>3096</v>
      </c>
      <c r="I19" s="304" t="s">
        <v>8788</v>
      </c>
      <c r="J19" s="257" t="str">
        <f>HYPERLINK("https://www.google.com/maps/search/Queijaria%20Almeida%20%E2%80%93%20Com%C3%A9rcio%20e%20Ind%C3%BAstria%20de%20Queijo%20Beira%20Baixa%20Portugal/@39.8197,-7.49,17z","🧀 Queijaria Almeida – Comérci…")</f>
        <v>🧀 Queijaria Almeida – Comérci…</v>
      </c>
    </row>
    <row r="20" spans="1:10" ht="110" customHeight="1" x14ac:dyDescent="0.35">
      <c r="A20" s="336">
        <v>16</v>
      </c>
      <c r="B20" s="242" t="s">
        <v>8815</v>
      </c>
      <c r="C20" s="243" t="s">
        <v>8767</v>
      </c>
      <c r="D20" s="242" t="s">
        <v>8782</v>
      </c>
      <c r="E20" s="242" t="s">
        <v>8767</v>
      </c>
      <c r="F20" s="242" t="s">
        <v>8816</v>
      </c>
      <c r="G20" s="242" t="s">
        <v>3096</v>
      </c>
      <c r="H20" s="242" t="s">
        <v>3096</v>
      </c>
      <c r="I20" s="305" t="s">
        <v>8788</v>
      </c>
      <c r="J20" s="258" t="str">
        <f>HYPERLINK("https://www.google.com/maps/search/Queijaria%20DAMAR%20%E2%80%93%20Queijos%20Tavares%20SA%20Beira%20Baixa%20Portugal/@40.1386,-7.5014,17z","🧀 Queijaria DAMAR – Queijos T…")</f>
        <v>🧀 Queijaria DAMAR – Queijos T…</v>
      </c>
    </row>
    <row r="21" spans="1:10" ht="110" customHeight="1" x14ac:dyDescent="0.35">
      <c r="A21" s="338">
        <v>17</v>
      </c>
      <c r="B21" s="239" t="s">
        <v>8817</v>
      </c>
      <c r="C21" s="240" t="s">
        <v>8767</v>
      </c>
      <c r="D21" s="239" t="s">
        <v>2452</v>
      </c>
      <c r="E21" s="239" t="s">
        <v>8767</v>
      </c>
      <c r="F21" s="239" t="s">
        <v>8818</v>
      </c>
      <c r="G21" s="239" t="s">
        <v>3096</v>
      </c>
      <c r="H21" s="239" t="s">
        <v>3096</v>
      </c>
      <c r="I21" s="304" t="s">
        <v>8774</v>
      </c>
      <c r="J21" s="257" t="str">
        <f>HYPERLINK("https://www.google.com/maps/search/Queijaria%20Dos%20Lobos%20Serra%20da%20Estrela%20Portugal/@40.3594,-7.8622,17z","🧀 Queijaria Dos Lobos")</f>
        <v>🧀 Queijaria Dos Lobos</v>
      </c>
    </row>
    <row r="22" spans="1:10" ht="110" customHeight="1" x14ac:dyDescent="0.35">
      <c r="A22" s="336">
        <v>18</v>
      </c>
      <c r="B22" s="242" t="s">
        <v>8819</v>
      </c>
      <c r="C22" s="243" t="s">
        <v>8767</v>
      </c>
      <c r="D22" s="242" t="s">
        <v>2452</v>
      </c>
      <c r="E22" s="242" t="s">
        <v>8767</v>
      </c>
      <c r="F22" s="242" t="s">
        <v>8820</v>
      </c>
      <c r="G22" s="242" t="s">
        <v>3096</v>
      </c>
      <c r="H22" s="242" t="s">
        <v>3096</v>
      </c>
      <c r="I22" s="305" t="s">
        <v>8774</v>
      </c>
      <c r="J22" s="258" t="str">
        <f>HYPERLINK("https://www.google.com/maps/search/Queijaria%20Lameiras%20Serra%20da%20Estrela%20Portugal/@40.5036,-7.8797,17z","🧀 Queijaria Lameiras")</f>
        <v>🧀 Queijaria Lameiras</v>
      </c>
    </row>
    <row r="23" spans="1:10" ht="110" customHeight="1" x14ac:dyDescent="0.35">
      <c r="A23" s="338">
        <v>19</v>
      </c>
      <c r="B23" s="239" t="s">
        <v>8821</v>
      </c>
      <c r="C23" s="240" t="s">
        <v>8767</v>
      </c>
      <c r="D23" s="239" t="s">
        <v>2452</v>
      </c>
      <c r="E23" s="239" t="s">
        <v>8767</v>
      </c>
      <c r="F23" s="239" t="s">
        <v>8822</v>
      </c>
      <c r="G23" s="239" t="s">
        <v>3096</v>
      </c>
      <c r="H23" s="239" t="s">
        <v>3096</v>
      </c>
      <c r="I23" s="304" t="s">
        <v>8774</v>
      </c>
      <c r="J23" s="257" t="str">
        <f>HYPERLINK("https://www.google.com/maps/search/Queijaria%20Quinta%20da%20Pena%20Serra%20da%20Estrela%20Portugal/@40.4175,-7.7019,17z","🧀 Queijaria Quinta da Pena")</f>
        <v>🧀 Queijaria Quinta da Pena</v>
      </c>
    </row>
    <row r="24" spans="1:10" ht="110" customHeight="1" x14ac:dyDescent="0.35">
      <c r="A24" s="336">
        <v>20</v>
      </c>
      <c r="B24" s="242" t="s">
        <v>8823</v>
      </c>
      <c r="C24" s="243" t="s">
        <v>8767</v>
      </c>
      <c r="D24" s="242" t="s">
        <v>8768</v>
      </c>
      <c r="E24" s="242" t="s">
        <v>8767</v>
      </c>
      <c r="F24" s="242" t="s">
        <v>8824</v>
      </c>
      <c r="G24" s="242" t="s">
        <v>3096</v>
      </c>
      <c r="H24" s="242" t="s">
        <v>3096</v>
      </c>
      <c r="I24" s="305" t="s">
        <v>8771</v>
      </c>
      <c r="J24" s="258" t="str">
        <f>HYPERLINK("https://www.google.com/maps/search/Queijaria%20da%20Lic%C3%ADnia%2C%20Lda%20Raba%C3%A7al%20Portugal/@40.0583,-8.6272,17z","🧀 Queijaria da Licínia, Lda")</f>
        <v>🧀 Queijaria da Licínia, Lda</v>
      </c>
    </row>
    <row r="25" spans="1:10" ht="110" customHeight="1" x14ac:dyDescent="0.35">
      <c r="A25" s="338">
        <v>21</v>
      </c>
      <c r="B25" s="239" t="s">
        <v>8825</v>
      </c>
      <c r="C25" s="240" t="s">
        <v>8767</v>
      </c>
      <c r="D25" s="239" t="s">
        <v>2452</v>
      </c>
      <c r="E25" s="239" t="s">
        <v>8767</v>
      </c>
      <c r="F25" s="239" t="s">
        <v>8826</v>
      </c>
      <c r="G25" s="239" t="s">
        <v>3096</v>
      </c>
      <c r="H25" s="239" t="s">
        <v>3096</v>
      </c>
      <c r="I25" s="304" t="s">
        <v>8774</v>
      </c>
      <c r="J25" s="257" t="str">
        <f>HYPERLINK("https://www.google.com/maps/search/Queijaria%20do%20Germil%20Serra%20da%20Estrela%20Portugal/@40.6619,-7.6908,17z","🧀 Queijaria do Germil")</f>
        <v>🧀 Queijaria do Germil</v>
      </c>
    </row>
    <row r="26" spans="1:10" ht="110" customHeight="1" x14ac:dyDescent="0.35">
      <c r="A26" s="336">
        <v>22</v>
      </c>
      <c r="B26" s="242" t="s">
        <v>8827</v>
      </c>
      <c r="C26" s="243" t="s">
        <v>8767</v>
      </c>
      <c r="D26" s="242" t="s">
        <v>2452</v>
      </c>
      <c r="E26" s="242" t="s">
        <v>8767</v>
      </c>
      <c r="F26" s="242" t="s">
        <v>8828</v>
      </c>
      <c r="G26" s="242" t="s">
        <v>3096</v>
      </c>
      <c r="H26" s="242" t="s">
        <v>3096</v>
      </c>
      <c r="I26" s="305" t="s">
        <v>8774</v>
      </c>
      <c r="J26" s="258" t="str">
        <f>HYPERLINK("https://www.google.com/maps/search/Quinta%20S%C3%A3o%20Cosme%20Serra%20da%20Estrela%20Portugal/@40.6222,-7.91,17z","🧀 Quinta São Cosme")</f>
        <v>🧀 Quinta São Cosme</v>
      </c>
    </row>
    <row r="27" spans="1:10" ht="110" customHeight="1" x14ac:dyDescent="0.35">
      <c r="A27" s="338">
        <v>23</v>
      </c>
      <c r="B27" s="239" t="s">
        <v>8829</v>
      </c>
      <c r="C27" s="240" t="s">
        <v>8767</v>
      </c>
      <c r="D27" s="239" t="s">
        <v>2452</v>
      </c>
      <c r="E27" s="239" t="s">
        <v>8767</v>
      </c>
      <c r="F27" s="239" t="s">
        <v>8830</v>
      </c>
      <c r="G27" s="239" t="s">
        <v>3096</v>
      </c>
      <c r="H27" s="239" t="s">
        <v>3096</v>
      </c>
      <c r="I27" s="304" t="s">
        <v>8774</v>
      </c>
      <c r="J27" s="257" t="str">
        <f>HYPERLINK("https://www.google.com/maps/search/Quinta%20da%20Estaca%20%E2%80%93%20Luc%C3%ADlia%20Rosa%20Assun%C3%A7%C3%A3o%20Loureiro%20Serra%20da%20Estrela%20Portugal/@40.5292,-7.8547,17z","🧀 Quinta da Estaca – Lucília …")</f>
        <v>🧀 Quinta da Estaca – Lucília …</v>
      </c>
    </row>
    <row r="28" spans="1:10" ht="110" customHeight="1" x14ac:dyDescent="0.35">
      <c r="A28" s="336">
        <v>24</v>
      </c>
      <c r="B28" s="242" t="s">
        <v>8831</v>
      </c>
      <c r="C28" s="243" t="s">
        <v>8767</v>
      </c>
      <c r="D28" s="242" t="s">
        <v>2452</v>
      </c>
      <c r="E28" s="242" t="s">
        <v>8767</v>
      </c>
      <c r="F28" s="242" t="s">
        <v>8832</v>
      </c>
      <c r="G28" s="242" t="s">
        <v>3096</v>
      </c>
      <c r="H28" s="242" t="s">
        <v>3096</v>
      </c>
      <c r="I28" s="305" t="s">
        <v>8774</v>
      </c>
      <c r="J28" s="258" t="str">
        <f>HYPERLINK("https://www.google.com/maps/search/Quinta%20do%20Cruzeiro%20Serra%20da%20Estrela%20Portugal/@40.3594,-7.8622,17z","🧀 Quinta do Cruzeiro")</f>
        <v>🧀 Quinta do Cruzeiro</v>
      </c>
    </row>
    <row r="29" spans="1:10" ht="110" customHeight="1" x14ac:dyDescent="0.35">
      <c r="A29" s="338">
        <v>25</v>
      </c>
      <c r="B29" s="239" t="s">
        <v>8833</v>
      </c>
      <c r="C29" s="240" t="s">
        <v>8767</v>
      </c>
      <c r="D29" s="239" t="s">
        <v>8782</v>
      </c>
      <c r="E29" s="239" t="s">
        <v>8767</v>
      </c>
      <c r="F29" s="239" t="s">
        <v>8834</v>
      </c>
      <c r="G29" s="239" t="s">
        <v>3096</v>
      </c>
      <c r="H29" s="239" t="s">
        <v>3096</v>
      </c>
      <c r="I29" s="304" t="s">
        <v>8788</v>
      </c>
      <c r="J29" s="257" t="str">
        <f>HYPERLINK("https://www.google.com/maps/search/Sabores%20da%20Soalheira%20Beira%20Baixa%20Portugal/@39.8197,-7.49,17z","🧀 Sabores da Soalheira")</f>
        <v>🧀 Sabores da Soalheira</v>
      </c>
    </row>
    <row r="30" spans="1:10" ht="110" customHeight="1" x14ac:dyDescent="0.35">
      <c r="A30" s="336">
        <v>26</v>
      </c>
      <c r="B30" s="242" t="s">
        <v>8835</v>
      </c>
      <c r="C30" s="243" t="s">
        <v>8767</v>
      </c>
      <c r="D30" s="242" t="s">
        <v>8768</v>
      </c>
      <c r="E30" s="242" t="s">
        <v>8767</v>
      </c>
      <c r="F30" s="242" t="s">
        <v>8836</v>
      </c>
      <c r="G30" s="242" t="s">
        <v>3096</v>
      </c>
      <c r="H30" s="242" t="s">
        <v>3096</v>
      </c>
      <c r="I30" s="305" t="s">
        <v>8771</v>
      </c>
      <c r="J30" s="258" t="str">
        <f>HYPERLINK("https://www.google.com/maps/search/Serras%20do%20Raba%C3%A7al%20Portugal/@40.0253,-8.3844,17z","🧀 Serras do Rabaçal")</f>
        <v>🧀 Serras do Rabaçal</v>
      </c>
    </row>
    <row r="31" spans="1:10" ht="110" customHeight="1" x14ac:dyDescent="0.35">
      <c r="A31" s="338">
        <v>27</v>
      </c>
      <c r="B31" s="239" t="s">
        <v>8837</v>
      </c>
      <c r="C31" s="240" t="s">
        <v>8767</v>
      </c>
      <c r="D31" s="239" t="s">
        <v>2452</v>
      </c>
      <c r="E31" s="239" t="s">
        <v>8767</v>
      </c>
      <c r="F31" s="239" t="s">
        <v>8838</v>
      </c>
      <c r="G31" s="239" t="s">
        <v>3096</v>
      </c>
      <c r="H31" s="239" t="s">
        <v>3096</v>
      </c>
      <c r="I31" s="304" t="s">
        <v>8774</v>
      </c>
      <c r="J31" s="257" t="str">
        <f>HYPERLINK("https://www.google.com/maps/search/Vale%20da%20Estrela%20Serra%20da%20Estrela%20Portugal/@40.6014,-7.7661,17z","🧀 Vale da Estrela")</f>
        <v>🧀 Vale da Estrela</v>
      </c>
    </row>
    <row r="32" spans="1:10" ht="110" customHeight="1" x14ac:dyDescent="0.35">
      <c r="A32" s="336">
        <v>28</v>
      </c>
      <c r="B32" s="242" t="s">
        <v>8839</v>
      </c>
      <c r="C32" s="243" t="s">
        <v>8767</v>
      </c>
      <c r="D32" s="242" t="s">
        <v>8840</v>
      </c>
      <c r="E32" s="242" t="s">
        <v>8841</v>
      </c>
      <c r="F32" s="242" t="s">
        <v>8842</v>
      </c>
      <c r="G32" s="242" t="str">
        <f>HYPERLINK("https://terrasmontes.pt","terrasmontes.pt")</f>
        <v>terrasmontes.pt</v>
      </c>
      <c r="H32" s="242" t="s">
        <v>8843</v>
      </c>
      <c r="I32" s="305" t="s">
        <v>8844</v>
      </c>
      <c r="J32" s="258" t="str">
        <f>HYPERLINK("https://www.google.com/maps/search/Queijaria%20Terra%20de%20Montes%20Terras%20de%20Tr%C3%A1s-os-Montes%20Portugal/@41.8237,-7.7891,17z","🧀 Queijaria Terra de Montes")</f>
        <v>🧀 Queijaria Terra de Montes</v>
      </c>
    </row>
    <row r="33" spans="1:10" ht="110" customHeight="1" x14ac:dyDescent="0.35">
      <c r="A33" s="338">
        <v>29</v>
      </c>
      <c r="B33" s="239" t="s">
        <v>8845</v>
      </c>
      <c r="C33" s="240" t="s">
        <v>8767</v>
      </c>
      <c r="D33" s="239" t="s">
        <v>2365</v>
      </c>
      <c r="E33" s="239" t="s">
        <v>8846</v>
      </c>
      <c r="F33" s="239" t="s">
        <v>8847</v>
      </c>
      <c r="G33" s="239" t="str">
        <f>HYPERLINK("https://queijaria-nordeste.pt","queijaria-nordeste.pt")</f>
        <v>queijaria-nordeste.pt</v>
      </c>
      <c r="H33" s="239" t="s">
        <v>8848</v>
      </c>
      <c r="I33" s="304" t="s">
        <v>8849</v>
      </c>
      <c r="J33" s="257" t="str">
        <f>HYPERLINK("https://www.google.com/maps/search/Queijaria%20Nordeste%20Tr%C3%A1s-os-Montes%20Portugal/@41.8237,-7.7891,17z","🧀 Queijaria Nordeste")</f>
        <v>🧀 Queijaria Nordeste</v>
      </c>
    </row>
    <row r="34" spans="1:10" ht="110" customHeight="1" x14ac:dyDescent="0.35">
      <c r="A34" s="336">
        <v>30</v>
      </c>
      <c r="B34" s="242" t="s">
        <v>8850</v>
      </c>
      <c r="C34" s="243" t="s">
        <v>8767</v>
      </c>
      <c r="D34" s="242" t="s">
        <v>2365</v>
      </c>
      <c r="E34" s="242" t="s">
        <v>8841</v>
      </c>
      <c r="F34" s="242" t="s">
        <v>1784</v>
      </c>
      <c r="G34" s="242" t="str">
        <f>HYPERLINK("https://queijoscabra.pt","queijoscabra.pt")</f>
        <v>queijoscabra.pt</v>
      </c>
      <c r="H34" s="242" t="s">
        <v>8851</v>
      </c>
      <c r="I34" s="305" t="s">
        <v>8849</v>
      </c>
      <c r="J34" s="258" t="str">
        <f>HYPERLINK("https://www.google.com/maps/search/Queijos%20de%20Cabra%20D.O.%20Tr%C3%A1s-os-Montes%20Portugal/@41.8076,-6.7573,17z","🧀 Queijos de Cabra D.O.")</f>
        <v>🧀 Queijos de Cabra D.O.</v>
      </c>
    </row>
    <row r="35" spans="1:10" ht="110" customHeight="1" x14ac:dyDescent="0.35">
      <c r="A35" s="338">
        <v>31</v>
      </c>
      <c r="B35" s="239" t="s">
        <v>8852</v>
      </c>
      <c r="C35" s="240" t="s">
        <v>8767</v>
      </c>
      <c r="D35" s="239" t="s">
        <v>8782</v>
      </c>
      <c r="E35" s="239" t="s">
        <v>8853</v>
      </c>
      <c r="F35" s="239" t="s">
        <v>8426</v>
      </c>
      <c r="G35" s="239" t="str">
        <f>HYPERLINK("https://lacticiniossouto.pt","lacticiniossouto.pt")</f>
        <v>lacticiniossouto.pt</v>
      </c>
      <c r="H35" s="239" t="s">
        <v>8854</v>
      </c>
      <c r="I35" s="304" t="s">
        <v>8788</v>
      </c>
      <c r="J35" s="257" t="str">
        <f>HYPERLINK("https://www.google.com/maps/search/Lactic%C3%ADnios%20Souto%20da%20Casa%20Beira%20Baixa%20Portugal/@40.1392,-7.5014,17z","🧀 Lacticínios Souto da Casa")</f>
        <v>🧀 Lacticínios Souto da Casa</v>
      </c>
    </row>
    <row r="36" spans="1:10" ht="110" customHeight="1" x14ac:dyDescent="0.35">
      <c r="A36" s="336">
        <v>32</v>
      </c>
      <c r="B36" s="242" t="s">
        <v>8855</v>
      </c>
      <c r="C36" s="243" t="s">
        <v>8767</v>
      </c>
      <c r="D36" s="242" t="s">
        <v>8856</v>
      </c>
      <c r="E36" s="242" t="s">
        <v>8857</v>
      </c>
      <c r="F36" s="242" t="s">
        <v>8858</v>
      </c>
      <c r="G36" s="242" t="str">
        <f>HYPERLINK("https://queijadorabaçal.pt","queijadorabaçal.pt")</f>
        <v>queijadorabaçal.pt</v>
      </c>
      <c r="H36" s="242" t="s">
        <v>8859</v>
      </c>
      <c r="I36" s="305" t="s">
        <v>8860</v>
      </c>
      <c r="J36" s="258" t="str">
        <f>HYPERLINK("https://www.google.com/maps/search/Queijaria%20do%20Raba%C3%A7al%20Raba%C3%A7al%20DOP%20Portugal/@40.0761,-8.4087,17z","🧀 Queijaria do Rabaçal")</f>
        <v>🧀 Queijaria do Rabaçal</v>
      </c>
    </row>
    <row r="37" spans="1:10" ht="110" customHeight="1" x14ac:dyDescent="0.35">
      <c r="A37" s="338">
        <v>33</v>
      </c>
      <c r="B37" s="239" t="s">
        <v>8861</v>
      </c>
      <c r="C37" s="240" t="s">
        <v>8767</v>
      </c>
      <c r="D37" s="239" t="s">
        <v>8862</v>
      </c>
      <c r="E37" s="239" t="s">
        <v>8863</v>
      </c>
      <c r="F37" s="239" t="s">
        <v>2467</v>
      </c>
      <c r="G37" s="239" t="str">
        <f>HYPERLINK("https://lactimontes.pt","lactimontes.pt")</f>
        <v>lactimontes.pt</v>
      </c>
      <c r="H37" s="239" t="s">
        <v>8864</v>
      </c>
      <c r="I37" s="304" t="s">
        <v>8865</v>
      </c>
      <c r="J37" s="257" t="str">
        <f>HYPERLINK("https://www.google.com/maps/search/Cooperativa%20Lactimontes%20Serra%20da%20Estrela%20DOP%20Portugal/@40.4166,-7.6985,17z","🧀 Cooperativa Lactimontes")</f>
        <v>🧀 Cooperativa Lactimontes</v>
      </c>
    </row>
    <row r="38" spans="1:10" ht="110" customHeight="1" x14ac:dyDescent="0.35">
      <c r="A38" s="336">
        <v>34</v>
      </c>
      <c r="B38" s="242" t="s">
        <v>8866</v>
      </c>
      <c r="C38" s="243" t="s">
        <v>8767</v>
      </c>
      <c r="D38" s="242" t="s">
        <v>8862</v>
      </c>
      <c r="E38" s="242" t="s">
        <v>8867</v>
      </c>
      <c r="F38" s="242" t="s">
        <v>8868</v>
      </c>
      <c r="G38" s="242" t="str">
        <f>HYPERLINK("https://queijospaulo.pt","queijospaulo.pt")</f>
        <v>queijospaulo.pt</v>
      </c>
      <c r="H38" s="242" t="s">
        <v>8869</v>
      </c>
      <c r="I38" s="305" t="s">
        <v>8865</v>
      </c>
      <c r="J38" s="258" t="str">
        <f>HYPERLINK("https://www.google.com/maps/search/Queijaria%20S%C3%A3o%20Paulo%20da%20Serra%20Serra%20da%20Estrela%20DOP%20Portugal/@40.4949,-7.5914,17z","🧀 Queijaria São Paulo da Serra")</f>
        <v>🧀 Queijaria São Paulo da Serra</v>
      </c>
    </row>
    <row r="39" spans="1:10" ht="110" customHeight="1" x14ac:dyDescent="0.35">
      <c r="A39" s="338">
        <v>35</v>
      </c>
      <c r="B39" s="239" t="s">
        <v>8870</v>
      </c>
      <c r="C39" s="240" t="s">
        <v>8767</v>
      </c>
      <c r="D39" s="239" t="s">
        <v>8862</v>
      </c>
      <c r="E39" s="239" t="s">
        <v>8871</v>
      </c>
      <c r="F39" s="239" t="s">
        <v>1690</v>
      </c>
      <c r="G39" s="239" t="str">
        <f>HYPERLINK("https://alvaquejo.pt","alvaquejo.pt")</f>
        <v>alvaquejo.pt</v>
      </c>
      <c r="H39" s="239" t="s">
        <v>8872</v>
      </c>
      <c r="I39" s="304" t="s">
        <v>8865</v>
      </c>
      <c r="J39" s="257" t="str">
        <f>HYPERLINK("https://www.google.com/maps/search/Alva%20Queijo%20Serra%20da%20Estrela%20DOP%20Portugal/@40.3986,-7.5411,17z","🧀 Alva Queijo")</f>
        <v>🧀 Alva Queijo</v>
      </c>
    </row>
    <row r="40" spans="1:10" ht="110" customHeight="1" x14ac:dyDescent="0.35">
      <c r="A40" s="336">
        <v>36</v>
      </c>
      <c r="B40" s="242" t="s">
        <v>8873</v>
      </c>
      <c r="C40" s="243" t="s">
        <v>8767</v>
      </c>
      <c r="D40" s="242" t="s">
        <v>853</v>
      </c>
      <c r="E40" s="242" t="s">
        <v>8874</v>
      </c>
      <c r="F40" s="242" t="s">
        <v>1412</v>
      </c>
      <c r="G40" s="242" t="str">
        <f>HYPERLINK("https://herdadepinheiro.pt","herdadepinheiro.pt")</f>
        <v>herdadepinheiro.pt</v>
      </c>
      <c r="H40" s="242" t="s">
        <v>8875</v>
      </c>
      <c r="I40" s="305" t="s">
        <v>8876</v>
      </c>
      <c r="J40" s="258" t="str">
        <f>HYPERLINK("https://www.google.com/maps/search/Queijaria%20Herdade%20do%20Pinheiro%20Alentejo%20Portugal/@38.572,-7.9087,17z","🧀 Queijaria Herdade do Pinheiro")</f>
        <v>🧀 Queijaria Herdade do Pinheiro</v>
      </c>
    </row>
    <row r="41" spans="1:10" ht="110" customHeight="1" x14ac:dyDescent="0.35">
      <c r="A41" s="338">
        <v>37</v>
      </c>
      <c r="B41" s="239" t="s">
        <v>8877</v>
      </c>
      <c r="C41" s="240" t="s">
        <v>8767</v>
      </c>
      <c r="D41" s="239" t="s">
        <v>8878</v>
      </c>
      <c r="E41" s="239" t="s">
        <v>8879</v>
      </c>
      <c r="F41" s="239" t="s">
        <v>8880</v>
      </c>
      <c r="G41" s="239" t="str">
        <f>HYPERLINK("https://queijosserpa.pt","queijosserpa.pt")</f>
        <v>queijosserpa.pt</v>
      </c>
      <c r="H41" s="239" t="s">
        <v>8881</v>
      </c>
      <c r="I41" s="304" t="s">
        <v>8882</v>
      </c>
      <c r="J41" s="257" t="str">
        <f>HYPERLINK("https://www.google.com/maps/search/Queijos%20de%20Serpa%20SA%20Serpa%20DOP%20Portugal/@37.9437,-7.5981,17z","🧀 Queijos de Serpa SA")</f>
        <v>🧀 Queijos de Serpa SA</v>
      </c>
    </row>
    <row r="42" spans="1:10" ht="110" customHeight="1" x14ac:dyDescent="0.35">
      <c r="A42" s="336">
        <v>38</v>
      </c>
      <c r="B42" s="242" t="s">
        <v>8883</v>
      </c>
      <c r="C42" s="243" t="s">
        <v>8767</v>
      </c>
      <c r="D42" s="242" t="s">
        <v>8884</v>
      </c>
      <c r="E42" s="242" t="s">
        <v>8885</v>
      </c>
      <c r="F42" s="242" t="s">
        <v>1412</v>
      </c>
      <c r="G42" s="242" t="str">
        <f>HYPERLINK("https://queijosaocristovao.pt","queijosaocristovao.pt")</f>
        <v>queijosaocristovao.pt</v>
      </c>
      <c r="H42" s="242" t="s">
        <v>8886</v>
      </c>
      <c r="I42" s="305" t="s">
        <v>8887</v>
      </c>
      <c r="J42" s="258" t="str">
        <f>HYPERLINK("https://www.google.com/maps/search/Queijaria%20S%C3%A3o%20Crist%C3%B3v%C3%A3o%20%C3%89vora%20DOP%20Portugal/@38.572,-7.9087,17z","🧀 Queijaria São Cristóvão")</f>
        <v>🧀 Queijaria São Cristóvão</v>
      </c>
    </row>
    <row r="43" spans="1:10" ht="110" customHeight="1" x14ac:dyDescent="0.35">
      <c r="A43" s="338">
        <v>39</v>
      </c>
      <c r="B43" s="239" t="s">
        <v>8888</v>
      </c>
      <c r="C43" s="240" t="s">
        <v>8767</v>
      </c>
      <c r="D43" s="239" t="s">
        <v>2745</v>
      </c>
      <c r="E43" s="239" t="s">
        <v>8889</v>
      </c>
      <c r="F43" s="239" t="s">
        <v>8890</v>
      </c>
      <c r="G43" s="239" t="str">
        <f>HYPERLINK("https://terrasmoura.pt","terrasmoura.pt")</f>
        <v>terrasmoura.pt</v>
      </c>
      <c r="H43" s="239" t="s">
        <v>8891</v>
      </c>
      <c r="I43" s="304" t="s">
        <v>8892</v>
      </c>
      <c r="J43" s="257" t="str">
        <f>HYPERLINK("https://www.google.com/maps/search/Queijaria%20Terras%20de%20Moura%20Baixo%20Alentejo%20Portugal/@38.138,-7.4528,17z","🧀 Queijaria Terras de Moura")</f>
        <v>🧀 Queijaria Terras de Moura</v>
      </c>
    </row>
    <row r="44" spans="1:10" ht="110" customHeight="1" x14ac:dyDescent="0.35">
      <c r="A44" s="336">
        <v>40</v>
      </c>
      <c r="B44" s="242" t="s">
        <v>8893</v>
      </c>
      <c r="C44" s="243" t="s">
        <v>8767</v>
      </c>
      <c r="D44" s="242" t="s">
        <v>767</v>
      </c>
      <c r="E44" s="242" t="s">
        <v>8894</v>
      </c>
      <c r="F44" s="242" t="s">
        <v>3050</v>
      </c>
      <c r="G44" s="242" t="str">
        <f>HYPERLINK("https://serracaldeirao.pt","serracaldeirao.pt")</f>
        <v>serracaldeirao.pt</v>
      </c>
      <c r="H44" s="242" t="s">
        <v>8895</v>
      </c>
      <c r="I44" s="305" t="s">
        <v>8896</v>
      </c>
      <c r="J44" s="258" t="str">
        <f>HYPERLINK("https://www.google.com/maps/search/Queijaria%20Serra%20do%20Caldeir%C3%A3o%20Algarve%20Portugal/@37.1393,-8.0235,17z","🧀 Queijaria Serra do Caldeirão")</f>
        <v>🧀 Queijaria Serra do Caldeirão</v>
      </c>
    </row>
    <row r="45" spans="1:10" ht="110" customHeight="1" x14ac:dyDescent="0.35">
      <c r="A45" s="338">
        <v>41</v>
      </c>
      <c r="B45" s="239" t="s">
        <v>8897</v>
      </c>
      <c r="C45" s="240" t="s">
        <v>8767</v>
      </c>
      <c r="D45" s="239" t="s">
        <v>8898</v>
      </c>
      <c r="E45" s="239" t="s">
        <v>8899</v>
      </c>
      <c r="F45" s="239" t="s">
        <v>8900</v>
      </c>
      <c r="G45" s="239" t="str">
        <f>HYPERLINK("https://cooperativasm.pt","cooperativasm.pt")</f>
        <v>cooperativasm.pt</v>
      </c>
      <c r="H45" s="239" t="s">
        <v>8901</v>
      </c>
      <c r="I45" s="304" t="s">
        <v>8902</v>
      </c>
      <c r="J45" s="257" t="str">
        <f>HYPERLINK("https://www.google.com/maps/search/Cooperativa%20Pecu%C3%A1ria%20de%20S%C3%A3o%20Miguel%20S%C3%A3o%20Miguel%20DOP%20Portugal/@37.8101,-25.3401,17z","🧀 Cooperativa Pecuária de São…")</f>
        <v>🧀 Cooperativa Pecuária de São…</v>
      </c>
    </row>
    <row r="46" spans="1:10" ht="110" customHeight="1" x14ac:dyDescent="0.35">
      <c r="A46" s="336">
        <v>42</v>
      </c>
      <c r="B46" s="242" t="s">
        <v>8903</v>
      </c>
      <c r="C46" s="243" t="s">
        <v>8767</v>
      </c>
      <c r="D46" s="242" t="s">
        <v>8904</v>
      </c>
      <c r="E46" s="242" t="s">
        <v>8905</v>
      </c>
      <c r="F46" s="242" t="s">
        <v>8906</v>
      </c>
      <c r="G46" s="242" t="str">
        <f>HYPERLINK("https://queijosaojorge.pt","queijosaojorge.pt")</f>
        <v>queijosaojorge.pt</v>
      </c>
      <c r="H46" s="242" t="s">
        <v>8907</v>
      </c>
      <c r="I46" s="305" t="s">
        <v>8908</v>
      </c>
      <c r="J46" s="258" t="str">
        <f>HYPERLINK("https://www.google.com/maps/search/Queijaria%20S%C3%A3o%20Jorge%20S%C3%A3o%20Jorge%20DOP%20Portugal/@38.5994,-28.0178,17z","🧀 Queijaria São Jorge")</f>
        <v>🧀 Queijaria São Jorge</v>
      </c>
    </row>
    <row r="47" spans="1:10" ht="110" customHeight="1" x14ac:dyDescent="0.35">
      <c r="A47" s="338">
        <v>43</v>
      </c>
      <c r="B47" s="239" t="s">
        <v>8909</v>
      </c>
      <c r="C47" s="240" t="s">
        <v>8767</v>
      </c>
      <c r="D47" s="239" t="s">
        <v>8910</v>
      </c>
      <c r="E47" s="239" t="s">
        <v>8911</v>
      </c>
      <c r="F47" s="239" t="s">
        <v>8760</v>
      </c>
      <c r="G47" s="239" t="str">
        <f>HYPERLINK("https://lacticiniosflores.pt","lacticiniosflores.pt")</f>
        <v>lacticiniosflores.pt</v>
      </c>
      <c r="H47" s="239" t="s">
        <v>8912</v>
      </c>
      <c r="I47" s="304" t="s">
        <v>8913</v>
      </c>
      <c r="J47" s="257" t="str">
        <f>HYPERLINK("https://www.google.com/maps/search/Lactic%C3%ADnios%20das%20Flores%20Flores%20DOP%20Portugal/@39.4501,-31.2201,17z","🧀 Lacticínios das Flores")</f>
        <v>🧀 Lacticínios das Flores</v>
      </c>
    </row>
    <row r="48" spans="1:10" ht="110" customHeight="1" x14ac:dyDescent="0.35">
      <c r="A48" s="336">
        <v>44</v>
      </c>
      <c r="B48" s="242" t="s">
        <v>8914</v>
      </c>
      <c r="C48" s="243" t="s">
        <v>8767</v>
      </c>
      <c r="D48" s="242" t="s">
        <v>524</v>
      </c>
      <c r="E48" s="242" t="s">
        <v>8915</v>
      </c>
      <c r="F48" s="242" t="s">
        <v>6699</v>
      </c>
      <c r="G48" s="242" t="str">
        <f>HYPERLINK("https://queijomadeira.pt","queijomadeira.pt")</f>
        <v>queijomadeira.pt</v>
      </c>
      <c r="H48" s="242" t="s">
        <v>8916</v>
      </c>
      <c r="I48" s="305" t="s">
        <v>8917</v>
      </c>
      <c r="J48" s="258" t="str">
        <f>HYPERLINK("https://www.google.com/maps/search/Queijaria%20S%C3%A3o%20Vicente%20Madeira%20Portugal/@32.8021,-17.0341,17z","🧀 Queijaria São Vicente")</f>
        <v>🧀 Queijaria São Vicente</v>
      </c>
    </row>
    <row r="49" spans="1:10" ht="110" customHeight="1" x14ac:dyDescent="0.35">
      <c r="A49" s="338">
        <v>45</v>
      </c>
      <c r="B49" s="239" t="s">
        <v>8918</v>
      </c>
      <c r="C49" s="240" t="s">
        <v>8781</v>
      </c>
      <c r="D49" s="239" t="s">
        <v>8919</v>
      </c>
      <c r="E49" s="239" t="s">
        <v>8920</v>
      </c>
      <c r="F49" s="239" t="s">
        <v>8921</v>
      </c>
      <c r="G49" s="239" t="str">
        <f>HYPERLINK("https://melgal.pt","melgal.pt")</f>
        <v>melgal.pt</v>
      </c>
      <c r="H49" s="239" t="s">
        <v>8922</v>
      </c>
      <c r="I49" s="304" t="s">
        <v>8923</v>
      </c>
      <c r="J49" s="239" t="s">
        <v>3096</v>
      </c>
    </row>
    <row r="50" spans="1:10" ht="110" customHeight="1" x14ac:dyDescent="0.35">
      <c r="A50" s="336">
        <v>46</v>
      </c>
      <c r="B50" s="242" t="s">
        <v>8924</v>
      </c>
      <c r="C50" s="243" t="s">
        <v>8781</v>
      </c>
      <c r="D50" s="242" t="s">
        <v>8925</v>
      </c>
      <c r="E50" s="242" t="s">
        <v>8926</v>
      </c>
      <c r="F50" s="242" t="s">
        <v>8308</v>
      </c>
      <c r="G50" s="242" t="str">
        <f>HYPERLINK("https://apiariosgeres.pt","apiariosgeres.pt")</f>
        <v>apiariosgeres.pt</v>
      </c>
      <c r="H50" s="242" t="s">
        <v>8927</v>
      </c>
      <c r="I50" s="305" t="s">
        <v>8928</v>
      </c>
      <c r="J50" s="258" t="str">
        <f>HYPERLINK("https://www.google.com/maps/search/Api%C3%A1rios%20do%20Ger%C3%AAs%20Norte%20Portugal/@41.7023,-8.2834,17z","🧀 Apiários do Gerês")</f>
        <v>🧀 Apiários do Gerês</v>
      </c>
    </row>
    <row r="51" spans="1:10" ht="110" customHeight="1" x14ac:dyDescent="0.35">
      <c r="A51" s="338">
        <v>47</v>
      </c>
      <c r="B51" s="239" t="s">
        <v>8929</v>
      </c>
      <c r="C51" s="240" t="s">
        <v>8781</v>
      </c>
      <c r="D51" s="239" t="s">
        <v>8930</v>
      </c>
      <c r="E51" s="239" t="s">
        <v>8931</v>
      </c>
      <c r="F51" s="239" t="s">
        <v>8842</v>
      </c>
      <c r="G51" s="239" t="str">
        <f>HYPERLINK("https://melbarroso.pt","melbarroso.pt")</f>
        <v>melbarroso.pt</v>
      </c>
      <c r="H51" s="239" t="s">
        <v>8932</v>
      </c>
      <c r="I51" s="304" t="s">
        <v>8933</v>
      </c>
      <c r="J51" s="257" t="str">
        <f>HYPERLINK("https://www.google.com/maps/search/Mel%20de%20Barroso%20%E2%80%94%20ACOB%20Barroso%20DOP%20Portugal/@41.8237,-7.7891,17z","🧀 Mel de Barroso — ACOB")</f>
        <v>🧀 Mel de Barroso — ACOB</v>
      </c>
    </row>
    <row r="52" spans="1:10" ht="110" customHeight="1" x14ac:dyDescent="0.35">
      <c r="A52" s="336">
        <v>48</v>
      </c>
      <c r="B52" s="242" t="s">
        <v>8934</v>
      </c>
      <c r="C52" s="243" t="s">
        <v>8781</v>
      </c>
      <c r="D52" s="242" t="s">
        <v>2365</v>
      </c>
      <c r="E52" s="242" t="s">
        <v>8935</v>
      </c>
      <c r="F52" s="242" t="s">
        <v>1784</v>
      </c>
      <c r="G52" s="242" t="str">
        <f>HYPERLINK("https://meisportugueses.pt","meisportugueses.pt")</f>
        <v>meisportugueses.pt</v>
      </c>
      <c r="H52" s="242" t="s">
        <v>8936</v>
      </c>
      <c r="I52" s="305" t="s">
        <v>8937</v>
      </c>
      <c r="J52" s="258" t="str">
        <f>HYPERLINK("https://www.google.com/maps/search/Mieles%20del%20Norte%20Tr%C3%A1s-os-Montes%20Portugal/@41.8076,-6.7573,17z","🧀 Mieles del Norte")</f>
        <v>🧀 Mieles del Norte</v>
      </c>
    </row>
    <row r="53" spans="1:10" ht="110" customHeight="1" x14ac:dyDescent="0.35">
      <c r="A53" s="338">
        <v>49</v>
      </c>
      <c r="B53" s="239" t="s">
        <v>8938</v>
      </c>
      <c r="C53" s="240" t="s">
        <v>8781</v>
      </c>
      <c r="D53" s="239" t="s">
        <v>853</v>
      </c>
      <c r="E53" s="239" t="s">
        <v>8939</v>
      </c>
      <c r="F53" s="239" t="s">
        <v>1412</v>
      </c>
      <c r="G53" s="239" t="str">
        <f>HYPERLINK("https://coopapicultores.pt","coopapicultores.pt")</f>
        <v>coopapicultores.pt</v>
      </c>
      <c r="H53" s="239" t="s">
        <v>8940</v>
      </c>
      <c r="I53" s="304" t="s">
        <v>8941</v>
      </c>
      <c r="J53" s="257" t="str">
        <f>HYPERLINK("https://www.google.com/maps/search/Cooperativa%20Apicultores%20Alentejo%20Portugal/@38.572,-7.9087,17z","🧀 Cooperativa Apicultores Ale…")</f>
        <v>🧀 Cooperativa Apicultores Ale…</v>
      </c>
    </row>
    <row r="54" spans="1:10" ht="110" customHeight="1" x14ac:dyDescent="0.35">
      <c r="A54" s="336">
        <v>50</v>
      </c>
      <c r="B54" s="242" t="s">
        <v>8942</v>
      </c>
      <c r="C54" s="243" t="s">
        <v>8781</v>
      </c>
      <c r="D54" s="242" t="s">
        <v>8943</v>
      </c>
      <c r="E54" s="242" t="s">
        <v>8944</v>
      </c>
      <c r="F54" s="242" t="s">
        <v>5501</v>
      </c>
      <c r="G54" s="242" t="str">
        <f>HYPERLINK("https://quintaabelha.pt","quintaabelha.pt")</f>
        <v>quintaabelha.pt</v>
      </c>
      <c r="H54" s="242" t="s">
        <v>8945</v>
      </c>
      <c r="I54" s="305" t="s">
        <v>8946</v>
      </c>
      <c r="J54" s="242" t="s">
        <v>3096</v>
      </c>
    </row>
    <row r="55" spans="1:10" ht="110" customHeight="1" x14ac:dyDescent="0.35">
      <c r="A55" s="338">
        <v>51</v>
      </c>
      <c r="B55" s="239" t="s">
        <v>8947</v>
      </c>
      <c r="C55" s="240" t="s">
        <v>8948</v>
      </c>
      <c r="D55" s="239" t="s">
        <v>8949</v>
      </c>
      <c r="E55" s="239" t="s">
        <v>8950</v>
      </c>
      <c r="F55" s="239" t="s">
        <v>8185</v>
      </c>
      <c r="G55" s="239" t="str">
        <f>HYPERLINK("https://avicar.pt","avicar.pt")</f>
        <v>avicar.pt</v>
      </c>
      <c r="H55" s="239" t="s">
        <v>8951</v>
      </c>
      <c r="I55" s="304" t="s">
        <v>8952</v>
      </c>
      <c r="J55" s="257" t="str">
        <f>HYPERLINK("https://www.google.com/maps/search/AVICAR%20%E2%80%94%20Alheira%20de%20Mirandela%20Tr%C3%A1s-os-Montes%20DOP%20Portugal/@41.4864,-7.1804,17z","🧀 AVICAR — Alheira de Mirandela")</f>
        <v>🧀 AVICAR — Alheira de Mirandela</v>
      </c>
    </row>
    <row r="56" spans="1:10" ht="110" customHeight="1" x14ac:dyDescent="0.35">
      <c r="A56" s="336">
        <v>52</v>
      </c>
      <c r="B56" s="242" t="s">
        <v>8953</v>
      </c>
      <c r="C56" s="243" t="s">
        <v>8948</v>
      </c>
      <c r="D56" s="242" t="s">
        <v>8954</v>
      </c>
      <c r="E56" s="242" t="s">
        <v>8955</v>
      </c>
      <c r="F56" s="242" t="s">
        <v>8190</v>
      </c>
      <c r="G56" s="242" t="str">
        <f>HYPERLINK("https://enchoidos-vinhais.pt","enchoidos-vinhais.pt")</f>
        <v>enchoidos-vinhais.pt</v>
      </c>
      <c r="H56" s="242" t="s">
        <v>8956</v>
      </c>
      <c r="I56" s="305" t="s">
        <v>8957</v>
      </c>
      <c r="J56" s="258" t="str">
        <f>HYPERLINK("https://www.google.com/maps/search/Enchidos%20de%20Vinhais%20Vinhais%20DOP%20Portugal/@41.8387,-7.0024,17z","🧀 Enchidos de Vinhais")</f>
        <v>🧀 Enchidos de Vinhais</v>
      </c>
    </row>
    <row r="57" spans="1:10" ht="110" customHeight="1" x14ac:dyDescent="0.35">
      <c r="A57" s="338">
        <v>53</v>
      </c>
      <c r="B57" s="239" t="s">
        <v>8958</v>
      </c>
      <c r="C57" s="240" t="s">
        <v>8948</v>
      </c>
      <c r="D57" s="239" t="s">
        <v>8959</v>
      </c>
      <c r="E57" s="239" t="s">
        <v>8960</v>
      </c>
      <c r="F57" s="239" t="s">
        <v>8842</v>
      </c>
      <c r="G57" s="239" t="str">
        <f>HYPERLINK("https://fumeirobarroso.pt","fumeirobarroso.pt")</f>
        <v>fumeirobarroso.pt</v>
      </c>
      <c r="H57" s="239" t="s">
        <v>8961</v>
      </c>
      <c r="I57" s="304" t="s">
        <v>8962</v>
      </c>
      <c r="J57" s="257" t="str">
        <f>HYPERLINK("https://www.google.com/maps/search/Fumeiro%20de%20Barroso%20Portugal/@41.8237,-7.7891,17z","🧀 Fumeiro de Barroso")</f>
        <v>🧀 Fumeiro de Barroso</v>
      </c>
    </row>
    <row r="58" spans="1:10" ht="110" customHeight="1" x14ac:dyDescent="0.35">
      <c r="A58" s="336">
        <v>54</v>
      </c>
      <c r="B58" s="242" t="s">
        <v>8963</v>
      </c>
      <c r="C58" s="243" t="s">
        <v>8948</v>
      </c>
      <c r="D58" s="242" t="s">
        <v>2365</v>
      </c>
      <c r="E58" s="242" t="s">
        <v>8964</v>
      </c>
      <c r="F58" s="242" t="s">
        <v>8190</v>
      </c>
      <c r="G58" s="242" t="str">
        <f>HYPERLINK("https://bisar.pt","bisar.pt")</f>
        <v>bisar.pt</v>
      </c>
      <c r="H58" s="242" t="s">
        <v>8965</v>
      </c>
      <c r="I58" s="305" t="s">
        <v>8966</v>
      </c>
      <c r="J58" s="258" t="str">
        <f>HYPERLINK("https://www.google.com/maps/search/Porco%20B%C3%ADsaro%20do%20Nordeste%20Tr%C3%A1s-os-Montes%20Portugal/@41.8387,-7.0024,17z","🧀 Porco Bísaro do Nordeste")</f>
        <v>🧀 Porco Bísaro do Nordeste</v>
      </c>
    </row>
    <row r="59" spans="1:10" ht="110" customHeight="1" x14ac:dyDescent="0.35">
      <c r="A59" s="338">
        <v>55</v>
      </c>
      <c r="B59" s="239" t="s">
        <v>8967</v>
      </c>
      <c r="C59" s="240" t="s">
        <v>8948</v>
      </c>
      <c r="D59" s="239" t="s">
        <v>853</v>
      </c>
      <c r="E59" s="239" t="s">
        <v>8968</v>
      </c>
      <c r="F59" s="239" t="s">
        <v>1412</v>
      </c>
      <c r="G59" s="239" t="str">
        <f>HYPERLINK("https://enchoidos-alentejo.pt","enchoidos-alentejo.pt")</f>
        <v>enchoidos-alentejo.pt</v>
      </c>
      <c r="H59" s="239" t="s">
        <v>8969</v>
      </c>
      <c r="I59" s="304" t="s">
        <v>8970</v>
      </c>
      <c r="J59" s="257" t="str">
        <f>HYPERLINK("https://www.google.com/maps/search/Enchidos%20Tradicionais%20do%20Alentejo%20Portugal/@38.572,-7.9087,17z","🧀 Enchidos Tradicionais do Al…")</f>
        <v>🧀 Enchidos Tradicionais do Al…</v>
      </c>
    </row>
    <row r="60" spans="1:10" ht="110" customHeight="1" x14ac:dyDescent="0.35">
      <c r="A60" s="336">
        <v>56</v>
      </c>
      <c r="B60" s="242" t="s">
        <v>8971</v>
      </c>
      <c r="C60" s="243" t="s">
        <v>8948</v>
      </c>
      <c r="D60" s="242" t="s">
        <v>8972</v>
      </c>
      <c r="E60" s="242" t="s">
        <v>8973</v>
      </c>
      <c r="F60" s="242" t="s">
        <v>8011</v>
      </c>
      <c r="G60" s="242" t="str">
        <f>HYPERLINK("https://casafumeiro.pt","casafumeiro.pt")</f>
        <v>casafumeiro.pt</v>
      </c>
      <c r="H60" s="242" t="s">
        <v>8974</v>
      </c>
      <c r="I60" s="305" t="s">
        <v>8975</v>
      </c>
      <c r="J60" s="258" t="str">
        <f>HYPERLINK("https://www.google.com/maps/search/Casa%20do%20Fumeiro%20%E2%80%94%20Guarda%20Beira%20Alta%20Portugal/@40.5362,-7.2683,17z","🧀 Casa do Fumeiro — Guarda")</f>
        <v>🧀 Casa do Fumeiro — Guarda</v>
      </c>
    </row>
    <row r="61" spans="1:10" ht="110" customHeight="1" x14ac:dyDescent="0.35">
      <c r="A61" s="338">
        <v>57</v>
      </c>
      <c r="B61" s="239" t="s">
        <v>8976</v>
      </c>
      <c r="C61" s="240" t="s">
        <v>8977</v>
      </c>
      <c r="D61" s="239" t="s">
        <v>8978</v>
      </c>
      <c r="E61" s="239" t="s">
        <v>8979</v>
      </c>
      <c r="F61" s="239" t="s">
        <v>7980</v>
      </c>
      <c r="G61" s="239" t="str">
        <f>HYPERLINK("https://esporao.com","esporao.com")</f>
        <v>esporao.com</v>
      </c>
      <c r="H61" s="239" t="s">
        <v>8980</v>
      </c>
      <c r="I61" s="304" t="s">
        <v>8981</v>
      </c>
      <c r="J61" s="257" t="str">
        <f>HYPERLINK("https://www.google.com/maps/search/Herdade%20do%20Espor%C3%A3o%20%E2%80%94%20Azeite%20Alentejo%20DOP%20Portugal/@38.429,-7.541,17z","🧀 Herdade do Esporão — Azeite")</f>
        <v>🧀 Herdade do Esporão — Azeite</v>
      </c>
    </row>
    <row r="62" spans="1:10" ht="110" customHeight="1" x14ac:dyDescent="0.35">
      <c r="A62" s="336">
        <v>58</v>
      </c>
      <c r="B62" s="242" t="s">
        <v>8982</v>
      </c>
      <c r="C62" s="243" t="s">
        <v>8977</v>
      </c>
      <c r="D62" s="242" t="s">
        <v>8949</v>
      </c>
      <c r="E62" s="242" t="s">
        <v>8983</v>
      </c>
      <c r="F62" s="242" t="s">
        <v>8185</v>
      </c>
      <c r="G62" s="242" t="str">
        <f>HYPERLINK("https://azeite-norte.pt","azeite-norte.pt")</f>
        <v>azeite-norte.pt</v>
      </c>
      <c r="H62" s="242" t="s">
        <v>8984</v>
      </c>
      <c r="I62" s="305" t="s">
        <v>8985</v>
      </c>
      <c r="J62" s="258" t="str">
        <f>HYPERLINK("https://www.google.com/maps/search/Cooperativa%20Azeites%20do%20Norte%20Tr%C3%A1s-os-Montes%20DOP%20Portugal/@41.4864,-7.1804,17z","🧀 Cooperativa Azeites do Norte")</f>
        <v>🧀 Cooperativa Azeites do Norte</v>
      </c>
    </row>
    <row r="63" spans="1:10" ht="110" customHeight="1" x14ac:dyDescent="0.35">
      <c r="A63" s="338">
        <v>59</v>
      </c>
      <c r="B63" s="239" t="s">
        <v>8986</v>
      </c>
      <c r="C63" s="240" t="s">
        <v>8977</v>
      </c>
      <c r="D63" s="239" t="s">
        <v>8987</v>
      </c>
      <c r="E63" s="239" t="s">
        <v>8988</v>
      </c>
      <c r="F63" s="239" t="s">
        <v>8890</v>
      </c>
      <c r="G63" s="239" t="str">
        <f>HYPERLINK("https://azeite-moura.pt","azeite-moura.pt")</f>
        <v>azeite-moura.pt</v>
      </c>
      <c r="H63" s="239" t="s">
        <v>8989</v>
      </c>
      <c r="I63" s="304" t="s">
        <v>8990</v>
      </c>
      <c r="J63" s="257" t="str">
        <f>HYPERLINK("https://www.google.com/maps/search/UNIAGRO%20%E2%80%94%20Azeite%20de%20Moura%20Moura%20DOP%20Portugal/@38.138,-7.4528,17z","🧀 UNIAGRO — Azeite de Moura")</f>
        <v>🧀 UNIAGRO — Azeite de Moura</v>
      </c>
    </row>
    <row r="64" spans="1:10" ht="110" customHeight="1" x14ac:dyDescent="0.35">
      <c r="A64" s="336">
        <v>60</v>
      </c>
      <c r="B64" s="242" t="s">
        <v>8991</v>
      </c>
      <c r="C64" s="243" t="s">
        <v>8977</v>
      </c>
      <c r="D64" s="242" t="s">
        <v>8943</v>
      </c>
      <c r="E64" s="242" t="s">
        <v>8992</v>
      </c>
      <c r="F64" s="242" t="s">
        <v>5501</v>
      </c>
      <c r="G64" s="242" t="str">
        <f>HYPERLINK("https://quintalixaazeite.pt","quintalixaazeite.pt")</f>
        <v>quintalixaazeite.pt</v>
      </c>
      <c r="H64" s="242" t="s">
        <v>8993</v>
      </c>
      <c r="I64" s="305" t="s">
        <v>8994</v>
      </c>
      <c r="J64" s="242" t="s">
        <v>3096</v>
      </c>
    </row>
    <row r="65" spans="1:10" ht="110" customHeight="1" x14ac:dyDescent="0.35">
      <c r="A65" s="338">
        <v>61</v>
      </c>
      <c r="B65" s="239" t="s">
        <v>8995</v>
      </c>
      <c r="C65" s="240" t="s">
        <v>8977</v>
      </c>
      <c r="D65" s="239" t="s">
        <v>8996</v>
      </c>
      <c r="E65" s="239" t="s">
        <v>8997</v>
      </c>
      <c r="F65" s="239" t="s">
        <v>1713</v>
      </c>
      <c r="G65" s="239" t="str">
        <f>HYPERLINK("https://olivicultores-bb.pt","olivicultores-bb.pt")</f>
        <v>olivicultores-bb.pt</v>
      </c>
      <c r="H65" s="239" t="s">
        <v>8998</v>
      </c>
      <c r="I65" s="304" t="s">
        <v>8999</v>
      </c>
      <c r="J65" s="257" t="str">
        <f>HYPERLINK("https://www.google.com/maps/search/Cooperativa%20Olivicultores%20Beira%20Baixa%20Beira%20Baixa%20DOP%20Portugal/@39.8225,-7.4929,17z","🧀 Cooperativa Olivicultores B…")</f>
        <v>🧀 Cooperativa Olivicultores B…</v>
      </c>
    </row>
    <row r="66" spans="1:10" ht="110" customHeight="1" x14ac:dyDescent="0.35">
      <c r="A66" s="336">
        <v>62</v>
      </c>
      <c r="B66" s="242" t="s">
        <v>9000</v>
      </c>
      <c r="C66" s="243" t="s">
        <v>8977</v>
      </c>
      <c r="D66" s="242" t="s">
        <v>2365</v>
      </c>
      <c r="E66" s="242" t="s">
        <v>9001</v>
      </c>
      <c r="F66" s="242" t="s">
        <v>7276</v>
      </c>
      <c r="G66" s="242" t="str">
        <f>HYPERLINK("https://quintacoa.pt","quintacoa.pt")</f>
        <v>quintacoa.pt</v>
      </c>
      <c r="H66" s="242" t="s">
        <v>9002</v>
      </c>
      <c r="I66" s="305" t="s">
        <v>9003</v>
      </c>
      <c r="J66" s="242" t="s">
        <v>3096</v>
      </c>
    </row>
    <row r="67" spans="1:10" ht="110" customHeight="1" x14ac:dyDescent="0.35">
      <c r="A67" s="338">
        <v>63</v>
      </c>
      <c r="B67" s="239" t="s">
        <v>9004</v>
      </c>
      <c r="C67" s="240" t="s">
        <v>9005</v>
      </c>
      <c r="D67" s="239" t="s">
        <v>9006</v>
      </c>
      <c r="E67" s="239" t="s">
        <v>9007</v>
      </c>
      <c r="F67" s="239" t="s">
        <v>9008</v>
      </c>
      <c r="G67" s="239" t="str">
        <f>HYPERLINK("https://conservasramirez.pt","conservasramirez.pt")</f>
        <v>conservasramirez.pt</v>
      </c>
      <c r="H67" s="239" t="s">
        <v>9009</v>
      </c>
      <c r="I67" s="304" t="s">
        <v>9010</v>
      </c>
      <c r="J67" s="257" t="str">
        <f>HYPERLINK("https://www.google.com/maps/search/Conservas%20Ramirez%20Matosinhos%20Portugal/@41.1835,-8.692,17z","🧀 Conservas Ramirez")</f>
        <v>🧀 Conservas Ramirez</v>
      </c>
    </row>
    <row r="68" spans="1:10" ht="110" customHeight="1" x14ac:dyDescent="0.35">
      <c r="A68" s="336">
        <v>64</v>
      </c>
      <c r="B68" s="242" t="s">
        <v>9011</v>
      </c>
      <c r="C68" s="243" t="s">
        <v>9005</v>
      </c>
      <c r="D68" s="242" t="s">
        <v>1363</v>
      </c>
      <c r="E68" s="242" t="s">
        <v>9012</v>
      </c>
      <c r="F68" s="242" t="s">
        <v>1363</v>
      </c>
      <c r="G68" s="242" t="str">
        <f>HYPERLINK("https://josegourmet.pt","josegourmet.pt")</f>
        <v>josegourmet.pt</v>
      </c>
      <c r="H68" s="242" t="s">
        <v>9013</v>
      </c>
      <c r="I68" s="305" t="s">
        <v>9014</v>
      </c>
      <c r="J68" s="258" t="str">
        <f>HYPERLINK("https://www.google.com/maps/search/Jos%C3%A9%20Gourmet%20Aveiro%20Portugal/@40.6412,-8.6535,17z","🧀 José Gourmet")</f>
        <v>🧀 José Gourmet</v>
      </c>
    </row>
    <row r="69" spans="1:10" ht="110" customHeight="1" x14ac:dyDescent="0.35">
      <c r="A69" s="338">
        <v>65</v>
      </c>
      <c r="B69" s="239" t="s">
        <v>9015</v>
      </c>
      <c r="C69" s="240" t="s">
        <v>9005</v>
      </c>
      <c r="D69" s="239" t="s">
        <v>8898</v>
      </c>
      <c r="E69" s="239" t="s">
        <v>9016</v>
      </c>
      <c r="F69" s="239" t="s">
        <v>9017</v>
      </c>
      <c r="G69" s="239" t="str">
        <f>HYPERLINK("https://cofaco.com","cofaco.com")</f>
        <v>cofaco.com</v>
      </c>
      <c r="H69" s="239" t="s">
        <v>9018</v>
      </c>
      <c r="I69" s="304" t="s">
        <v>9019</v>
      </c>
      <c r="J69" s="257" t="str">
        <f>HYPERLINK("https://www.google.com/maps/search/Cofaco%20%E2%80%94%20A%C3%A7ores%20Atlantis%20S%C3%A3o%20Miguel%20DOP%20Portugal/@37.7412,-25.6756,17z","🧀 Cofaco — Açores Atlantis")</f>
        <v>🧀 Cofaco — Açores Atlantis</v>
      </c>
    </row>
    <row r="70" spans="1:10" ht="110" customHeight="1" x14ac:dyDescent="0.35">
      <c r="A70" s="336">
        <v>66</v>
      </c>
      <c r="B70" s="242" t="s">
        <v>9020</v>
      </c>
      <c r="C70" s="243" t="s">
        <v>9005</v>
      </c>
      <c r="D70" s="242" t="s">
        <v>522</v>
      </c>
      <c r="E70" s="242" t="s">
        <v>9021</v>
      </c>
      <c r="F70" s="242" t="s">
        <v>3690</v>
      </c>
      <c r="G70" s="242" t="str">
        <f>HYPERLINK("https://saboresatlantico.pt","saboresatlantico.pt")</f>
        <v>saboresatlantico.pt</v>
      </c>
      <c r="H70" s="242" t="s">
        <v>9022</v>
      </c>
      <c r="I70" s="305" t="s">
        <v>9023</v>
      </c>
      <c r="J70" s="258" t="str">
        <f>HYPERLINK("https://www.google.com/maps/search/Sabores%20do%20Atl%C3%A2ntico%20A%C3%A7ores%20Portugal/@38.53,-28.6263,17z","🧀 Sabores do Atlântico")</f>
        <v>🧀 Sabores do Atlântico</v>
      </c>
    </row>
    <row r="71" spans="1:10" ht="110" customHeight="1" x14ac:dyDescent="0.35">
      <c r="A71" s="338">
        <v>67</v>
      </c>
      <c r="B71" s="239" t="s">
        <v>9024</v>
      </c>
      <c r="C71" s="240" t="s">
        <v>9005</v>
      </c>
      <c r="D71" s="239" t="s">
        <v>792</v>
      </c>
      <c r="E71" s="239" t="s">
        <v>9025</v>
      </c>
      <c r="F71" s="239" t="s">
        <v>8308</v>
      </c>
      <c r="G71" s="239" t="str">
        <f>HYPERLINK("https://samontes.pt","samontes.pt")</f>
        <v>samontes.pt</v>
      </c>
      <c r="H71" s="239" t="s">
        <v>9026</v>
      </c>
      <c r="I71" s="304" t="s">
        <v>9027</v>
      </c>
      <c r="J71" s="257" t="str">
        <f>HYPERLINK("https://www.google.com/maps/search/Trufas%20e%20Fumados%20Samontes%20Norte%20Portugal/@41.7023,-8.2834,17z","🧀 Trufas e Fumados Samontes")</f>
        <v>🧀 Trufas e Fumados Samontes</v>
      </c>
    </row>
    <row r="72" spans="1:10" ht="110" customHeight="1" x14ac:dyDescent="0.35">
      <c r="A72" s="336">
        <v>68</v>
      </c>
      <c r="B72" s="242" t="s">
        <v>9028</v>
      </c>
      <c r="C72" s="243" t="s">
        <v>8767</v>
      </c>
      <c r="D72" s="242" t="s">
        <v>9029</v>
      </c>
      <c r="E72" s="242" t="s">
        <v>9030</v>
      </c>
      <c r="F72" s="242" t="s">
        <v>8842</v>
      </c>
      <c r="G72" s="242" t="str">
        <f>HYPERLINK("https://queijasbarroso.pt","queijasbarroso.pt")</f>
        <v>queijasbarroso.pt</v>
      </c>
      <c r="H72" s="242" t="s">
        <v>9031</v>
      </c>
      <c r="I72" s="305" t="s">
        <v>9032</v>
      </c>
      <c r="J72" s="258" t="str">
        <f>HYPERLINK("https://www.google.com/maps/search/Queijaria%20Artesanal%20do%20Barroso%20Portugal/@41.8237,-7.7891,17z","🧀 Queijaria Artesanal do Barr…")</f>
        <v>🧀 Queijaria Artesanal do Barr…</v>
      </c>
    </row>
    <row r="73" spans="1:10" ht="110" customHeight="1" x14ac:dyDescent="0.35">
      <c r="A73" s="338">
        <v>69</v>
      </c>
      <c r="B73" s="239" t="s">
        <v>9033</v>
      </c>
      <c r="C73" s="240" t="s">
        <v>8767</v>
      </c>
      <c r="D73" s="239" t="s">
        <v>9034</v>
      </c>
      <c r="E73" s="239" t="s">
        <v>9035</v>
      </c>
      <c r="F73" s="239" t="s">
        <v>9036</v>
      </c>
      <c r="G73" s="239" t="str">
        <f>HYPERLINK("https://lacticoop-nordeste.pt","lacticoop-nordeste.pt")</f>
        <v>lacticoop-nordeste.pt</v>
      </c>
      <c r="H73" s="239" t="s">
        <v>9037</v>
      </c>
      <c r="I73" s="304" t="s">
        <v>9038</v>
      </c>
      <c r="J73" s="257" t="str">
        <f>HYPERLINK("https://www.google.com/maps/search/Cooperativa%20Lacticinios%20Nordeste%20Tras-os-Montes%20Portugal/@41.496,-6.2741,17z","🧀 Cooperativa Lacticinios Nor…")</f>
        <v>🧀 Cooperativa Lacticinios Nor…</v>
      </c>
    </row>
    <row r="74" spans="1:10" ht="110" customHeight="1" x14ac:dyDescent="0.35">
      <c r="A74" s="336">
        <v>70</v>
      </c>
      <c r="B74" s="242" t="s">
        <v>9039</v>
      </c>
      <c r="C74" s="243" t="s">
        <v>8767</v>
      </c>
      <c r="D74" s="242" t="s">
        <v>623</v>
      </c>
      <c r="E74" s="242" t="s">
        <v>9040</v>
      </c>
      <c r="F74" s="242" t="s">
        <v>8308</v>
      </c>
      <c r="G74" s="242" t="str">
        <f>HYPERLINK("https://quintalavandeira.pt","quintalavandeira.pt")</f>
        <v>quintalavandeira.pt</v>
      </c>
      <c r="H74" s="242" t="s">
        <v>9041</v>
      </c>
      <c r="I74" s="305" t="s">
        <v>9042</v>
      </c>
      <c r="J74" s="258" t="str">
        <f>HYPERLINK("https://www.google.com/maps/search/Queijos%20do%20Geres%20Quinta%20Lavandeira%20Minho%20Portugal/@41.7023,-8.2834,17z","🧀 Queijos do Geres Quinta Lav…")</f>
        <v>🧀 Queijos do Geres Quinta Lav…</v>
      </c>
    </row>
    <row r="75" spans="1:10" ht="110" customHeight="1" x14ac:dyDescent="0.35">
      <c r="A75" s="338">
        <v>71</v>
      </c>
      <c r="B75" s="239" t="s">
        <v>9043</v>
      </c>
      <c r="C75" s="240" t="s">
        <v>8767</v>
      </c>
      <c r="D75" s="239" t="s">
        <v>633</v>
      </c>
      <c r="E75" s="239" t="s">
        <v>9044</v>
      </c>
      <c r="F75" s="239" t="s">
        <v>9045</v>
      </c>
      <c r="G75" s="239" t="str">
        <f>HYPERLINK("https://lacvalodouro.pt","lacvalodouro.pt")</f>
        <v>lacvalodouro.pt</v>
      </c>
      <c r="H75" s="239" t="s">
        <v>9046</v>
      </c>
      <c r="I75" s="304" t="s">
        <v>9047</v>
      </c>
      <c r="J75" s="257" t="str">
        <f>HYPERLINK("https://www.google.com/maps/search/Lacticinios%20Vale%20do%20Douro%20Portugal/@41.162,-7.7857,17z","🧀 Lacticinios Vale do Douro")</f>
        <v>🧀 Lacticinios Vale do Douro</v>
      </c>
    </row>
    <row r="76" spans="1:10" ht="110" customHeight="1" x14ac:dyDescent="0.35">
      <c r="A76" s="336">
        <v>72</v>
      </c>
      <c r="B76" s="242" t="s">
        <v>9048</v>
      </c>
      <c r="C76" s="243" t="s">
        <v>8781</v>
      </c>
      <c r="D76" s="242" t="s">
        <v>9049</v>
      </c>
      <c r="E76" s="242" t="s">
        <v>9050</v>
      </c>
      <c r="F76" s="242" t="s">
        <v>8842</v>
      </c>
      <c r="G76" s="242" t="str">
        <f>HYPERLINK("https://melbarroso.pt","melbarroso.pt")</f>
        <v>melbarroso.pt</v>
      </c>
      <c r="H76" s="242" t="s">
        <v>8932</v>
      </c>
      <c r="I76" s="305" t="s">
        <v>9051</v>
      </c>
      <c r="J76" s="258" t="str">
        <f>HYPERLINK("https://www.google.com/maps/search/Mel%20de%20Barroso%20ACOB%20Barroso%20DOP%20Portugal/@41.8237,-7.7891,17z","🧀 Mel de Barroso ACOB")</f>
        <v>🧀 Mel de Barroso ACOB</v>
      </c>
    </row>
    <row r="77" spans="1:10" ht="110" customHeight="1" x14ac:dyDescent="0.35">
      <c r="A77" s="338">
        <v>73</v>
      </c>
      <c r="B77" s="239" t="s">
        <v>9052</v>
      </c>
      <c r="C77" s="240" t="s">
        <v>8781</v>
      </c>
      <c r="D77" s="239" t="s">
        <v>623</v>
      </c>
      <c r="E77" s="239" t="s">
        <v>9053</v>
      </c>
      <c r="F77" s="239" t="s">
        <v>8308</v>
      </c>
      <c r="G77" s="239" t="str">
        <f>HYPERLINK("https://apiariosgeres.pt","apiariosgeres.pt")</f>
        <v>apiariosgeres.pt</v>
      </c>
      <c r="H77" s="239" t="s">
        <v>8927</v>
      </c>
      <c r="I77" s="304" t="s">
        <v>9054</v>
      </c>
      <c r="J77" s="257" t="str">
        <f>HYPERLINK("https://www.google.com/maps/search/Apiarios%20do%20Geres%20Minho%20Portugal/@41.7023,-8.2834,17z","🧀 Apiarios do Geres")</f>
        <v>🧀 Apiarios do Geres</v>
      </c>
    </row>
    <row r="78" spans="1:10" ht="110" customHeight="1" x14ac:dyDescent="0.35">
      <c r="A78" s="336">
        <v>74</v>
      </c>
      <c r="B78" s="242" t="s">
        <v>9055</v>
      </c>
      <c r="C78" s="243" t="s">
        <v>8781</v>
      </c>
      <c r="D78" s="242" t="s">
        <v>9056</v>
      </c>
      <c r="E78" s="242" t="s">
        <v>9057</v>
      </c>
      <c r="F78" s="242" t="s">
        <v>8369</v>
      </c>
      <c r="G78" s="242" t="str">
        <f>HYPERLINK("https://casadomel-minho.pt","casadomel-minho.pt")</f>
        <v>casadomel-minho.pt</v>
      </c>
      <c r="H78" s="242" t="s">
        <v>9058</v>
      </c>
      <c r="I78" s="305" t="s">
        <v>9059</v>
      </c>
      <c r="J78" s="258" t="str">
        <f>HYPERLINK("https://www.google.com/maps/search/Casa%20do%20Mel%20Sabores%20do%20Minho%20Portugal/@41.7677,-8.5773,17z","🧀 Casa do Mel Sabores do Minho")</f>
        <v>🧀 Casa do Mel Sabores do Minho</v>
      </c>
    </row>
    <row r="79" spans="1:10" ht="110" customHeight="1" x14ac:dyDescent="0.35">
      <c r="A79" s="338">
        <v>75</v>
      </c>
      <c r="B79" s="239" t="s">
        <v>9060</v>
      </c>
      <c r="C79" s="240" t="s">
        <v>8948</v>
      </c>
      <c r="D79" s="239" t="s">
        <v>9061</v>
      </c>
      <c r="E79" s="239" t="s">
        <v>9062</v>
      </c>
      <c r="F79" s="239" t="s">
        <v>9063</v>
      </c>
      <c r="G79" s="239" t="str">
        <f>HYPERLINK("https://fumeironordeste.pt","fumeironordeste.pt")</f>
        <v>fumeironordeste.pt</v>
      </c>
      <c r="H79" s="239" t="s">
        <v>9064</v>
      </c>
      <c r="I79" s="304" t="s">
        <v>9065</v>
      </c>
      <c r="J79" s="257" t="str">
        <f>HYPERLINK("https://www.google.com/maps/search/Fumeiro%20do%20Nordeste%20Vinhais%20IGP%20Portugal/@41.8387,-7.0024,17z","🧀 Fumeiro do Nordeste")</f>
        <v>🧀 Fumeiro do Nordeste</v>
      </c>
    </row>
    <row r="80" spans="1:10" ht="110" customHeight="1" x14ac:dyDescent="0.35">
      <c r="A80" s="336">
        <v>76</v>
      </c>
      <c r="B80" s="242" t="s">
        <v>9066</v>
      </c>
      <c r="C80" s="243" t="s">
        <v>8948</v>
      </c>
      <c r="D80" s="242" t="s">
        <v>623</v>
      </c>
      <c r="E80" s="242" t="s">
        <v>9067</v>
      </c>
      <c r="F80" s="242" t="s">
        <v>1580</v>
      </c>
      <c r="G80" s="242" t="str">
        <f>HYPERLINK("https://bomsavor.pt","bomsavor.pt")</f>
        <v>bomsavor.pt</v>
      </c>
      <c r="H80" s="242" t="s">
        <v>9068</v>
      </c>
      <c r="I80" s="305" t="s">
        <v>9069</v>
      </c>
      <c r="J80" s="258" t="str">
        <f>HYPERLINK("https://www.google.com/maps/search/Carnes%20e%20Enchidos%20Bom%20Savor%20Minho%20Portugal/@41.5311,-8.6186,17z","🧀 Carnes e Enchidos Bom Savor")</f>
        <v>🧀 Carnes e Enchidos Bom Savor</v>
      </c>
    </row>
    <row r="81" spans="1:10" ht="110" customHeight="1" x14ac:dyDescent="0.35">
      <c r="A81" s="338">
        <v>77</v>
      </c>
      <c r="B81" s="239" t="s">
        <v>9070</v>
      </c>
      <c r="C81" s="240" t="s">
        <v>8977</v>
      </c>
      <c r="D81" s="239" t="s">
        <v>633</v>
      </c>
      <c r="E81" s="239" t="s">
        <v>9071</v>
      </c>
      <c r="F81" s="239" t="s">
        <v>9072</v>
      </c>
      <c r="G81" s="239" t="str">
        <f>HYPERLINK("https://passadouro.pt","passadouro.pt")</f>
        <v>passadouro.pt</v>
      </c>
      <c r="H81" s="239" t="s">
        <v>9073</v>
      </c>
      <c r="I81" s="304" t="s">
        <v>9074</v>
      </c>
      <c r="J81" s="257" t="str">
        <f>HYPERLINK("https://www.google.com/maps/search/Quinta%20do%20Passadouro%20Azeite%20Douro%20Portugal/@41.2779,-7.5772,17z","🧀 Quinta do Passadouro Azeite")</f>
        <v>🧀 Quinta do Passadouro Azeite</v>
      </c>
    </row>
    <row r="82" spans="1:10" ht="110" customHeight="1" x14ac:dyDescent="0.35">
      <c r="A82" s="336">
        <v>78</v>
      </c>
      <c r="B82" s="242" t="s">
        <v>9075</v>
      </c>
      <c r="C82" s="243" t="s">
        <v>8977</v>
      </c>
      <c r="D82" s="242" t="s">
        <v>9076</v>
      </c>
      <c r="E82" s="242" t="s">
        <v>9077</v>
      </c>
      <c r="F82" s="242" t="s">
        <v>9078</v>
      </c>
      <c r="G82" s="242" t="str">
        <f>HYPERLINK("https://azeite-norte.pt","azeite-norte.pt")</f>
        <v>azeite-norte.pt</v>
      </c>
      <c r="H82" s="242" t="s">
        <v>8984</v>
      </c>
      <c r="I82" s="305" t="s">
        <v>9079</v>
      </c>
      <c r="J82" s="258" t="str">
        <f>HYPERLINK("https://www.google.com/maps/search/Cooperativa%20Azeites%20Tras-os-Montes%20Tras-os-Montes%20DOP%20Portugal/@41.4864,-7.1804,17z","🧀 Cooperativa Azeites Tras-os…")</f>
        <v>🧀 Cooperativa Azeites Tras-os…</v>
      </c>
    </row>
    <row r="83" spans="1:10" ht="110" customHeight="1" x14ac:dyDescent="0.35">
      <c r="A83" s="338">
        <v>79</v>
      </c>
      <c r="B83" s="239" t="s">
        <v>9080</v>
      </c>
      <c r="C83" s="240" t="s">
        <v>8977</v>
      </c>
      <c r="D83" s="239" t="s">
        <v>9034</v>
      </c>
      <c r="E83" s="239" t="s">
        <v>9081</v>
      </c>
      <c r="F83" s="239" t="s">
        <v>1458</v>
      </c>
      <c r="G83" s="239" t="str">
        <f>HYPERLINK("https://azeite-chaves.pt","azeite-chaves.pt")</f>
        <v>azeite-chaves.pt</v>
      </c>
      <c r="H83" s="239" t="s">
        <v>9082</v>
      </c>
      <c r="I83" s="304" t="s">
        <v>9083</v>
      </c>
      <c r="J83" s="257" t="str">
        <f>HYPERLINK("https://www.google.com/maps/search/Herdade%20da%20Courela%20Azeite%20Norte%20Tras-os-Montes%20Portugal/@41.7399,-7.4705,17z","🧀 Herdade da Courela Azeite N…")</f>
        <v>🧀 Herdade da Courela Azeite N…</v>
      </c>
    </row>
    <row r="84" spans="1:10" ht="110" customHeight="1" x14ac:dyDescent="0.35">
      <c r="A84" s="336">
        <v>80</v>
      </c>
      <c r="B84" s="242" t="s">
        <v>9084</v>
      </c>
      <c r="C84" s="243" t="s">
        <v>9085</v>
      </c>
      <c r="D84" s="242" t="s">
        <v>9086</v>
      </c>
      <c r="E84" s="242" t="s">
        <v>9087</v>
      </c>
      <c r="F84" s="242" t="s">
        <v>9063</v>
      </c>
      <c r="G84" s="242" t="str">
        <f>HYPERLINK("https://castanhatm.pt","castanhatm.pt")</f>
        <v>castanhatm.pt</v>
      </c>
      <c r="H84" s="242" t="s">
        <v>9088</v>
      </c>
      <c r="I84" s="305" t="s">
        <v>9089</v>
      </c>
      <c r="J84" s="258" t="str">
        <f>HYPERLINK("https://www.google.com/maps/search/Associacao%20Castanha%20Transmontana%20Castanha%20DOP%20Portugal/@41.8387,-7.0024,17z","🧀 Associacao Castanha Transmo…")</f>
        <v>🧀 Associacao Castanha Transmo…</v>
      </c>
    </row>
    <row r="85" spans="1:10" ht="110" customHeight="1" x14ac:dyDescent="0.35">
      <c r="A85" s="338">
        <v>81</v>
      </c>
      <c r="B85" s="239" t="s">
        <v>9090</v>
      </c>
      <c r="C85" s="240" t="s">
        <v>9085</v>
      </c>
      <c r="D85" s="239" t="s">
        <v>633</v>
      </c>
      <c r="E85" s="239" t="s">
        <v>9091</v>
      </c>
      <c r="F85" s="239" t="s">
        <v>9045</v>
      </c>
      <c r="G85" s="239" t="str">
        <f>HYPERLINK("https://cerejadouro.pt","cerejadouro.pt")</f>
        <v>cerejadouro.pt</v>
      </c>
      <c r="H85" s="239" t="s">
        <v>9092</v>
      </c>
      <c r="I85" s="304" t="s">
        <v>9093</v>
      </c>
      <c r="J85" s="257" t="str">
        <f>HYPERLINK("https://www.google.com/maps/search/Cerejeiras%20do%20Douro%20Cooperativa%20Portugal/@41.162,-7.7857,17z","🧀 Cerejeiras do Douro Coopera…")</f>
        <v>🧀 Cerejeiras do Douro Coopera…</v>
      </c>
    </row>
    <row r="86" spans="1:10" ht="110" customHeight="1" x14ac:dyDescent="0.35">
      <c r="A86" s="336">
        <v>82</v>
      </c>
      <c r="B86" s="242" t="s">
        <v>9094</v>
      </c>
      <c r="C86" s="243" t="s">
        <v>9005</v>
      </c>
      <c r="D86" s="242" t="s">
        <v>9095</v>
      </c>
      <c r="E86" s="242" t="s">
        <v>9096</v>
      </c>
      <c r="F86" s="242" t="s">
        <v>9008</v>
      </c>
      <c r="G86" s="242" t="str">
        <f>HYPERLINK("https://conservasramirez.pt","conservasramirez.pt")</f>
        <v>conservasramirez.pt</v>
      </c>
      <c r="H86" s="242" t="s">
        <v>9009</v>
      </c>
      <c r="I86" s="305" t="s">
        <v>9097</v>
      </c>
      <c r="J86" s="258" t="str">
        <f>HYPERLINK("https://www.google.com/maps/search/Conservas%20Ramirez%20Matosinhos%20Porto%20Portugal/@41.1835,-8.692,17z","🧀 Conservas Ramirez Matosinhos")</f>
        <v>🧀 Conservas Ramirez Matosinhos</v>
      </c>
    </row>
    <row r="87" spans="1:10" ht="110" customHeight="1" x14ac:dyDescent="0.35">
      <c r="A87" s="338">
        <v>83</v>
      </c>
      <c r="B87" s="239" t="s">
        <v>9098</v>
      </c>
      <c r="C87" s="240" t="s">
        <v>9005</v>
      </c>
      <c r="D87" s="239" t="s">
        <v>623</v>
      </c>
      <c r="E87" s="239" t="s">
        <v>9099</v>
      </c>
      <c r="F87" s="239" t="s">
        <v>1149</v>
      </c>
      <c r="G87" s="239" t="str">
        <f>HYPERLINK("https://tricana.pt","tricana.pt")</f>
        <v>tricana.pt</v>
      </c>
      <c r="H87" s="239" t="s">
        <v>9100</v>
      </c>
      <c r="I87" s="304" t="s">
        <v>9101</v>
      </c>
      <c r="J87" s="257" t="str">
        <f>HYPERLINK("https://www.google.com/maps/search/Tricana%20Conservas%20Artesanais%20Minho%20Portugal/@41.6944,-8.8346,17z","🧀 Tricana Conservas Artesanais")</f>
        <v>🧀 Tricana Conservas Artesanais</v>
      </c>
    </row>
    <row r="88" spans="1:10" ht="110" customHeight="1" x14ac:dyDescent="0.35">
      <c r="A88" s="336">
        <v>84</v>
      </c>
      <c r="B88" s="242" t="s">
        <v>9102</v>
      </c>
      <c r="C88" s="243" t="s">
        <v>9005</v>
      </c>
      <c r="D88" s="242" t="s">
        <v>9103</v>
      </c>
      <c r="E88" s="242" t="s">
        <v>9104</v>
      </c>
      <c r="F88" s="242" t="s">
        <v>8308</v>
      </c>
      <c r="G88" s="242" t="str">
        <f>HYPERLINK("https://samontes.pt","samontes.pt")</f>
        <v>samontes.pt</v>
      </c>
      <c r="H88" s="242" t="s">
        <v>9026</v>
      </c>
      <c r="I88" s="305" t="s">
        <v>9105</v>
      </c>
      <c r="J88" s="258" t="str">
        <f>HYPERLINK("https://www.google.com/maps/search/Samontes%20Truta%20Fumada%20Geres%20Portugal/@41.7023,-8.2834,17z","🧀 Samontes Truta Fumada")</f>
        <v>🧀 Samontes Truta Fumada</v>
      </c>
    </row>
    <row r="89" spans="1:10" ht="110" customHeight="1" x14ac:dyDescent="0.35">
      <c r="A89" s="338">
        <v>85</v>
      </c>
      <c r="B89" s="239" t="s">
        <v>9106</v>
      </c>
      <c r="C89" s="240" t="s">
        <v>9107</v>
      </c>
      <c r="D89" s="239" t="s">
        <v>623</v>
      </c>
      <c r="E89" s="239" t="s">
        <v>9108</v>
      </c>
      <c r="F89" s="239" t="s">
        <v>1149</v>
      </c>
      <c r="G89" s="239" t="str">
        <f>HYPERLINK("https://primalact.pt","primalact.pt")</f>
        <v>primalact.pt</v>
      </c>
      <c r="H89" s="239" t="s">
        <v>9109</v>
      </c>
      <c r="I89" s="304" t="s">
        <v>9110</v>
      </c>
      <c r="J89" s="257" t="str">
        <f>HYPERLINK("https://www.google.com/maps/search/Lacticinios%20Primalact%20Viana%20Minho%20Portugal/@41.6944,-8.8346,17z","🧀 Lacticinios Primalact Viana")</f>
        <v>🧀 Lacticinios Primalact Viana</v>
      </c>
    </row>
    <row r="90" spans="1:10" ht="110" customHeight="1" x14ac:dyDescent="0.35">
      <c r="A90" s="336">
        <v>86</v>
      </c>
      <c r="B90" s="242" t="s">
        <v>9111</v>
      </c>
      <c r="C90" s="243" t="s">
        <v>8781</v>
      </c>
      <c r="D90" s="242" t="s">
        <v>4105</v>
      </c>
      <c r="E90" s="242" t="s">
        <v>9112</v>
      </c>
      <c r="F90" s="242" t="s">
        <v>2467</v>
      </c>
      <c r="G90" s="242" t="str">
        <f>HYPERLINK("https://melestella.pt","melestella.pt")</f>
        <v>melestella.pt</v>
      </c>
      <c r="H90" s="242" t="s">
        <v>9113</v>
      </c>
      <c r="I90" s="305" t="s">
        <v>9114</v>
      </c>
      <c r="J90" s="258" t="str">
        <f>HYPERLINK("https://www.google.com/maps/search/Apiarios%20da%20Estrela%20Serra%20da%20Estrela%20Portugal/@40.4166,-7.6985,17z","🧀 Apiarios da Estrela")</f>
        <v>🧀 Apiarios da Estrela</v>
      </c>
    </row>
    <row r="91" spans="1:10" ht="110" customHeight="1" x14ac:dyDescent="0.35">
      <c r="A91" s="338">
        <v>87</v>
      </c>
      <c r="B91" s="239" t="s">
        <v>9115</v>
      </c>
      <c r="C91" s="240" t="s">
        <v>8781</v>
      </c>
      <c r="D91" s="239" t="s">
        <v>9116</v>
      </c>
      <c r="E91" s="239" t="s">
        <v>9117</v>
      </c>
      <c r="F91" s="239" t="s">
        <v>9118</v>
      </c>
      <c r="G91" s="239" t="str">
        <f>HYPERLINK("https://meldalousa.pt","meldalousa.pt")</f>
        <v>meldalousa.pt</v>
      </c>
      <c r="H91" s="239" t="s">
        <v>9119</v>
      </c>
      <c r="I91" s="304" t="s">
        <v>9120</v>
      </c>
      <c r="J91" s="257" t="str">
        <f>HYPERLINK("https://www.google.com/maps/search/Mel%20da%20Serra%20da%20Lousa%20Serra%20da%20Lousa%20DOP%20Portugal/@40.1113,-8.242,17z","🧀 Mel da Serra da Lousa")</f>
        <v>🧀 Mel da Serra da Lousa</v>
      </c>
    </row>
    <row r="92" spans="1:10" ht="110" customHeight="1" x14ac:dyDescent="0.35">
      <c r="A92" s="336">
        <v>88</v>
      </c>
      <c r="B92" s="242" t="s">
        <v>9121</v>
      </c>
      <c r="C92" s="243" t="s">
        <v>8781</v>
      </c>
      <c r="D92" s="242" t="s">
        <v>9122</v>
      </c>
      <c r="E92" s="242" t="s">
        <v>9123</v>
      </c>
      <c r="F92" s="242" t="s">
        <v>9124</v>
      </c>
      <c r="G92" s="242" t="str">
        <f>HYPERLINK("https://casadabelha.pt","casadabelha.pt")</f>
        <v>casadabelha.pt</v>
      </c>
      <c r="H92" s="242" t="s">
        <v>9125</v>
      </c>
      <c r="I92" s="305" t="s">
        <v>9126</v>
      </c>
      <c r="J92" s="258" t="str">
        <f>HYPERLINK("https://www.google.com/maps/search/Casa%20da%20Abelha%20Fundao%20Beira%20Baixa%20Portugal/@40.1392,-7.5014,17z","🧀 Casa da Abelha Fundao")</f>
        <v>🧀 Casa da Abelha Fundao</v>
      </c>
    </row>
    <row r="93" spans="1:10" ht="110" customHeight="1" x14ac:dyDescent="0.35">
      <c r="A93" s="338">
        <v>89</v>
      </c>
      <c r="B93" s="239" t="s">
        <v>9127</v>
      </c>
      <c r="C93" s="240" t="s">
        <v>8948</v>
      </c>
      <c r="D93" s="239" t="s">
        <v>4105</v>
      </c>
      <c r="E93" s="239" t="s">
        <v>9128</v>
      </c>
      <c r="F93" s="239" t="s">
        <v>2467</v>
      </c>
      <c r="G93" s="239" t="str">
        <f>HYPERLINK("https://fumeiroestrela.pt","fumeiroestrela.pt")</f>
        <v>fumeiroestrela.pt</v>
      </c>
      <c r="H93" s="239" t="s">
        <v>9129</v>
      </c>
      <c r="I93" s="304" t="s">
        <v>9130</v>
      </c>
      <c r="J93" s="257" t="str">
        <f>HYPERLINK("https://www.google.com/maps/search/Fumeiro%20da%20Estrela%20Serra%20da%20Estrela%20Portugal/@40.4166,-7.6985,17z","🧀 Fumeiro da Estrela")</f>
        <v>🧀 Fumeiro da Estrela</v>
      </c>
    </row>
    <row r="94" spans="1:10" ht="110" customHeight="1" x14ac:dyDescent="0.35">
      <c r="A94" s="336">
        <v>90</v>
      </c>
      <c r="B94" s="242" t="s">
        <v>9131</v>
      </c>
      <c r="C94" s="243" t="s">
        <v>8948</v>
      </c>
      <c r="D94" s="242" t="s">
        <v>9122</v>
      </c>
      <c r="E94" s="242" t="s">
        <v>9132</v>
      </c>
      <c r="F94" s="242" t="s">
        <v>9133</v>
      </c>
      <c r="G94" s="242" t="str">
        <f>HYPERLINK("https://enchoidos-centro.pt","enchoidos-centro.pt")</f>
        <v>enchoidos-centro.pt</v>
      </c>
      <c r="H94" s="242" t="s">
        <v>9134</v>
      </c>
      <c r="I94" s="305" t="s">
        <v>9135</v>
      </c>
      <c r="J94" s="258" t="str">
        <f>HYPERLINK("https://www.google.com/maps/search/Enchidos%20Tradicionais%20do%20Centro%20Beira%20Baixa%20Portugal/@40.2802,-7.5042,17z","🧀 Enchidos Tradicionais do Ce…")</f>
        <v>🧀 Enchidos Tradicionais do Ce…</v>
      </c>
    </row>
    <row r="95" spans="1:10" ht="110" customHeight="1" x14ac:dyDescent="0.35">
      <c r="A95" s="338">
        <v>91</v>
      </c>
      <c r="B95" s="239" t="s">
        <v>9136</v>
      </c>
      <c r="C95" s="240" t="s">
        <v>8977</v>
      </c>
      <c r="D95" s="239" t="s">
        <v>9137</v>
      </c>
      <c r="E95" s="239" t="s">
        <v>9138</v>
      </c>
      <c r="F95" s="239" t="s">
        <v>950</v>
      </c>
      <c r="G95" s="239" t="str">
        <f>HYPERLINK("https://quintacruzeiro.pt","quintacruzeiro.pt")</f>
        <v>quintacruzeiro.pt</v>
      </c>
      <c r="H95" s="239" t="s">
        <v>9139</v>
      </c>
      <c r="I95" s="304" t="s">
        <v>9140</v>
      </c>
      <c r="J95" s="257" t="str">
        <f>HYPERLINK("https://www.google.com/maps/search/Quinta%20do%20Cruzeiro%20Azeite%20Beira%20Alta%20Portugal/@40.6574,-7.9101,17z","🧀 Quinta do Cruzeiro Azeite")</f>
        <v>🧀 Quinta do Cruzeiro Azeite</v>
      </c>
    </row>
    <row r="96" spans="1:10" ht="110" customHeight="1" x14ac:dyDescent="0.35">
      <c r="A96" s="336">
        <v>92</v>
      </c>
      <c r="B96" s="242" t="s">
        <v>9141</v>
      </c>
      <c r="C96" s="243" t="s">
        <v>8977</v>
      </c>
      <c r="D96" s="242" t="s">
        <v>644</v>
      </c>
      <c r="E96" s="242" t="s">
        <v>9142</v>
      </c>
      <c r="F96" s="242" t="s">
        <v>5497</v>
      </c>
      <c r="G96" s="242" t="str">
        <f>HYPERLINK("https://herdadesobreiro.pt","herdadesobreiro.pt")</f>
        <v>herdadesobreiro.pt</v>
      </c>
      <c r="H96" s="242" t="s">
        <v>9143</v>
      </c>
      <c r="I96" s="305" t="s">
        <v>9144</v>
      </c>
      <c r="J96" s="258" t="str">
        <f>HYPERLINK("https://www.google.com/maps/search/Herdade%20do%20Sobreiro%20Azeite%20Centro%20Coimbra%20Portugal/@40.2033,-8.4103,17z","🧀 Herdade do Sobreiro Azeite …")</f>
        <v>🧀 Herdade do Sobreiro Azeite …</v>
      </c>
    </row>
    <row r="97" spans="1:10" ht="110" customHeight="1" x14ac:dyDescent="0.35">
      <c r="A97" s="338">
        <v>93</v>
      </c>
      <c r="B97" s="239" t="s">
        <v>9145</v>
      </c>
      <c r="C97" s="240" t="s">
        <v>9085</v>
      </c>
      <c r="D97" s="239" t="s">
        <v>9146</v>
      </c>
      <c r="E97" s="239" t="s">
        <v>9147</v>
      </c>
      <c r="F97" s="239" t="s">
        <v>9148</v>
      </c>
      <c r="G97" s="239" t="str">
        <f>HYPERLINK("https://macaalcobaca.pt","macaalcobaca.pt")</f>
        <v>macaalcobaca.pt</v>
      </c>
      <c r="H97" s="239" t="s">
        <v>9149</v>
      </c>
      <c r="I97" s="304" t="s">
        <v>9150</v>
      </c>
      <c r="J97" s="257" t="str">
        <f>HYPERLINK("https://www.google.com/maps/search/Associacao%20Produtores%20Maca%20de%20Alcobaca%20Oeste%20DOP%20Portugal/@39.5491,-8.9752,17z","🧀 Associacao Produtores Maca …")</f>
        <v>🧀 Associacao Produtores Maca …</v>
      </c>
    </row>
    <row r="98" spans="1:10" ht="110" customHeight="1" x14ac:dyDescent="0.35">
      <c r="A98" s="336">
        <v>94</v>
      </c>
      <c r="B98" s="242" t="s">
        <v>9151</v>
      </c>
      <c r="C98" s="243" t="s">
        <v>9085</v>
      </c>
      <c r="D98" s="242" t="s">
        <v>9152</v>
      </c>
      <c r="E98" s="242" t="s">
        <v>9153</v>
      </c>
      <c r="F98" s="242" t="s">
        <v>9124</v>
      </c>
      <c r="G98" s="242" t="str">
        <f>HYPERLINK("https://cereja-cova.pt","cereja-cova.pt")</f>
        <v>cereja-cova.pt</v>
      </c>
      <c r="H98" s="242" t="s">
        <v>9154</v>
      </c>
      <c r="I98" s="305" t="s">
        <v>9155</v>
      </c>
      <c r="J98" s="258" t="str">
        <f>HYPERLINK("https://www.google.com/maps/search/Cereja%20da%20Cova%20da%20Beira%20Cooperativa%20Cova%20da%20Beira%20IGP%20Portugal/@40.1392,-7.5014,17z","🧀 Cereja da Cova da Beira Coo…")</f>
        <v>🧀 Cereja da Cova da Beira Coo…</v>
      </c>
    </row>
    <row r="99" spans="1:10" ht="110" customHeight="1" x14ac:dyDescent="0.35">
      <c r="A99" s="338">
        <v>95</v>
      </c>
      <c r="B99" s="239" t="s">
        <v>9156</v>
      </c>
      <c r="C99" s="240" t="s">
        <v>9085</v>
      </c>
      <c r="D99" s="239" t="s">
        <v>9146</v>
      </c>
      <c r="E99" s="239" t="s">
        <v>9157</v>
      </c>
      <c r="F99" s="239" t="s">
        <v>9158</v>
      </c>
      <c r="G99" s="239" t="str">
        <f>HYPERLINK("https://perarodha.pt","perarodha.pt")</f>
        <v>perarodha.pt</v>
      </c>
      <c r="H99" s="239" t="s">
        <v>9159</v>
      </c>
      <c r="I99" s="304" t="s">
        <v>9160</v>
      </c>
      <c r="J99" s="257" t="str">
        <f>HYPERLINK("https://www.google.com/maps/search/Quinta%20Boa%20Esperanca%20Pera%20Rocha%20Oeste%20DOP%20Portugal/@39.4028,-9.1369,17z","🧀 Quinta Boa Esperanca Pera R…")</f>
        <v>🧀 Quinta Boa Esperanca Pera R…</v>
      </c>
    </row>
    <row r="100" spans="1:10" ht="110" customHeight="1" x14ac:dyDescent="0.35">
      <c r="A100" s="336">
        <v>96</v>
      </c>
      <c r="B100" s="242" t="s">
        <v>9161</v>
      </c>
      <c r="C100" s="243" t="s">
        <v>9005</v>
      </c>
      <c r="D100" s="242" t="s">
        <v>650</v>
      </c>
      <c r="E100" s="242" t="s">
        <v>9162</v>
      </c>
      <c r="F100" s="242" t="s">
        <v>9163</v>
      </c>
      <c r="G100" s="242" t="str">
        <f>HYPERLINK("https://saldacosta.pt","saldacosta.pt")</f>
        <v>saldacosta.pt</v>
      </c>
      <c r="H100" s="242" t="s">
        <v>9164</v>
      </c>
      <c r="I100" s="305" t="s">
        <v>9165</v>
      </c>
      <c r="J100" s="258" t="str">
        <f>HYPERLINK("https://www.google.com/maps/search/Sal%20da%20Costa%20Flor%20de%20Sal%20Aveiro%20Portugal/@40.6019,-8.6686,17z","🧀 Sal da Costa Flor de Sal Av…")</f>
        <v>🧀 Sal da Costa Flor de Sal Av…</v>
      </c>
    </row>
    <row r="101" spans="1:10" ht="110" customHeight="1" x14ac:dyDescent="0.35">
      <c r="A101" s="338">
        <v>97</v>
      </c>
      <c r="B101" s="239" t="s">
        <v>9166</v>
      </c>
      <c r="C101" s="240" t="s">
        <v>9005</v>
      </c>
      <c r="D101" s="239" t="s">
        <v>9167</v>
      </c>
      <c r="E101" s="239" t="s">
        <v>9168</v>
      </c>
      <c r="F101" s="239" t="s">
        <v>9169</v>
      </c>
      <c r="G101" s="239" t="str">
        <f>HYPERLINK("https://arrozcarolino.pt","arrozcarolino.pt")</f>
        <v>arrozcarolino.pt</v>
      </c>
      <c r="H101" s="239" t="s">
        <v>9170</v>
      </c>
      <c r="I101" s="304" t="s">
        <v>9171</v>
      </c>
      <c r="J101" s="257" t="str">
        <f>HYPERLINK("https://www.google.com/maps/search/Arroz%20Carolino%20Mondego%20Baixo%20Mondego%20IGP%20Portugal/@40.747,-8.569,17z","🧀 Arroz Carolino Mondego")</f>
        <v>🧀 Arroz Carolino Mondego</v>
      </c>
    </row>
    <row r="102" spans="1:10" ht="110" customHeight="1" x14ac:dyDescent="0.35">
      <c r="A102" s="336">
        <v>98</v>
      </c>
      <c r="B102" s="242" t="s">
        <v>9172</v>
      </c>
      <c r="C102" s="243" t="s">
        <v>8767</v>
      </c>
      <c r="D102" s="242" t="s">
        <v>9173</v>
      </c>
      <c r="E102" s="242" t="s">
        <v>9174</v>
      </c>
      <c r="F102" s="242" t="s">
        <v>9175</v>
      </c>
      <c r="G102" s="242" t="str">
        <f>HYPERLINK("https://queijazeitao.pt","queijazeitao.pt")</f>
        <v>queijazeitao.pt</v>
      </c>
      <c r="H102" s="242" t="s">
        <v>9176</v>
      </c>
      <c r="I102" s="305" t="s">
        <v>9177</v>
      </c>
      <c r="J102" s="258" t="str">
        <f>HYPERLINK("https://www.google.com/maps/search/Queijaria%20da%20Aldeia%20de%20Azeitao%20Azeitao%20DOP%20Portugal/@38.5211,-8.9668,17z","🧀 Queijaria da Aldeia de Azei…")</f>
        <v>🧀 Queijaria da Aldeia de Azei…</v>
      </c>
    </row>
    <row r="103" spans="1:10" ht="110" customHeight="1" x14ac:dyDescent="0.35">
      <c r="A103" s="338">
        <v>99</v>
      </c>
      <c r="B103" s="239" t="s">
        <v>9178</v>
      </c>
      <c r="C103" s="240" t="s">
        <v>8767</v>
      </c>
      <c r="D103" s="239" t="s">
        <v>9179</v>
      </c>
      <c r="E103" s="239" t="s">
        <v>9180</v>
      </c>
      <c r="F103" s="239" t="s">
        <v>9181</v>
      </c>
      <c r="G103" s="239" t="str">
        <f>HYPERLINK("https://coopqueijeiros.pt","coopqueijeiros.pt")</f>
        <v>coopqueijeiros.pt</v>
      </c>
      <c r="H103" s="239" t="s">
        <v>9182</v>
      </c>
      <c r="I103" s="304" t="s">
        <v>9183</v>
      </c>
      <c r="J103" s="257" t="str">
        <f>HYPERLINK("https://www.google.com/maps/search/Cooperativa%20Queijeiros%20Palmela%20Portugal/@38.5683,-8.9003,17z","🧀 Cooperativa Queijeiros Palm…")</f>
        <v>🧀 Cooperativa Queijeiros Palm…</v>
      </c>
    </row>
    <row r="104" spans="1:10" ht="110" customHeight="1" x14ac:dyDescent="0.35">
      <c r="A104" s="336">
        <v>100</v>
      </c>
      <c r="B104" s="242" t="s">
        <v>9184</v>
      </c>
      <c r="C104" s="243" t="s">
        <v>8767</v>
      </c>
      <c r="D104" s="242" t="s">
        <v>9185</v>
      </c>
      <c r="E104" s="242" t="s">
        <v>9186</v>
      </c>
      <c r="F104" s="242" t="s">
        <v>9187</v>
      </c>
      <c r="G104" s="242" t="str">
        <f>HYPERLINK("https://quintaribeirinha.pt","quintaribeirinha.pt")</f>
        <v>quintaribeirinha.pt</v>
      </c>
      <c r="H104" s="242" t="s">
        <v>9188</v>
      </c>
      <c r="I104" s="305" t="s">
        <v>9189</v>
      </c>
      <c r="J104" s="258" t="str">
        <f>HYPERLINK("https://www.google.com/maps/search/Quinta%20da%20Ribeirinha%20Queijo%20Fresco%20Ribatejo%20Portugal/@39.2369,-8.6871,17z","🧀 Quinta da Ribeirinha Queijo…")</f>
        <v>🧀 Quinta da Ribeirinha Queijo…</v>
      </c>
    </row>
    <row r="105" spans="1:10" ht="110" customHeight="1" x14ac:dyDescent="0.35">
      <c r="A105" s="338">
        <v>101</v>
      </c>
      <c r="B105" s="239" t="s">
        <v>9190</v>
      </c>
      <c r="C105" s="240" t="s">
        <v>8781</v>
      </c>
      <c r="D105" s="239" t="s">
        <v>9185</v>
      </c>
      <c r="E105" s="239" t="s">
        <v>9191</v>
      </c>
      <c r="F105" s="239" t="s">
        <v>9187</v>
      </c>
      <c r="G105" s="239" t="str">
        <f>HYPERLINK("https://quintaabelha.pt","quintaabelha.pt")</f>
        <v>quintaabelha.pt</v>
      </c>
      <c r="H105" s="239" t="s">
        <v>8945</v>
      </c>
      <c r="I105" s="304" t="s">
        <v>9192</v>
      </c>
      <c r="J105" s="257" t="str">
        <f>HYPERLINK("https://www.google.com/maps/search/Quinta%20da%20Abelha%20Ribatejo%20Portugal/@39.2369,-8.6871,17z","🧀 Quinta da Abelha Ribatejo")</f>
        <v>🧀 Quinta da Abelha Ribatejo</v>
      </c>
    </row>
    <row r="106" spans="1:10" ht="110" customHeight="1" x14ac:dyDescent="0.35">
      <c r="A106" s="336">
        <v>102</v>
      </c>
      <c r="B106" s="242" t="s">
        <v>9193</v>
      </c>
      <c r="C106" s="243" t="s">
        <v>8781</v>
      </c>
      <c r="D106" s="242" t="s">
        <v>9194</v>
      </c>
      <c r="E106" s="242" t="s">
        <v>9195</v>
      </c>
      <c r="F106" s="242" t="s">
        <v>9196</v>
      </c>
      <c r="G106" s="242" t="str">
        <f>HYPERLINK("https://colmeias-arrabida.pt","colmeias-arrabida.pt")</f>
        <v>colmeias-arrabida.pt</v>
      </c>
      <c r="H106" s="242" t="s">
        <v>9197</v>
      </c>
      <c r="I106" s="305" t="s">
        <v>9198</v>
      </c>
      <c r="J106" s="258" t="str">
        <f>HYPERLINK("https://www.google.com/maps/search/Colmeias%20da%20Arrabida%20Setubal%20Portugal/@38.4437,-9.0998,17z","🧀 Colmeias da Arrabida")</f>
        <v>🧀 Colmeias da Arrabida</v>
      </c>
    </row>
    <row r="107" spans="1:10" ht="110" customHeight="1" x14ac:dyDescent="0.35">
      <c r="A107" s="338">
        <v>103</v>
      </c>
      <c r="B107" s="239" t="s">
        <v>9199</v>
      </c>
      <c r="C107" s="240" t="s">
        <v>9085</v>
      </c>
      <c r="D107" s="239" t="s">
        <v>9200</v>
      </c>
      <c r="E107" s="239" t="s">
        <v>9201</v>
      </c>
      <c r="F107" s="239" t="s">
        <v>9202</v>
      </c>
      <c r="G107" s="239" t="str">
        <f>HYPERLINK("https://pera-rocha.pt","pera-rocha.pt")</f>
        <v>pera-rocha.pt</v>
      </c>
      <c r="H107" s="239" t="s">
        <v>9203</v>
      </c>
      <c r="I107" s="304" t="s">
        <v>9204</v>
      </c>
      <c r="J107" s="257" t="str">
        <f>HYPERLINK("https://www.google.com/maps/search/ANPPA%20Pera%20Rocha%20do%20Oeste%20Oeste%20DOP%20Portugal/@39.4809,-8.5374,17z","🧀 ANPPA Pera Rocha do Oeste")</f>
        <v>🧀 ANPPA Pera Rocha do Oeste</v>
      </c>
    </row>
    <row r="108" spans="1:10" ht="110" customHeight="1" x14ac:dyDescent="0.35">
      <c r="A108" s="336">
        <v>104</v>
      </c>
      <c r="B108" s="242" t="s">
        <v>9205</v>
      </c>
      <c r="C108" s="243" t="s">
        <v>9085</v>
      </c>
      <c r="D108" s="242" t="s">
        <v>9185</v>
      </c>
      <c r="E108" s="242" t="s">
        <v>9206</v>
      </c>
      <c r="F108" s="242" t="s">
        <v>9207</v>
      </c>
      <c r="G108" s="242" t="str">
        <f>HYPERLINK("https://quintareguengo.pt","quintareguengo.pt")</f>
        <v>quintareguengo.pt</v>
      </c>
      <c r="H108" s="242" t="s">
        <v>9208</v>
      </c>
      <c r="I108" s="305" t="s">
        <v>9209</v>
      </c>
      <c r="J108" s="258" t="str">
        <f>HYPERLINK("https://www.google.com/maps/search/Quinta%20do%20Reguengo%20Laranja%20Ribatejo%20Portugal/@39.0574,-9.009,17z","🧀 Quinta do Reguengo Laranja")</f>
        <v>🧀 Quinta do Reguengo Laranja</v>
      </c>
    </row>
    <row r="109" spans="1:10" ht="110" customHeight="1" x14ac:dyDescent="0.35">
      <c r="A109" s="338">
        <v>105</v>
      </c>
      <c r="B109" s="239" t="s">
        <v>9210</v>
      </c>
      <c r="C109" s="240" t="s">
        <v>8977</v>
      </c>
      <c r="D109" s="239" t="s">
        <v>9211</v>
      </c>
      <c r="E109" s="239" t="s">
        <v>9212</v>
      </c>
      <c r="F109" s="239" t="s">
        <v>9213</v>
      </c>
      <c r="G109" s="239" t="str">
        <f>HYPERLINK("https://coopagricola-alcacer.pt","coopagricola-alcacer.pt")</f>
        <v>coopagricola-alcacer.pt</v>
      </c>
      <c r="H109" s="239" t="s">
        <v>9214</v>
      </c>
      <c r="I109" s="304" t="s">
        <v>9215</v>
      </c>
      <c r="J109" s="257" t="str">
        <f>HYPERLINK("https://www.google.com/maps/search/Cooperativa%20Azeite%20Alcacer%20Alentejo%20Litoral%20Portugal/@38.3715,-8.5123,17z","🧀 Cooperativa Azeite Alcacer")</f>
        <v>🧀 Cooperativa Azeite Alcacer</v>
      </c>
    </row>
    <row r="110" spans="1:10" ht="110" customHeight="1" x14ac:dyDescent="0.35">
      <c r="A110" s="336">
        <v>106</v>
      </c>
      <c r="B110" s="242" t="s">
        <v>9216</v>
      </c>
      <c r="C110" s="243" t="s">
        <v>9005</v>
      </c>
      <c r="D110" s="242" t="s">
        <v>9217</v>
      </c>
      <c r="E110" s="242" t="s">
        <v>9218</v>
      </c>
      <c r="F110" s="242" t="s">
        <v>9219</v>
      </c>
      <c r="G110" s="242" t="str">
        <f>HYPERLINK("https://salicornia-tejo.pt","salicornia-tejo.pt")</f>
        <v>salicornia-tejo.pt</v>
      </c>
      <c r="H110" s="242" t="s">
        <v>9220</v>
      </c>
      <c r="I110" s="305" t="s">
        <v>9221</v>
      </c>
      <c r="J110" s="258" t="str">
        <f>HYPERLINK("https://www.google.com/maps/search/Salicornia%20de%20Alcochete%20Estuario%20do%20Tejo%20Portugal/@38.7539,-8.9603,17z","🧀 Salicornia de Alcochete")</f>
        <v>🧀 Salicornia de Alcochete</v>
      </c>
    </row>
    <row r="111" spans="1:10" ht="110" customHeight="1" x14ac:dyDescent="0.35">
      <c r="A111" s="338">
        <v>107</v>
      </c>
      <c r="B111" s="239" t="s">
        <v>9222</v>
      </c>
      <c r="C111" s="240" t="s">
        <v>9005</v>
      </c>
      <c r="D111" s="239" t="s">
        <v>9223</v>
      </c>
      <c r="E111" s="239" t="s">
        <v>9224</v>
      </c>
      <c r="F111" s="239" t="s">
        <v>9225</v>
      </c>
      <c r="G111" s="239" t="str">
        <f>HYPERLINK("https://tastyfish.pt","tastyfish.pt")</f>
        <v>tastyfish.pt</v>
      </c>
      <c r="H111" s="239" t="s">
        <v>9226</v>
      </c>
      <c r="I111" s="304" t="s">
        <v>9227</v>
      </c>
      <c r="J111" s="257" t="str">
        <f>HYPERLINK("https://www.google.com/maps/search/Conservas%20Tasty%20Fish%20Setubal%20Costa%20Setubal%20Portugal/@38.5244,-8.8882,17z","🧀 Conservas Tasty Fish Setubal")</f>
        <v>🧀 Conservas Tasty Fish Setubal</v>
      </c>
    </row>
    <row r="112" spans="1:10" ht="110" customHeight="1" x14ac:dyDescent="0.35">
      <c r="A112" s="336">
        <v>108</v>
      </c>
      <c r="B112" s="242" t="s">
        <v>9228</v>
      </c>
      <c r="C112" s="243" t="s">
        <v>9107</v>
      </c>
      <c r="D112" s="242" t="s">
        <v>9185</v>
      </c>
      <c r="E112" s="242" t="s">
        <v>9229</v>
      </c>
      <c r="F112" s="242" t="s">
        <v>9230</v>
      </c>
      <c r="G112" s="242" t="str">
        <f>HYPERLINK("https://leitezezere.pt","leitezezere.pt")</f>
        <v>leitezezere.pt</v>
      </c>
      <c r="H112" s="242" t="s">
        <v>9231</v>
      </c>
      <c r="I112" s="305" t="s">
        <v>9232</v>
      </c>
      <c r="J112" s="258" t="str">
        <f>HYPERLINK("https://www.google.com/maps/search/Leite%20Zezere%20Latic%C3%ADnios%20Ribatejo%20Portugal/@39.6039,-8.4104,17z","🧀 Leite Zezere Laticínios Rib…")</f>
        <v>🧀 Leite Zezere Laticínios Rib…</v>
      </c>
    </row>
    <row r="113" spans="1:10" ht="110" customHeight="1" x14ac:dyDescent="0.35">
      <c r="A113" s="338">
        <v>109</v>
      </c>
      <c r="B113" s="239" t="s">
        <v>9233</v>
      </c>
      <c r="C113" s="240" t="s">
        <v>8767</v>
      </c>
      <c r="D113" s="239" t="s">
        <v>9234</v>
      </c>
      <c r="E113" s="239" t="s">
        <v>9235</v>
      </c>
      <c r="F113" s="239" t="s">
        <v>1233</v>
      </c>
      <c r="G113" s="239" t="str">
        <f>HYPERLINK("https://malhadinhanova.pt","malhadinhanova.pt")</f>
        <v>malhadinhanova.pt</v>
      </c>
      <c r="H113" s="239" t="s">
        <v>9236</v>
      </c>
      <c r="I113" s="304" t="s">
        <v>9237</v>
      </c>
      <c r="J113" s="257" t="str">
        <f>HYPERLINK("https://www.google.com/maps/search/Herdade%20da%20Malhadinha%20Nova%20Queijo%20Baixo%20Alentejo%20Portugal/@38.0155,-7.8637,17z","🧀 Herdade da Malhadinha Nova …")</f>
        <v>🧀 Herdade da Malhadinha Nova …</v>
      </c>
    </row>
    <row r="114" spans="1:10" ht="110" customHeight="1" x14ac:dyDescent="0.35">
      <c r="A114" s="336">
        <v>110</v>
      </c>
      <c r="B114" s="242" t="s">
        <v>9238</v>
      </c>
      <c r="C114" s="243" t="s">
        <v>8767</v>
      </c>
      <c r="D114" s="242" t="s">
        <v>671</v>
      </c>
      <c r="E114" s="242" t="s">
        <v>9239</v>
      </c>
      <c r="F114" s="242" t="s">
        <v>2538</v>
      </c>
      <c r="G114" s="242" t="str">
        <f>HYPERLINK("https://caprina-alentejo.pt","caprina-alentejo.pt")</f>
        <v>caprina-alentejo.pt</v>
      </c>
      <c r="H114" s="242" t="s">
        <v>9240</v>
      </c>
      <c r="I114" s="305" t="s">
        <v>9241</v>
      </c>
      <c r="J114" s="258" t="str">
        <f>HYPERLINK("https://www.google.com/maps/search/Cooperativa%20Caprina%20do%20Alentejo%20Portalegre%20Portugal/@39.2915,-7.428,17z","🧀 Cooperativa Caprina do Alen…")</f>
        <v>🧀 Cooperativa Caprina do Alen…</v>
      </c>
    </row>
    <row r="115" spans="1:10" ht="110" customHeight="1" x14ac:dyDescent="0.35">
      <c r="A115" s="338">
        <v>111</v>
      </c>
      <c r="B115" s="239" t="s">
        <v>9242</v>
      </c>
      <c r="C115" s="240" t="s">
        <v>8781</v>
      </c>
      <c r="D115" s="239" t="s">
        <v>9234</v>
      </c>
      <c r="E115" s="239" t="s">
        <v>9243</v>
      </c>
      <c r="F115" s="239" t="s">
        <v>1233</v>
      </c>
      <c r="G115" s="239" t="str">
        <f>HYPERLINK("https://melalentejo.pt","melalentejo.pt")</f>
        <v>melalentejo.pt</v>
      </c>
      <c r="H115" s="239" t="s">
        <v>9244</v>
      </c>
      <c r="I115" s="304" t="s">
        <v>9245</v>
      </c>
      <c r="J115" s="257" t="str">
        <f>HYPERLINK("https://www.google.com/maps/search/Mel%20do%20Alentejo%20Herdade%20da%20Ribeira%20Baixo%20Alentejo%20Portugal/@38.0155,-7.8637,17z","🧀 Mel do Alentejo Herdade da …")</f>
        <v>🧀 Mel do Alentejo Herdade da …</v>
      </c>
    </row>
    <row r="116" spans="1:10" ht="110" customHeight="1" x14ac:dyDescent="0.35">
      <c r="A116" s="336">
        <v>112</v>
      </c>
      <c r="B116" s="242" t="s">
        <v>9246</v>
      </c>
      <c r="C116" s="243" t="s">
        <v>8781</v>
      </c>
      <c r="D116" s="242" t="s">
        <v>9247</v>
      </c>
      <c r="E116" s="242" t="s">
        <v>9248</v>
      </c>
      <c r="F116" s="242" t="s">
        <v>9249</v>
      </c>
      <c r="G116" s="242" t="str">
        <f>HYPERLINK("https://quintasaude.pt","quintasaude.pt")</f>
        <v>quintasaude.pt</v>
      </c>
      <c r="H116" s="242" t="s">
        <v>9250</v>
      </c>
      <c r="I116" s="305" t="s">
        <v>9251</v>
      </c>
      <c r="J116" s="258" t="str">
        <f>HYPERLINK("https://www.google.com/maps/search/Quinta%20da%20Saude%20Mel%20e%20Espargos%20Evora%20Portugal/@38.572,-7.9087,17z","🧀 Quinta da Saude Mel e Espar…")</f>
        <v>🧀 Quinta da Saude Mel e Espar…</v>
      </c>
    </row>
    <row r="117" spans="1:10" ht="110" customHeight="1" x14ac:dyDescent="0.35">
      <c r="A117" s="338">
        <v>113</v>
      </c>
      <c r="B117" s="239" t="s">
        <v>9252</v>
      </c>
      <c r="C117" s="240" t="s">
        <v>8948</v>
      </c>
      <c r="D117" s="239" t="s">
        <v>9253</v>
      </c>
      <c r="E117" s="239" t="s">
        <v>9254</v>
      </c>
      <c r="F117" s="239" t="s">
        <v>7980</v>
      </c>
      <c r="G117" s="239" t="str">
        <f>HYPERLINK("https://barrocal.pt","barrocal.pt")</f>
        <v>barrocal.pt</v>
      </c>
      <c r="H117" s="239" t="s">
        <v>9255</v>
      </c>
      <c r="I117" s="304" t="s">
        <v>9256</v>
      </c>
      <c r="J117" s="257" t="str">
        <f>HYPERLINK("https://www.google.com/maps/search/Herdade%20Sao%20Lourenco%20do%20Barrocal%20Porco%20Preto%20DOP%20Portugal/@38.429,-7.541,17z","🧀 Herdade Sao Lourenco do Bar…")</f>
        <v>🧀 Herdade Sao Lourenco do Bar…</v>
      </c>
    </row>
    <row r="118" spans="1:10" ht="110" customHeight="1" x14ac:dyDescent="0.35">
      <c r="A118" s="336">
        <v>114</v>
      </c>
      <c r="B118" s="242" t="s">
        <v>9257</v>
      </c>
      <c r="C118" s="243" t="s">
        <v>8948</v>
      </c>
      <c r="D118" s="242" t="s">
        <v>9258</v>
      </c>
      <c r="E118" s="242" t="s">
        <v>9259</v>
      </c>
      <c r="F118" s="242" t="s">
        <v>9260</v>
      </c>
      <c r="G118" s="242" t="str">
        <f>HYPERLINK("https://ravasqueira.pt","ravasqueira.pt")</f>
        <v>ravasqueira.pt</v>
      </c>
      <c r="H118" s="242" t="s">
        <v>9261</v>
      </c>
      <c r="I118" s="305" t="s">
        <v>9262</v>
      </c>
      <c r="J118" s="258" t="str">
        <f>HYPERLINK("https://www.google.com/maps/search/Monte%20da%20Ravasqueira%20Fumeiro%20Alto%20Alentejo%20Portugal/@38.7246,-7.9835,17z","🧀 Monte da Ravasqueira Fumeiro")</f>
        <v>🧀 Monte da Ravasqueira Fumeiro</v>
      </c>
    </row>
    <row r="119" spans="1:10" ht="110" customHeight="1" x14ac:dyDescent="0.35">
      <c r="A119" s="338">
        <v>115</v>
      </c>
      <c r="B119" s="239" t="s">
        <v>9263</v>
      </c>
      <c r="C119" s="240" t="s">
        <v>8977</v>
      </c>
      <c r="D119" s="239" t="s">
        <v>9264</v>
      </c>
      <c r="E119" s="239" t="s">
        <v>9265</v>
      </c>
      <c r="F119" s="239" t="s">
        <v>9266</v>
      </c>
      <c r="G119" s="239" t="str">
        <f>HYPERLINK("https://olivicultores-alentejo.pt","olivicultores-alentejo.pt")</f>
        <v>olivicultores-alentejo.pt</v>
      </c>
      <c r="H119" s="239" t="s">
        <v>9267</v>
      </c>
      <c r="I119" s="304" t="s">
        <v>9268</v>
      </c>
      <c r="J119" s="257" t="str">
        <f>HYPERLINK("https://www.google.com/maps/search/Cooperativa%20Olivicultores%20Alentejo%20Alentejo%20Interior%20Portugal/@38.8799,-7.1634,17z","🧀 Cooperativa Olivicultores A…")</f>
        <v>🧀 Cooperativa Olivicultores A…</v>
      </c>
    </row>
    <row r="120" spans="1:10" ht="110" customHeight="1" x14ac:dyDescent="0.35">
      <c r="A120" s="336">
        <v>116</v>
      </c>
      <c r="B120" s="242" t="s">
        <v>9269</v>
      </c>
      <c r="C120" s="243" t="s">
        <v>8977</v>
      </c>
      <c r="D120" s="242" t="s">
        <v>9247</v>
      </c>
      <c r="E120" s="242" t="s">
        <v>9270</v>
      </c>
      <c r="F120" s="242" t="s">
        <v>9271</v>
      </c>
      <c r="G120" s="242" t="str">
        <f>HYPERLINK("https://quintasobreiro.pt","quintasobreiro.pt")</f>
        <v>quintasobreiro.pt</v>
      </c>
      <c r="H120" s="242" t="s">
        <v>9272</v>
      </c>
      <c r="I120" s="305" t="s">
        <v>9273</v>
      </c>
      <c r="J120" s="258" t="str">
        <f>HYPERLINK("https://www.google.com/maps/search/Quinta%20do%20Sobreiro%20Azeite%20Cortica%20Evora%20Portugal/@38.652,-8.2172,17z","🧀 Quinta do Sobreiro Azeite C…")</f>
        <v>🧀 Quinta do Sobreiro Azeite C…</v>
      </c>
    </row>
    <row r="121" spans="1:10" ht="110" customHeight="1" x14ac:dyDescent="0.35">
      <c r="A121" s="338">
        <v>117</v>
      </c>
      <c r="B121" s="239" t="s">
        <v>9274</v>
      </c>
      <c r="C121" s="240" t="s">
        <v>9085</v>
      </c>
      <c r="D121" s="239" t="s">
        <v>9234</v>
      </c>
      <c r="E121" s="239" t="s">
        <v>9275</v>
      </c>
      <c r="F121" s="239" t="s">
        <v>9276</v>
      </c>
      <c r="G121" s="239" t="str">
        <f>HYPERLINK("https://cooptomate.pt","cooptomate.pt")</f>
        <v>cooptomate.pt</v>
      </c>
      <c r="H121" s="239" t="s">
        <v>9277</v>
      </c>
      <c r="I121" s="304" t="s">
        <v>9278</v>
      </c>
      <c r="J121" s="257" t="str">
        <f>HYPERLINK("https://www.google.com/maps/search/COMPAL%20Tomate%20do%20Alentejo%20Baixo%20Alentejo%20Portugal/@38.0175,-8.695,17z","🧀 COMPAL Tomate do Alentejo")</f>
        <v>🧀 COMPAL Tomate do Alentejo</v>
      </c>
    </row>
    <row r="122" spans="1:10" ht="110" customHeight="1" x14ac:dyDescent="0.35">
      <c r="A122" s="336">
        <v>118</v>
      </c>
      <c r="B122" s="242" t="s">
        <v>9279</v>
      </c>
      <c r="C122" s="243" t="s">
        <v>9085</v>
      </c>
      <c r="D122" s="242" t="s">
        <v>9280</v>
      </c>
      <c r="E122" s="242" t="s">
        <v>9281</v>
      </c>
      <c r="F122" s="242" t="s">
        <v>9249</v>
      </c>
      <c r="G122" s="242" t="str">
        <f>HYPERLINK("https://espargosal.pt","espargosal.pt")</f>
        <v>espargosal.pt</v>
      </c>
      <c r="H122" s="242" t="s">
        <v>9282</v>
      </c>
      <c r="I122" s="305" t="s">
        <v>9283</v>
      </c>
      <c r="J122" s="258" t="str">
        <f>HYPERLINK("https://www.google.com/maps/search/Espargos%20do%20Alentejo%20Cooperativa%20Portugal/@38.572,-7.9087,17z","🧀 Espargos do Alentejo Cooper…")</f>
        <v>🧀 Espargos do Alentejo Cooper…</v>
      </c>
    </row>
    <row r="123" spans="1:10" ht="110" customHeight="1" x14ac:dyDescent="0.35">
      <c r="A123" s="338">
        <v>119</v>
      </c>
      <c r="B123" s="239" t="s">
        <v>9284</v>
      </c>
      <c r="C123" s="240" t="s">
        <v>9005</v>
      </c>
      <c r="D123" s="239" t="s">
        <v>9247</v>
      </c>
      <c r="E123" s="239" t="s">
        <v>9285</v>
      </c>
      <c r="F123" s="239" t="s">
        <v>9249</v>
      </c>
      <c r="G123" s="239" t="str">
        <f>HYPERLINK("https://montenalentejano.pt","montenalentejano.pt")</f>
        <v>montenalentejano.pt</v>
      </c>
      <c r="H123" s="239" t="s">
        <v>9286</v>
      </c>
      <c r="I123" s="304" t="s">
        <v>9273</v>
      </c>
      <c r="J123" s="257" t="str">
        <f>HYPERLINK("https://www.google.com/maps/search/Azeite%20e%20Conservas%20Monte%20Alentejano%20Evora%20Portugal/@38.572,-7.9087,17z","🧀 Azeite e Conservas Monte Al…")</f>
        <v>🧀 Azeite e Conservas Monte Al…</v>
      </c>
    </row>
    <row r="124" spans="1:10" ht="110" customHeight="1" x14ac:dyDescent="0.35">
      <c r="A124" s="336">
        <v>120</v>
      </c>
      <c r="B124" s="242" t="s">
        <v>9287</v>
      </c>
      <c r="C124" s="243" t="s">
        <v>9288</v>
      </c>
      <c r="D124" s="242" t="s">
        <v>9289</v>
      </c>
      <c r="E124" s="242" t="s">
        <v>9290</v>
      </c>
      <c r="F124" s="242" t="s">
        <v>9291</v>
      </c>
      <c r="G124" s="242" t="str">
        <f>HYPERLINK("https://adegaborba.pt","adegaborba.pt")</f>
        <v>adegaborba.pt</v>
      </c>
      <c r="H124" s="242" t="s">
        <v>9292</v>
      </c>
      <c r="I124" s="305" t="s">
        <v>9293</v>
      </c>
      <c r="J124" s="258" t="str">
        <f>HYPERLINK("https://www.google.com/maps/search/Adega%20Cooperativa%20de%20Borba%20Borba%20DOP%20Portugal/@38.8018,-7.4535,17z","🧀 Adega Cooperativa de Borba")</f>
        <v>🧀 Adega Cooperativa de Borba</v>
      </c>
    </row>
    <row r="125" spans="1:10" ht="110" customHeight="1" x14ac:dyDescent="0.35">
      <c r="A125" s="338">
        <v>121</v>
      </c>
      <c r="B125" s="239" t="s">
        <v>9294</v>
      </c>
      <c r="C125" s="240" t="s">
        <v>9288</v>
      </c>
      <c r="D125" s="239" t="s">
        <v>9295</v>
      </c>
      <c r="E125" s="239" t="s">
        <v>9296</v>
      </c>
      <c r="F125" s="239" t="s">
        <v>9297</v>
      </c>
      <c r="G125" s="239" t="str">
        <f>HYPERLINK("https://herdaderocim.pt","herdaderocim.pt")</f>
        <v>herdaderocim.pt</v>
      </c>
      <c r="H125" s="239" t="s">
        <v>9298</v>
      </c>
      <c r="I125" s="304" t="s">
        <v>9299</v>
      </c>
      <c r="J125" s="257" t="str">
        <f>HYPERLINK("https://www.google.com/maps/search/Herdade%20do%20Rocim%20Vidigueira%20DOP%20Portugal/@38.2059,-7.7969,17z","🧀 Herdade do Rocim")</f>
        <v>🧀 Herdade do Rocim</v>
      </c>
    </row>
    <row r="126" spans="1:10" ht="110" customHeight="1" x14ac:dyDescent="0.35">
      <c r="A126" s="336">
        <v>122</v>
      </c>
      <c r="B126" s="242" t="s">
        <v>9300</v>
      </c>
      <c r="C126" s="243" t="s">
        <v>8767</v>
      </c>
      <c r="D126" s="242" t="s">
        <v>9301</v>
      </c>
      <c r="E126" s="242" t="s">
        <v>9302</v>
      </c>
      <c r="F126" s="242" t="s">
        <v>9303</v>
      </c>
      <c r="G126" s="242" t="str">
        <f>HYPERLINK("https://almargens-algarve.pt","almargens-algarve.pt")</f>
        <v>almargens-algarve.pt</v>
      </c>
      <c r="H126" s="242" t="s">
        <v>9304</v>
      </c>
      <c r="I126" s="305" t="s">
        <v>9305</v>
      </c>
      <c r="J126" s="258" t="str">
        <f>HYPERLINK("https://www.google.com/maps/search/Herdade%20dos%20Almargens%20Queijo%20Cabra%20Monchique%20Portugal/@37.3194,-8.5583,17z","🧀 Herdade dos Almargens Queij…")</f>
        <v>🧀 Herdade dos Almargens Queij…</v>
      </c>
    </row>
    <row r="127" spans="1:10" ht="110" customHeight="1" x14ac:dyDescent="0.35">
      <c r="A127" s="338">
        <v>123</v>
      </c>
      <c r="B127" s="239" t="s">
        <v>9306</v>
      </c>
      <c r="C127" s="240" t="s">
        <v>8767</v>
      </c>
      <c r="D127" s="239" t="s">
        <v>9307</v>
      </c>
      <c r="E127" s="239" t="s">
        <v>9308</v>
      </c>
      <c r="F127" s="239" t="s">
        <v>9309</v>
      </c>
      <c r="G127" s="239" t="str">
        <f>HYPERLINK("https://monteeira.pt","monteeira.pt")</f>
        <v>monteeira.pt</v>
      </c>
      <c r="H127" s="239" t="s">
        <v>9310</v>
      </c>
      <c r="I127" s="304" t="s">
        <v>9311</v>
      </c>
      <c r="J127" s="257" t="str">
        <f>HYPERLINK("https://www.google.com/maps/search/Monte%20da%20Eira%20Queijo%20Artesanal%20Interior%20Algarve%20Portugal/@37.1247,-7.6508,17z","🧀 Monte da Eira Queijo Artesa…")</f>
        <v>🧀 Monte da Eira Queijo Artesa…</v>
      </c>
    </row>
    <row r="128" spans="1:10" ht="110" customHeight="1" x14ac:dyDescent="0.35">
      <c r="A128" s="336">
        <v>124</v>
      </c>
      <c r="B128" s="242" t="s">
        <v>9312</v>
      </c>
      <c r="C128" s="243" t="s">
        <v>8781</v>
      </c>
      <c r="D128" s="242" t="s">
        <v>4166</v>
      </c>
      <c r="E128" s="242" t="s">
        <v>9313</v>
      </c>
      <c r="F128" s="242" t="s">
        <v>9314</v>
      </c>
      <c r="G128" s="242" t="str">
        <f>HYPERLINK("https://melagarvio.pt","melagarvio.pt")</f>
        <v>melagarvio.pt</v>
      </c>
      <c r="H128" s="242" t="s">
        <v>9315</v>
      </c>
      <c r="I128" s="305" t="s">
        <v>9316</v>
      </c>
      <c r="J128" s="258" t="str">
        <f>HYPERLINK("https://www.google.com/maps/search/Casa%20do%20Mel%20Algarvio%20Faro%20Portugal/@37.1393,-8.0235,17z","🧀 Casa do Mel Algarvio")</f>
        <v>🧀 Casa do Mel Algarvio</v>
      </c>
    </row>
    <row r="129" spans="1:10" ht="110" customHeight="1" x14ac:dyDescent="0.35">
      <c r="A129" s="338">
        <v>125</v>
      </c>
      <c r="B129" s="239" t="s">
        <v>9317</v>
      </c>
      <c r="C129" s="240" t="s">
        <v>9085</v>
      </c>
      <c r="D129" s="239" t="s">
        <v>9318</v>
      </c>
      <c r="E129" s="239" t="s">
        <v>9319</v>
      </c>
      <c r="F129" s="239" t="s">
        <v>9309</v>
      </c>
      <c r="G129" s="239" t="str">
        <f>HYPERLINK("https://diga-alfarroba.pt","diga-alfarroba.pt")</f>
        <v>diga-alfarroba.pt</v>
      </c>
      <c r="H129" s="239" t="s">
        <v>9320</v>
      </c>
      <c r="I129" s="304" t="s">
        <v>9321</v>
      </c>
      <c r="J129" s="257" t="str">
        <f>HYPERLINK("https://www.google.com/maps/search/DIGA%20Alfarroba%20Algarve%20Alfarroba%20IGP%20Portugal/@37.1247,-7.6508,17z","🧀 DIGA Alfarroba Algarve")</f>
        <v>🧀 DIGA Alfarroba Algarve</v>
      </c>
    </row>
    <row r="130" spans="1:10" ht="110" customHeight="1" x14ac:dyDescent="0.35">
      <c r="A130" s="336">
        <v>126</v>
      </c>
      <c r="B130" s="242" t="s">
        <v>9322</v>
      </c>
      <c r="C130" s="243" t="s">
        <v>9085</v>
      </c>
      <c r="D130" s="242" t="s">
        <v>9323</v>
      </c>
      <c r="E130" s="242" t="s">
        <v>9324</v>
      </c>
      <c r="F130" s="242" t="s">
        <v>9325</v>
      </c>
      <c r="G130" s="242" t="str">
        <f>HYPERLINK("https://figosportimao.pt","figosportimao.pt")</f>
        <v>figosportimao.pt</v>
      </c>
      <c r="H130" s="242" t="s">
        <v>9326</v>
      </c>
      <c r="I130" s="305" t="s">
        <v>9327</v>
      </c>
      <c r="J130" s="258" t="str">
        <f>HYPERLINK("https://www.google.com/maps/search/Figos%20de%20Portimao%20Herdade%20Boa%20Vista%20Figo%20IGP%20Portugal/@37.136,-8.5376,17z","🧀 Figos de Portimao Herdade B…")</f>
        <v>🧀 Figos de Portimao Herdade B…</v>
      </c>
    </row>
    <row r="131" spans="1:10" ht="110" customHeight="1" x14ac:dyDescent="0.35">
      <c r="A131" s="338">
        <v>127</v>
      </c>
      <c r="B131" s="239" t="s">
        <v>9328</v>
      </c>
      <c r="C131" s="240" t="s">
        <v>9085</v>
      </c>
      <c r="D131" s="239" t="s">
        <v>9329</v>
      </c>
      <c r="E131" s="239" t="s">
        <v>9330</v>
      </c>
      <c r="F131" s="239" t="s">
        <v>9309</v>
      </c>
      <c r="G131" s="239" t="str">
        <f>HYPERLINK("https://amendoasal.pt","amendoasal.pt")</f>
        <v>amendoasal.pt</v>
      </c>
      <c r="H131" s="239" t="s">
        <v>9331</v>
      </c>
      <c r="I131" s="304" t="s">
        <v>9332</v>
      </c>
      <c r="J131" s="257" t="str">
        <f>HYPERLINK("https://www.google.com/maps/search/Amendoeiras%20do%20Algarve%20Cooperativa%20Fruto%20Seco%20Portugal/@37.1247,-7.6508,17z","🧀 Amendoeiras do Algarve Coop…")</f>
        <v>🧀 Amendoeiras do Algarve Coop…</v>
      </c>
    </row>
    <row r="132" spans="1:10" ht="110" customHeight="1" x14ac:dyDescent="0.35">
      <c r="A132" s="336">
        <v>128</v>
      </c>
      <c r="B132" s="242" t="s">
        <v>9333</v>
      </c>
      <c r="C132" s="243" t="s">
        <v>9085</v>
      </c>
      <c r="D132" s="242" t="s">
        <v>9334</v>
      </c>
      <c r="E132" s="242" t="s">
        <v>9335</v>
      </c>
      <c r="F132" s="242" t="s">
        <v>8921</v>
      </c>
      <c r="G132" s="242" t="str">
        <f>HYPERLINK("https://laranjasal.pt","laranjasal.pt")</f>
        <v>laranjasal.pt</v>
      </c>
      <c r="H132" s="242" t="s">
        <v>9336</v>
      </c>
      <c r="I132" s="305" t="s">
        <v>9337</v>
      </c>
      <c r="J132" s="258" t="str">
        <f>HYPERLINK("https://www.google.com/maps/search/Laranjeiras%20da%20Costa%20Citrinos%20Citrinos%20IGP%20Portugal/@37.1898,-8.4395,17z","🧀 Laranjeiras da Costa Citrinos")</f>
        <v>🧀 Laranjeiras da Costa Citrinos</v>
      </c>
    </row>
    <row r="133" spans="1:10" ht="110" customHeight="1" x14ac:dyDescent="0.35">
      <c r="A133" s="338">
        <v>129</v>
      </c>
      <c r="B133" s="239" t="s">
        <v>9338</v>
      </c>
      <c r="C133" s="240" t="s">
        <v>8977</v>
      </c>
      <c r="D133" s="239" t="s">
        <v>9339</v>
      </c>
      <c r="E133" s="239" t="s">
        <v>9340</v>
      </c>
      <c r="F133" s="239" t="s">
        <v>9314</v>
      </c>
      <c r="G133" s="239" t="str">
        <f>HYPERLINK("https://azeite-algarve.pt","azeite-algarve.pt")</f>
        <v>azeite-algarve.pt</v>
      </c>
      <c r="H133" s="239" t="s">
        <v>9341</v>
      </c>
      <c r="I133" s="304" t="s">
        <v>9342</v>
      </c>
      <c r="J133" s="257" t="str">
        <f>HYPERLINK("https://www.google.com/maps/search/Cooperativa%20Agricola%20Faro%20Azeite%20Monchique%20Loule%20Portugal/@37.1393,-8.0235,17z","🧀 Cooperativa Agricola Faro A…")</f>
        <v>🧀 Cooperativa Agricola Faro A…</v>
      </c>
    </row>
    <row r="134" spans="1:10" ht="110" customHeight="1" x14ac:dyDescent="0.35">
      <c r="A134" s="336">
        <v>130</v>
      </c>
      <c r="B134" s="242" t="s">
        <v>9343</v>
      </c>
      <c r="C134" s="243" t="s">
        <v>9005</v>
      </c>
      <c r="D134" s="242" t="s">
        <v>9344</v>
      </c>
      <c r="E134" s="242" t="s">
        <v>9345</v>
      </c>
      <c r="F134" s="242" t="s">
        <v>8709</v>
      </c>
      <c r="G134" s="242" t="str">
        <f>HYPERLINK("https://salmarim.com","salmarim.com")</f>
        <v>salmarim.com</v>
      </c>
      <c r="H134" s="242" t="s">
        <v>9346</v>
      </c>
      <c r="I134" s="305" t="s">
        <v>9347</v>
      </c>
      <c r="J134" s="258" t="str">
        <f>HYPERLINK("https://www.google.com/maps/search/Salmarim%20Flor%20de%20Sal%20Castro%20Marim%20Portugal/@37.2156,-7.4421,17z","🧀 Salmarim Flor de Sal Castro…")</f>
        <v>🧀 Salmarim Flor de Sal Castro…</v>
      </c>
    </row>
    <row r="135" spans="1:10" ht="110" customHeight="1" x14ac:dyDescent="0.35">
      <c r="A135" s="338">
        <v>131</v>
      </c>
      <c r="B135" s="239" t="s">
        <v>9348</v>
      </c>
      <c r="C135" s="240" t="s">
        <v>9005</v>
      </c>
      <c r="D135" s="239" t="s">
        <v>9349</v>
      </c>
      <c r="E135" s="239" t="s">
        <v>9350</v>
      </c>
      <c r="F135" s="239" t="s">
        <v>6882</v>
      </c>
      <c r="G135" s="239" t="str">
        <f>HYPERLINK("https://atumdailhas.pt","atumdailhas.pt")</f>
        <v>atumdailhas.pt</v>
      </c>
      <c r="H135" s="239" t="s">
        <v>9351</v>
      </c>
      <c r="I135" s="304" t="s">
        <v>9352</v>
      </c>
      <c r="J135" s="257" t="str">
        <f>HYPERLINK("https://www.google.com/maps/search/Atum%20das%20Ilhas%20Sagres%20Sotavento%20Portugal/@37.0815,-8.8989,17z","🧀 Atum das Ilhas Sagres")</f>
        <v>🧀 Atum das Ilhas Sagres</v>
      </c>
    </row>
    <row r="136" spans="1:10" ht="110" customHeight="1" x14ac:dyDescent="0.35">
      <c r="A136" s="336">
        <v>132</v>
      </c>
      <c r="B136" s="242" t="s">
        <v>9353</v>
      </c>
      <c r="C136" s="243" t="s">
        <v>8948</v>
      </c>
      <c r="D136" s="242" t="s">
        <v>9307</v>
      </c>
      <c r="E136" s="242" t="s">
        <v>9354</v>
      </c>
      <c r="F136" s="242" t="s">
        <v>9303</v>
      </c>
      <c r="G136" s="242" t="str">
        <f>HYPERLINK("https://enchidoscaldeirao.pt","enchidoscaldeirao.pt")</f>
        <v>enchidoscaldeirao.pt</v>
      </c>
      <c r="H136" s="242" t="s">
        <v>9355</v>
      </c>
      <c r="I136" s="305" t="s">
        <v>9356</v>
      </c>
      <c r="J136" s="258" t="str">
        <f>HYPERLINK("https://www.google.com/maps/search/Enchidos%20do%20Caldeirao%20Interior%20Algarve%20Portugal/@37.3194,-8.5583,17z","🧀 Enchidos do Caldeirao")</f>
        <v>🧀 Enchidos do Caldeirao</v>
      </c>
    </row>
    <row r="137" spans="1:10" ht="110" customHeight="1" x14ac:dyDescent="0.35">
      <c r="A137" s="338">
        <v>133</v>
      </c>
      <c r="B137" s="239" t="s">
        <v>9357</v>
      </c>
      <c r="C137" s="240" t="s">
        <v>8767</v>
      </c>
      <c r="D137" s="239" t="s">
        <v>9358</v>
      </c>
      <c r="E137" s="239" t="s">
        <v>9359</v>
      </c>
      <c r="F137" s="239" t="s">
        <v>9360</v>
      </c>
      <c r="G137" s="239" t="str">
        <f>HYPERLINK("https://queijosaojorge.pt","queijosaojorge.pt")</f>
        <v>queijosaojorge.pt</v>
      </c>
      <c r="H137" s="239" t="s">
        <v>8907</v>
      </c>
      <c r="I137" s="304" t="s">
        <v>9361</v>
      </c>
      <c r="J137" s="257" t="str">
        <f>HYPERLINK("https://www.google.com/maps/search/Queijaria%20Sao%20Jorge%20DOP%20Portugal/@38.6783,-28.2023,17z","🧀 Queijaria Sao Jorge DOP")</f>
        <v>🧀 Queijaria Sao Jorge DOP</v>
      </c>
    </row>
    <row r="138" spans="1:10" ht="110" customHeight="1" x14ac:dyDescent="0.35">
      <c r="A138" s="336">
        <v>134</v>
      </c>
      <c r="B138" s="242" t="s">
        <v>9362</v>
      </c>
      <c r="C138" s="243" t="s">
        <v>8767</v>
      </c>
      <c r="D138" s="242" t="s">
        <v>9363</v>
      </c>
      <c r="E138" s="242" t="s">
        <v>9364</v>
      </c>
      <c r="F138" s="242" t="s">
        <v>8760</v>
      </c>
      <c r="G138" s="242" t="str">
        <f>HYPERLINK("https://lacticiniosflores.pt","lacticiniosflores.pt")</f>
        <v>lacticiniosflores.pt</v>
      </c>
      <c r="H138" s="242" t="s">
        <v>8912</v>
      </c>
      <c r="I138" s="305" t="s">
        <v>9365</v>
      </c>
      <c r="J138" s="258" t="str">
        <f>HYPERLINK("https://www.google.com/maps/search/Lacticinios%20das%20Flores%20Flores%20DOP%20Portugal/@39.4501,-31.2201,17z","🧀 Lacticinios das Flores")</f>
        <v>🧀 Lacticinios das Flores</v>
      </c>
    </row>
    <row r="139" spans="1:10" ht="110" customHeight="1" x14ac:dyDescent="0.35">
      <c r="A139" s="338">
        <v>135</v>
      </c>
      <c r="B139" s="239" t="s">
        <v>9366</v>
      </c>
      <c r="C139" s="240" t="s">
        <v>8767</v>
      </c>
      <c r="D139" s="239" t="s">
        <v>9367</v>
      </c>
      <c r="E139" s="239" t="s">
        <v>9368</v>
      </c>
      <c r="F139" s="239" t="s">
        <v>2252</v>
      </c>
      <c r="G139" s="239" t="str">
        <f>HYPERLINK("https://queijodopico.pt","queijodopico.pt")</f>
        <v>queijodopico.pt</v>
      </c>
      <c r="H139" s="239" t="s">
        <v>9369</v>
      </c>
      <c r="I139" s="304" t="s">
        <v>9370</v>
      </c>
      <c r="J139" s="257" t="str">
        <f>HYPERLINK("https://www.google.com/maps/search/Queijo%20do%20Pico%20Artesanal%20Pico%20DOP%20Portugal/@38.5352,-28.5288,17z","🧀 Queijo do Pico Artesanal")</f>
        <v>🧀 Queijo do Pico Artesanal</v>
      </c>
    </row>
    <row r="140" spans="1:10" ht="110" customHeight="1" x14ac:dyDescent="0.35">
      <c r="A140" s="336">
        <v>136</v>
      </c>
      <c r="B140" s="242" t="s">
        <v>9371</v>
      </c>
      <c r="C140" s="243" t="s">
        <v>8767</v>
      </c>
      <c r="D140" s="242" t="s">
        <v>9372</v>
      </c>
      <c r="E140" s="242" t="s">
        <v>9373</v>
      </c>
      <c r="F140" s="242" t="s">
        <v>9374</v>
      </c>
      <c r="G140" s="242" t="str">
        <f>HYPERLINK("https://quintadosacores.pt","quintadosacores.pt")</f>
        <v>quintadosacores.pt</v>
      </c>
      <c r="H140" s="242" t="s">
        <v>9375</v>
      </c>
      <c r="I140" s="305" t="s">
        <v>9376</v>
      </c>
      <c r="J140" s="258" t="str">
        <f>HYPERLINK("https://www.google.com/maps/search/Quinta%20dos%20Acores%20Queijo%20Terceira%20Portugal/@38.6561,-27.2193,17z","🧀 Quinta dos Acores Queijo Te…")</f>
        <v>🧀 Quinta dos Acores Queijo Te…</v>
      </c>
    </row>
    <row r="141" spans="1:10" ht="110" customHeight="1" x14ac:dyDescent="0.35">
      <c r="A141" s="338">
        <v>137</v>
      </c>
      <c r="B141" s="239" t="s">
        <v>9377</v>
      </c>
      <c r="C141" s="240" t="s">
        <v>8781</v>
      </c>
      <c r="D141" s="239" t="s">
        <v>9378</v>
      </c>
      <c r="E141" s="239" t="s">
        <v>9379</v>
      </c>
      <c r="F141" s="239" t="s">
        <v>9380</v>
      </c>
      <c r="G141" s="239" t="str">
        <f>HYPERLINK("https://melacores.pt","melacores.pt")</f>
        <v>melacores.pt</v>
      </c>
      <c r="H141" s="239" t="s">
        <v>9381</v>
      </c>
      <c r="I141" s="304" t="s">
        <v>9382</v>
      </c>
      <c r="J141" s="257" t="str">
        <f>HYPERLINK("https://www.google.com/maps/search/Mel%20dos%20Acores%20DOP%20Cooperativa%20Sao%20Miguel%20DOP%20Portugal/@37.7412,-25.6756,17z","🧀 Mel dos Acores DOP Cooperat…")</f>
        <v>🧀 Mel dos Acores DOP Cooperat…</v>
      </c>
    </row>
    <row r="142" spans="1:10" ht="110" customHeight="1" x14ac:dyDescent="0.35">
      <c r="A142" s="336">
        <v>138</v>
      </c>
      <c r="B142" s="242" t="s">
        <v>9383</v>
      </c>
      <c r="C142" s="243" t="s">
        <v>8781</v>
      </c>
      <c r="D142" s="242" t="s">
        <v>9384</v>
      </c>
      <c r="E142" s="242" t="s">
        <v>9385</v>
      </c>
      <c r="F142" s="242" t="s">
        <v>2252</v>
      </c>
      <c r="G142" s="242" t="str">
        <f>HYPERLINK("https://meisdopico.pt","meisdopico.pt")</f>
        <v>meisdopico.pt</v>
      </c>
      <c r="H142" s="242" t="s">
        <v>9386</v>
      </c>
      <c r="I142" s="305" t="s">
        <v>9387</v>
      </c>
      <c r="J142" s="258" t="str">
        <f>HYPERLINK("https://www.google.com/maps/search/Apiarios%20do%20Pico%20Portugal/@38.5352,-28.5288,17z","🧀 Apiarios do Pico")</f>
        <v>🧀 Apiarios do Pico</v>
      </c>
    </row>
    <row r="143" spans="1:10" ht="110" customHeight="1" x14ac:dyDescent="0.35">
      <c r="A143" s="338">
        <v>139</v>
      </c>
      <c r="B143" s="239" t="s">
        <v>9388</v>
      </c>
      <c r="C143" s="240" t="s">
        <v>9085</v>
      </c>
      <c r="D143" s="239" t="s">
        <v>9378</v>
      </c>
      <c r="E143" s="239" t="s">
        <v>9389</v>
      </c>
      <c r="F143" s="239" t="s">
        <v>9380</v>
      </c>
      <c r="G143" s="239" t="str">
        <f>HYPERLINK("https://ananasdosacores.pt","ananasdosacores.pt")</f>
        <v>ananasdosacores.pt</v>
      </c>
      <c r="H143" s="239" t="s">
        <v>9390</v>
      </c>
      <c r="I143" s="304" t="s">
        <v>9391</v>
      </c>
      <c r="J143" s="257" t="str">
        <f>HYPERLINK("https://www.google.com/maps/search/Ananasal%20Ananas%20dos%20Acores%20DOP%20Sao%20Miguel%20DOP%20Portugal/@37.7412,-25.6756,17z","🧀 Ananasal Ananas dos Acores …")</f>
        <v>🧀 Ananasal Ananas dos Acores …</v>
      </c>
    </row>
    <row r="144" spans="1:10" ht="110" customHeight="1" x14ac:dyDescent="0.35">
      <c r="A144" s="336">
        <v>140</v>
      </c>
      <c r="B144" s="242" t="s">
        <v>9392</v>
      </c>
      <c r="C144" s="243" t="s">
        <v>9085</v>
      </c>
      <c r="D144" s="242" t="s">
        <v>9393</v>
      </c>
      <c r="E144" s="242" t="s">
        <v>9394</v>
      </c>
      <c r="F144" s="242" t="s">
        <v>9395</v>
      </c>
      <c r="G144" s="242" t="str">
        <f>HYPERLINK("https://gorreana.pt","gorreana.pt")</f>
        <v>gorreana.pt</v>
      </c>
      <c r="H144" s="242" t="s">
        <v>9396</v>
      </c>
      <c r="I144" s="305" t="s">
        <v>9397</v>
      </c>
      <c r="J144" s="258" t="str">
        <f>HYPERLINK("https://www.google.com/maps/search/Cha%20Gorreana%20Unico%20Cha%20da%20Europa%20Sao%20Miguel%20Portugal/@37.8293,-25.5199,17z","🧀 Cha Gorreana Unico Cha da E…")</f>
        <v>🧀 Cha Gorreana Unico Cha da E…</v>
      </c>
    </row>
    <row r="145" spans="1:10" ht="110" customHeight="1" x14ac:dyDescent="0.35">
      <c r="A145" s="338">
        <v>141</v>
      </c>
      <c r="B145" s="239" t="s">
        <v>9398</v>
      </c>
      <c r="C145" s="240" t="s">
        <v>9085</v>
      </c>
      <c r="D145" s="239" t="s">
        <v>9393</v>
      </c>
      <c r="E145" s="239" t="s">
        <v>9399</v>
      </c>
      <c r="F145" s="239" t="s">
        <v>9395</v>
      </c>
      <c r="G145" s="239" t="str">
        <f>HYPERLINK("https://portoformoso.pt","portoformoso.pt")</f>
        <v>portoformoso.pt</v>
      </c>
      <c r="H145" s="239" t="s">
        <v>9400</v>
      </c>
      <c r="I145" s="304" t="s">
        <v>9401</v>
      </c>
      <c r="J145" s="257" t="str">
        <f>HYPERLINK("https://www.google.com/maps/search/Ananases%20Porto%20Formoso%20Sao%20Miguel%20Portugal/@37.8293,-25.5199,17z","🧀 Ananases Porto Formoso")</f>
        <v>🧀 Ananases Porto Formoso</v>
      </c>
    </row>
    <row r="146" spans="1:10" ht="110" customHeight="1" x14ac:dyDescent="0.35">
      <c r="A146" s="336">
        <v>142</v>
      </c>
      <c r="B146" s="242" t="s">
        <v>9402</v>
      </c>
      <c r="C146" s="243" t="s">
        <v>9005</v>
      </c>
      <c r="D146" s="242" t="s">
        <v>9378</v>
      </c>
      <c r="E146" s="242" t="s">
        <v>9403</v>
      </c>
      <c r="F146" s="242" t="s">
        <v>9380</v>
      </c>
      <c r="G146" s="242" t="str">
        <f>HYPERLINK("https://cofaco.com","cofaco.com")</f>
        <v>cofaco.com</v>
      </c>
      <c r="H146" s="242" t="s">
        <v>9018</v>
      </c>
      <c r="I146" s="305" t="s">
        <v>9404</v>
      </c>
      <c r="J146" s="258" t="str">
        <f>HYPERLINK("https://www.google.com/maps/search/Cofaco%20Conservas%20Acores%20DOP%20Sao%20Miguel%20DOP%20Portugal/@37.7412,-25.6756,17z","🧀 Cofaco Conservas Acores DOP")</f>
        <v>🧀 Cofaco Conservas Acores DOP</v>
      </c>
    </row>
    <row r="147" spans="1:10" ht="110" customHeight="1" x14ac:dyDescent="0.35">
      <c r="A147" s="338">
        <v>143</v>
      </c>
      <c r="B147" s="239" t="s">
        <v>9405</v>
      </c>
      <c r="C147" s="240" t="s">
        <v>9005</v>
      </c>
      <c r="D147" s="239" t="s">
        <v>9406</v>
      </c>
      <c r="E147" s="239" t="s">
        <v>9407</v>
      </c>
      <c r="F147" s="239" t="s">
        <v>3690</v>
      </c>
      <c r="G147" s="239" t="str">
        <f>HYPERLINK("https://insulares-atlantico.pt","insulares-atlantico.pt")</f>
        <v>insulares-atlantico.pt</v>
      </c>
      <c r="H147" s="239" t="s">
        <v>9408</v>
      </c>
      <c r="I147" s="304" t="s">
        <v>9409</v>
      </c>
      <c r="J147" s="257" t="str">
        <f>HYPERLINK("https://www.google.com/maps/search/Conservas%20Insulares%20do%20Atlantico%20Faial%20Portugal/@38.53,-28.6263,17z","🧀 Conservas Insulares do Atla…")</f>
        <v>🧀 Conservas Insulares do Atla…</v>
      </c>
    </row>
    <row r="148" spans="1:10" ht="110" customHeight="1" x14ac:dyDescent="0.35">
      <c r="A148" s="336">
        <v>144</v>
      </c>
      <c r="B148" s="242" t="s">
        <v>9410</v>
      </c>
      <c r="C148" s="243" t="s">
        <v>9288</v>
      </c>
      <c r="D148" s="242" t="s">
        <v>9411</v>
      </c>
      <c r="E148" s="242" t="s">
        <v>9412</v>
      </c>
      <c r="F148" s="242" t="s">
        <v>2252</v>
      </c>
      <c r="G148" s="242" t="str">
        <f>HYPERLINK("https://picowines.com","picowines.com")</f>
        <v>picowines.com</v>
      </c>
      <c r="H148" s="242" t="s">
        <v>9413</v>
      </c>
      <c r="I148" s="305" t="s">
        <v>9414</v>
      </c>
      <c r="J148" s="258" t="str">
        <f>HYPERLINK("https://www.google.com/maps/search/Cooperativa%20Vitivinicola%20do%20Pico%20Pico%20DOP%20UNESCO%20Portugal/@38.5352,-28.5288,17z","🧀 Cooperativa Vitivinicola do…")</f>
        <v>🧀 Cooperativa Vitivinicola do…</v>
      </c>
    </row>
    <row r="149" spans="1:10" ht="110" customHeight="1" x14ac:dyDescent="0.35">
      <c r="A149" s="338">
        <v>145</v>
      </c>
      <c r="B149" s="239" t="s">
        <v>9415</v>
      </c>
      <c r="C149" s="240" t="s">
        <v>9288</v>
      </c>
      <c r="D149" s="239" t="s">
        <v>9393</v>
      </c>
      <c r="E149" s="239" t="s">
        <v>9416</v>
      </c>
      <c r="F149" s="239" t="s">
        <v>9417</v>
      </c>
      <c r="G149" s="239" t="str">
        <f>HYPERLINK("https://adegadovulcao.pt","adegadovulcao.pt")</f>
        <v>adegadovulcao.pt</v>
      </c>
      <c r="H149" s="239" t="s">
        <v>9418</v>
      </c>
      <c r="I149" s="304" t="s">
        <v>9419</v>
      </c>
      <c r="J149" s="257" t="str">
        <f>HYPERLINK("https://www.google.com/maps/search/Adega%20do%20Vulcao%20Sao%20Miguel%20Portugal/@37.7723,-25.3257,17z","🧀 Adega do Vulcao Sao Miguel")</f>
        <v>🧀 Adega do Vulcao Sao Miguel</v>
      </c>
    </row>
    <row r="150" spans="1:10" ht="110" customHeight="1" x14ac:dyDescent="0.35">
      <c r="A150" s="336">
        <v>146</v>
      </c>
      <c r="B150" s="242" t="s">
        <v>9420</v>
      </c>
      <c r="C150" s="243" t="s">
        <v>8767</v>
      </c>
      <c r="D150" s="242" t="s">
        <v>9421</v>
      </c>
      <c r="E150" s="242" t="s">
        <v>9422</v>
      </c>
      <c r="F150" s="242" t="s">
        <v>9423</v>
      </c>
      <c r="G150" s="242" t="str">
        <f>HYPERLINK("https://queijocurral.pt","queijocurral.pt")</f>
        <v>queijocurral.pt</v>
      </c>
      <c r="H150" s="242" t="s">
        <v>9424</v>
      </c>
      <c r="I150" s="305" t="s">
        <v>9425</v>
      </c>
      <c r="J150" s="258" t="str">
        <f>HYPERLINK("https://www.google.com/maps/search/Queijo%20do%20Curral%20das%20Freiras%20Portugal/@32.6512,-16.9783,17z","🧀 Queijo do Curral das Freiras")</f>
        <v>🧀 Queijo do Curral das Freiras</v>
      </c>
    </row>
    <row r="151" spans="1:10" ht="110" customHeight="1" x14ac:dyDescent="0.35">
      <c r="A151" s="338">
        <v>147</v>
      </c>
      <c r="B151" s="239" t="s">
        <v>9426</v>
      </c>
      <c r="C151" s="240" t="s">
        <v>8781</v>
      </c>
      <c r="D151" s="239" t="s">
        <v>9427</v>
      </c>
      <c r="E151" s="239" t="s">
        <v>9428</v>
      </c>
      <c r="F151" s="239" t="s">
        <v>779</v>
      </c>
      <c r="G151" s="239" t="str">
        <f>HYPERLINK("https://emme-madeira.pt","emme-madeira.pt")</f>
        <v>emme-madeira.pt</v>
      </c>
      <c r="H151" s="239" t="s">
        <v>9429</v>
      </c>
      <c r="I151" s="304" t="s">
        <v>9430</v>
      </c>
      <c r="J151" s="257" t="str">
        <f>HYPERLINK("https://www.google.com/maps/search/Empresa%20de%20Mel%20da%20Madeira%20EMME%20Madeira%20DOP%20Portugal/@32.65,-16.9014,17z","🧀 Empresa de Mel da Madeira E…")</f>
        <v>🧀 Empresa de Mel da Madeira E…</v>
      </c>
    </row>
    <row r="152" spans="1:10" ht="110" customHeight="1" x14ac:dyDescent="0.35">
      <c r="A152" s="336">
        <v>148</v>
      </c>
      <c r="B152" s="242" t="s">
        <v>9431</v>
      </c>
      <c r="C152" s="243" t="s">
        <v>8781</v>
      </c>
      <c r="D152" s="242" t="s">
        <v>9432</v>
      </c>
      <c r="E152" s="242" t="s">
        <v>9433</v>
      </c>
      <c r="F152" s="242" t="s">
        <v>9434</v>
      </c>
      <c r="G152" s="242" t="str">
        <f>HYPERLINK("https://apiarospicos.pt","apiarospicos.pt")</f>
        <v>apiarospicos.pt</v>
      </c>
      <c r="H152" s="242" t="s">
        <v>9435</v>
      </c>
      <c r="I152" s="305" t="s">
        <v>9436</v>
      </c>
      <c r="J152" s="258" t="str">
        <f>HYPERLINK("https://www.google.com/maps/search/Apiarios%20dos%20Picos%20Madeira%20Paul%20da%20Serra%20Portugal/@32.6772,-17.0647,17z","🧀 Apiarios dos Picos Madeira")</f>
        <v>🧀 Apiarios dos Picos Madeira</v>
      </c>
    </row>
    <row r="153" spans="1:10" ht="110" customHeight="1" x14ac:dyDescent="0.35">
      <c r="A153" s="338">
        <v>149</v>
      </c>
      <c r="B153" s="239" t="s">
        <v>9437</v>
      </c>
      <c r="C153" s="240" t="s">
        <v>9085</v>
      </c>
      <c r="D153" s="239" t="s">
        <v>9438</v>
      </c>
      <c r="E153" s="239" t="s">
        <v>9439</v>
      </c>
      <c r="F153" s="239" t="s">
        <v>779</v>
      </c>
      <c r="G153" s="239" t="str">
        <f>HYPERLINK("https://bananamadeira.pt","bananamadeira.pt")</f>
        <v>bananamadeira.pt</v>
      </c>
      <c r="H153" s="239" t="s">
        <v>9440</v>
      </c>
      <c r="I153" s="304" t="s">
        <v>9441</v>
      </c>
      <c r="J153" s="257" t="str">
        <f>HYPERLINK("https://www.google.com/maps/search/Bananeira%20da%20Madeira%20Cooperativa%20Banana%20IGP%20Portugal/@32.65,-16.9014,17z","🧀 Bananeira da Madeira Cooper…")</f>
        <v>🧀 Bananeira da Madeira Cooper…</v>
      </c>
    </row>
    <row r="154" spans="1:10" ht="110" customHeight="1" x14ac:dyDescent="0.35">
      <c r="A154" s="336">
        <v>150</v>
      </c>
      <c r="B154" s="242" t="s">
        <v>9442</v>
      </c>
      <c r="C154" s="243" t="s">
        <v>9085</v>
      </c>
      <c r="D154" s="242" t="s">
        <v>9443</v>
      </c>
      <c r="E154" s="242" t="s">
        <v>9444</v>
      </c>
      <c r="F154" s="242" t="s">
        <v>9423</v>
      </c>
      <c r="G154" s="242" t="str">
        <f>HYPERLINK("https://quintaboavista.pt","quintaboavista.pt")</f>
        <v>quintaboavista.pt</v>
      </c>
      <c r="H154" s="242" t="s">
        <v>9445</v>
      </c>
      <c r="I154" s="305" t="s">
        <v>9446</v>
      </c>
      <c r="J154" s="258" t="str">
        <f>HYPERLINK("https://www.google.com/maps/search/Maracujas%20da%20Madeira%20Quinta%20Boa%20Vista%20Portugal/@32.6512,-16.9783,17z","🧀 Maracujas da Madeira Quinta…")</f>
        <v>🧀 Maracujas da Madeira Quinta…</v>
      </c>
    </row>
    <row r="155" spans="1:10" ht="110" customHeight="1" x14ac:dyDescent="0.35">
      <c r="A155" s="338">
        <v>151</v>
      </c>
      <c r="B155" s="239" t="s">
        <v>9447</v>
      </c>
      <c r="C155" s="240" t="s">
        <v>9005</v>
      </c>
      <c r="D155" s="239" t="s">
        <v>9443</v>
      </c>
      <c r="E155" s="239" t="s">
        <v>9448</v>
      </c>
      <c r="F155" s="239" t="s">
        <v>779</v>
      </c>
      <c r="G155" s="239" t="str">
        <f>HYPERLINK("https://espadamadeira.pt","espadamadeira.pt")</f>
        <v>espadamadeira.pt</v>
      </c>
      <c r="H155" s="239" t="s">
        <v>9449</v>
      </c>
      <c r="I155" s="304" t="s">
        <v>9450</v>
      </c>
      <c r="J155" s="257" t="str">
        <f>HYPERLINK("https://www.google.com/maps/search/Espada%20Preta%20Conservas%20Madeira%20Portugal/@32.65,-16.9014,17z","🧀 Espada Preta Conservas Made…")</f>
        <v>🧀 Espada Preta Conservas Made…</v>
      </c>
    </row>
    <row r="156" spans="1:10" ht="110" customHeight="1" x14ac:dyDescent="0.35">
      <c r="A156" s="336">
        <v>152</v>
      </c>
      <c r="B156" s="242" t="s">
        <v>9451</v>
      </c>
      <c r="C156" s="243" t="s">
        <v>9005</v>
      </c>
      <c r="D156" s="242" t="s">
        <v>9452</v>
      </c>
      <c r="E156" s="242" t="s">
        <v>9453</v>
      </c>
      <c r="F156" s="242" t="s">
        <v>9423</v>
      </c>
      <c r="G156" s="242" t="str">
        <f>HYPERLINK("https://salsabormadeira.pt","salsabormadeira.pt")</f>
        <v>salsabormadeira.pt</v>
      </c>
      <c r="H156" s="242" t="s">
        <v>9454</v>
      </c>
      <c r="I156" s="305" t="s">
        <v>9455</v>
      </c>
      <c r="J156" s="258" t="str">
        <f>HYPERLINK("https://www.google.com/maps/search/Sal%20e%20Sabor%20Madeira%20Camara%20de%20Lobos%20Portugal/@32.6512,-16.9783,17z","🧀 Sal e Sabor Madeira")</f>
        <v>🧀 Sal e Sabor Madeira</v>
      </c>
    </row>
    <row r="157" spans="1:10" ht="110" customHeight="1" x14ac:dyDescent="0.35">
      <c r="A157" s="338">
        <v>153</v>
      </c>
      <c r="B157" s="239" t="s">
        <v>9456</v>
      </c>
      <c r="C157" s="240" t="s">
        <v>9288</v>
      </c>
      <c r="D157" s="239" t="s">
        <v>9457</v>
      </c>
      <c r="E157" s="239" t="s">
        <v>9458</v>
      </c>
      <c r="F157" s="239" t="s">
        <v>779</v>
      </c>
      <c r="G157" s="239" t="str">
        <f>HYPERLINK("https://blandys.com","blandys.com")</f>
        <v>blandys.com</v>
      </c>
      <c r="H157" s="239" t="s">
        <v>9459</v>
      </c>
      <c r="I157" s="304" t="s">
        <v>9460</v>
      </c>
      <c r="J157" s="257" t="str">
        <f>HYPERLINK("https://www.google.com/maps/search/Blandys%20Wine%20Lodge%20Vinho%20Madeira%20DOP%20Portugal/@32.65,-16.9014,17z","🧀 Blandys Wine Lodge")</f>
        <v>🧀 Blandys Wine Lodge</v>
      </c>
    </row>
    <row r="158" spans="1:10" ht="110" customHeight="1" x14ac:dyDescent="0.35">
      <c r="A158" s="336">
        <v>154</v>
      </c>
      <c r="B158" s="242" t="s">
        <v>9461</v>
      </c>
      <c r="C158" s="243" t="s">
        <v>9288</v>
      </c>
      <c r="D158" s="242" t="s">
        <v>9457</v>
      </c>
      <c r="E158" s="242" t="s">
        <v>9462</v>
      </c>
      <c r="F158" s="242" t="s">
        <v>9423</v>
      </c>
      <c r="G158" s="242" t="str">
        <f>HYPERLINK("https://henriqueshenriques.pt","henriqueshenriques.pt")</f>
        <v>henriqueshenriques.pt</v>
      </c>
      <c r="H158" s="242" t="s">
        <v>9463</v>
      </c>
      <c r="I158" s="305" t="s">
        <v>9464</v>
      </c>
      <c r="J158" s="258" t="str">
        <f>HYPERLINK("https://www.google.com/maps/search/Henriques%20e%20Henriques%20Vinho%20Madeira%20DOP%20Portugal/@32.6512,-16.9783,17z","🧀 Henriques e Henriques")</f>
        <v>🧀 Henriques e Henriques</v>
      </c>
    </row>
    <row r="159" spans="1:10" ht="110" customHeight="1" x14ac:dyDescent="0.35">
      <c r="A159" s="338">
        <v>155</v>
      </c>
      <c r="B159" s="239" t="s">
        <v>9465</v>
      </c>
      <c r="C159" s="240" t="s">
        <v>9288</v>
      </c>
      <c r="D159" s="239" t="s">
        <v>9457</v>
      </c>
      <c r="E159" s="239" t="s">
        <v>9466</v>
      </c>
      <c r="F159" s="239" t="s">
        <v>779</v>
      </c>
      <c r="G159" s="239" t="str">
        <f>HYPERLINK("https://arturdebarrosesousa.com","arturdebarrosesousa.com")</f>
        <v>arturdebarrosesousa.com</v>
      </c>
      <c r="H159" s="239" t="s">
        <v>9467</v>
      </c>
      <c r="I159" s="304" t="s">
        <v>9468</v>
      </c>
      <c r="J159" s="257" t="str">
        <f>HYPERLINK("https://www.google.com/maps/search/Artur%20de%20Barros%20e%20Sousa%20Vinho%20Madeira%20DOP%20Portugal/@32.65,-16.9014,17z","🧀 Artur de Barros e Sousa")</f>
        <v>🧀 Artur de Barros e Sousa</v>
      </c>
    </row>
    <row r="160" spans="1:10" ht="110" customHeight="1" x14ac:dyDescent="0.35">
      <c r="A160" s="336">
        <v>156</v>
      </c>
      <c r="B160" s="242" t="s">
        <v>9469</v>
      </c>
      <c r="C160" s="243" t="s">
        <v>9107</v>
      </c>
      <c r="D160" s="242" t="s">
        <v>9470</v>
      </c>
      <c r="E160" s="242" t="s">
        <v>9471</v>
      </c>
      <c r="F160" s="242" t="s">
        <v>9472</v>
      </c>
      <c r="G160" s="242" t="str">
        <f>HYPERLINK("https://engenho-norte.com","engenho-norte.com")</f>
        <v>engenho-norte.com</v>
      </c>
      <c r="H160" s="242" t="s">
        <v>9473</v>
      </c>
      <c r="I160" s="305" t="s">
        <v>9474</v>
      </c>
      <c r="J160" s="258" t="str">
        <f>HYPERLINK("https://www.google.com/maps/search/Engenho%20do%20Norte%20Mel%20de%20Cana%20Sao%20Vicente%20Portugal/@32.8021,-17.0341,17z","🧀 Engenho do Norte Mel de Cana")</f>
        <v>🧀 Engenho do Norte Mel de Cana</v>
      </c>
    </row>
    <row r="161" spans="1:10" ht="110" customHeight="1" x14ac:dyDescent="0.35">
      <c r="A161" s="338">
        <v>157</v>
      </c>
      <c r="B161" s="239" t="s">
        <v>9475</v>
      </c>
      <c r="C161" s="240" t="s">
        <v>9107</v>
      </c>
      <c r="D161" s="239" t="s">
        <v>9476</v>
      </c>
      <c r="E161" s="239" t="s">
        <v>9477</v>
      </c>
      <c r="F161" s="239" t="s">
        <v>9478</v>
      </c>
      <c r="G161" s="239" t="str">
        <f>HYPERLINK("https://coopcamacha.pt","coopcamacha.pt")</f>
        <v>coopcamacha.pt</v>
      </c>
      <c r="H161" s="239" t="s">
        <v>9479</v>
      </c>
      <c r="I161" s="304" t="s">
        <v>9480</v>
      </c>
      <c r="J161" s="257" t="str">
        <f>HYPERLINK("https://www.google.com/maps/search/Cooperativa%20Agricola%20Camacha%20Portugal/@32.6794,-16.8449,17z","🧀 Cooperativa Agricola Camacha")</f>
        <v>🧀 Cooperativa Agricola Camacha</v>
      </c>
    </row>
    <row r="162" spans="1:10" x14ac:dyDescent="0.35">
      <c r="A162" s="1529" t="s">
        <v>18264</v>
      </c>
      <c r="B162" s="1529"/>
      <c r="C162" s="1529"/>
      <c r="D162" s="1529"/>
      <c r="E162" s="1529"/>
      <c r="F162" s="1529"/>
      <c r="G162" s="1529"/>
      <c r="H162" s="1529"/>
      <c r="I162" s="1529"/>
      <c r="J162" s="1529"/>
    </row>
    <row r="163" spans="1:10" ht="48.5" x14ac:dyDescent="0.35">
      <c r="A163" s="567">
        <v>158</v>
      </c>
      <c r="B163" s="568" t="s">
        <v>18265</v>
      </c>
      <c r="C163" s="569" t="s">
        <v>18266</v>
      </c>
      <c r="D163" s="569" t="s">
        <v>18267</v>
      </c>
      <c r="E163" s="569" t="s">
        <v>18268</v>
      </c>
      <c r="F163" s="569" t="s">
        <v>18269</v>
      </c>
      <c r="G163" s="569" t="s">
        <v>18270</v>
      </c>
      <c r="H163" s="569" t="s">
        <v>18271</v>
      </c>
      <c r="I163" s="569" t="s">
        <v>18272</v>
      </c>
      <c r="J163" s="570" t="str">
        <f>HYPERLINK("https://www.google.com/maps/search/Caves+Taylor%27s+Vila+Nova+de+Gaia+Portugal/@41.1340,-8.6141,17z","🍷 Caves Taylor's")</f>
        <v>🍷 Caves Taylor's</v>
      </c>
    </row>
    <row r="164" spans="1:10" ht="48.5" x14ac:dyDescent="0.35">
      <c r="A164" s="571">
        <v>159</v>
      </c>
      <c r="B164" s="572" t="s">
        <v>18273</v>
      </c>
      <c r="C164" s="573" t="s">
        <v>18274</v>
      </c>
      <c r="D164" s="573" t="s">
        <v>18275</v>
      </c>
      <c r="E164" s="573" t="s">
        <v>18276</v>
      </c>
      <c r="F164" s="573" t="s">
        <v>18277</v>
      </c>
      <c r="G164" s="573" t="s">
        <v>18278</v>
      </c>
      <c r="H164" s="573" t="s">
        <v>18279</v>
      </c>
      <c r="I164" s="573" t="s">
        <v>18280</v>
      </c>
      <c r="J164" s="574" t="str">
        <f>HYPERLINK("https://www.google.com/maps/search/Solar+do+Alvarinho+Melgaco+Portugal/@42.1136,-8.2588,17z","🍷 Solar do Alvarinho")</f>
        <v>🍷 Solar do Alvarinho</v>
      </c>
    </row>
    <row r="165" spans="1:10" ht="48.5" x14ac:dyDescent="0.35">
      <c r="A165" s="567">
        <v>160</v>
      </c>
      <c r="B165" s="568" t="s">
        <v>16199</v>
      </c>
      <c r="C165" s="569" t="s">
        <v>18266</v>
      </c>
      <c r="D165" s="569" t="s">
        <v>18281</v>
      </c>
      <c r="E165" s="569" t="s">
        <v>18282</v>
      </c>
      <c r="F165" s="569" t="s">
        <v>18283</v>
      </c>
      <c r="G165" s="569" t="s">
        <v>18284</v>
      </c>
      <c r="H165" s="569" t="s">
        <v>18285</v>
      </c>
      <c r="I165" s="569" t="s">
        <v>18286</v>
      </c>
      <c r="J165" s="570" t="str">
        <f>HYPERLINK("https://www.google.com/maps/search/Blandy%27s+Wine+Lodge+Funchal+Madeira+Portugal/@32.6483,-16.9110,17z","🍷 Blandy's Wine Lodge")</f>
        <v>🍷 Blandy's Wine Lodge</v>
      </c>
    </row>
    <row r="166" spans="1:10" ht="48.5" x14ac:dyDescent="0.35">
      <c r="A166" s="571">
        <v>161</v>
      </c>
      <c r="B166" s="572" t="s">
        <v>18287</v>
      </c>
      <c r="C166" s="573" t="s">
        <v>18288</v>
      </c>
      <c r="D166" s="573" t="s">
        <v>18289</v>
      </c>
      <c r="E166" s="573" t="s">
        <v>18290</v>
      </c>
      <c r="F166" s="573" t="s">
        <v>18291</v>
      </c>
      <c r="G166" s="573" t="s">
        <v>18292</v>
      </c>
      <c r="H166" s="573" t="s">
        <v>18293</v>
      </c>
      <c r="I166" s="573" t="s">
        <v>18294</v>
      </c>
      <c r="J166" s="574" t="str">
        <f>HYPERLINK("https://www.google.com/maps/search/Adega+Jose+de+Sousa+Reguengos+de+Monsaraz+Portugal/@38.4239,-7.5348,17z","🍷 Adega José de Sousa")</f>
        <v>🍷 Adega José de Sousa</v>
      </c>
    </row>
    <row r="167" spans="1:10" ht="48.5" x14ac:dyDescent="0.35">
      <c r="A167" s="567">
        <v>162</v>
      </c>
      <c r="B167" s="568" t="s">
        <v>3383</v>
      </c>
      <c r="C167" s="569" t="s">
        <v>18295</v>
      </c>
      <c r="D167" s="569" t="s">
        <v>18296</v>
      </c>
      <c r="E167" s="569" t="s">
        <v>18297</v>
      </c>
      <c r="F167" s="569" t="s">
        <v>18298</v>
      </c>
      <c r="G167" s="569" t="s">
        <v>18299</v>
      </c>
      <c r="H167" s="569" t="s">
        <v>3096</v>
      </c>
      <c r="I167" s="569" t="s">
        <v>18300</v>
      </c>
      <c r="J167" s="570" t="str">
        <f>HYPERLINK("https://www.google.com/maps/search/Vinho+dos+Mortos+Boticas+Portugal/@41.6853,-7.6669,17z","🍷 Vinho dos Mortos")</f>
        <v>🍷 Vinho dos Mortos</v>
      </c>
    </row>
    <row r="168" spans="1:10" ht="48.5" x14ac:dyDescent="0.35">
      <c r="A168" s="571">
        <v>163</v>
      </c>
      <c r="B168" s="572" t="s">
        <v>18301</v>
      </c>
      <c r="C168" s="573" t="s">
        <v>18302</v>
      </c>
      <c r="D168" s="573" t="s">
        <v>18303</v>
      </c>
      <c r="E168" s="573" t="s">
        <v>18304</v>
      </c>
      <c r="F168" s="573" t="s">
        <v>18305</v>
      </c>
      <c r="G168" s="573" t="s">
        <v>3096</v>
      </c>
      <c r="H168" s="573" t="s">
        <v>18306</v>
      </c>
      <c r="I168" s="573" t="s">
        <v>18307</v>
      </c>
      <c r="J168" s="574" t="str">
        <f>HYPERLINK("https://www.google.com/maps/search/A+Ginjinha+Espinheira+Lisboa+Portugal/@38.7145,-9.1386,17z","🍷 A Ginjinha Espinheira")</f>
        <v>🍷 A Ginjinha Espinheira</v>
      </c>
    </row>
    <row r="169" spans="1:10" ht="48.5" x14ac:dyDescent="0.35">
      <c r="A169" s="567">
        <v>164</v>
      </c>
      <c r="B169" s="568" t="s">
        <v>18308</v>
      </c>
      <c r="C169" s="569" t="s">
        <v>18302</v>
      </c>
      <c r="D169" s="569" t="s">
        <v>18309</v>
      </c>
      <c r="E169" s="569" t="s">
        <v>18310</v>
      </c>
      <c r="F169" s="569" t="s">
        <v>18311</v>
      </c>
      <c r="G169" s="569" t="s">
        <v>18312</v>
      </c>
      <c r="H169" s="569" t="s">
        <v>18313</v>
      </c>
      <c r="I169" s="569" t="s">
        <v>18314</v>
      </c>
      <c r="J169" s="570" t="str">
        <f>HYPERLINK("https://www.google.com/maps/search/Quinta+do+Meiral+Licor+Beirao+Lousa+Portugal/@40.1265,-8.2435,17z","🍷 Licor Beirão — Quinta do Meiral")</f>
        <v>🍷 Licor Beirão — Quinta do Meiral</v>
      </c>
    </row>
    <row r="170" spans="1:10" ht="48.5" x14ac:dyDescent="0.35">
      <c r="A170" s="571">
        <v>165</v>
      </c>
      <c r="B170" s="572" t="s">
        <v>18315</v>
      </c>
      <c r="C170" s="573" t="s">
        <v>18302</v>
      </c>
      <c r="D170" s="573" t="s">
        <v>18316</v>
      </c>
      <c r="E170" s="573" t="s">
        <v>18317</v>
      </c>
      <c r="F170" s="573" t="s">
        <v>18318</v>
      </c>
      <c r="G170" s="573" t="s">
        <v>3096</v>
      </c>
      <c r="H170" s="573" t="s">
        <v>3096</v>
      </c>
      <c r="I170" s="573" t="s">
        <v>18319</v>
      </c>
      <c r="J170" s="574" t="str">
        <f>HYPERLINK("https://www.google.com/maps/search/Destilaria+Amarginha+Portimao+Algarve+Portugal/@37.1350,-8.5412,17z","🍷 Amarguinha — Destilaria Engenho")</f>
        <v>🍷 Amarguinha — Destilaria Engenho</v>
      </c>
    </row>
    <row r="171" spans="1:10" ht="48.5" x14ac:dyDescent="0.35">
      <c r="A171" s="567">
        <v>166</v>
      </c>
      <c r="B171" s="568" t="s">
        <v>18320</v>
      </c>
      <c r="C171" s="569" t="s">
        <v>18302</v>
      </c>
      <c r="D171" s="569" t="s">
        <v>18321</v>
      </c>
      <c r="E171" s="569" t="s">
        <v>18322</v>
      </c>
      <c r="F171" s="569" t="s">
        <v>18323</v>
      </c>
      <c r="G171" s="569" t="s">
        <v>18324</v>
      </c>
      <c r="H171" s="569" t="s">
        <v>18325</v>
      </c>
      <c r="I171" s="569" t="s">
        <v>18326</v>
      </c>
      <c r="J171" s="570" t="str">
        <f>HYPERLINK("https://www.google.com/maps/search/Casa+do+Medronho+Marmelete+Monchique+Portugal/@37.3106,-8.6534,17z","🍷 Casa do Medronho")</f>
        <v>🍷 Casa do Medronho</v>
      </c>
    </row>
    <row r="172" spans="1:10" ht="48.5" x14ac:dyDescent="0.35">
      <c r="A172" s="571">
        <v>167</v>
      </c>
      <c r="B172" s="572" t="s">
        <v>18327</v>
      </c>
      <c r="C172" s="573" t="s">
        <v>18302</v>
      </c>
      <c r="D172" s="573" t="s">
        <v>18328</v>
      </c>
      <c r="E172" s="573" t="s">
        <v>18329</v>
      </c>
      <c r="F172" s="573" t="s">
        <v>18330</v>
      </c>
      <c r="G172" s="573" t="s">
        <v>18331</v>
      </c>
      <c r="H172" s="573" t="s">
        <v>18332</v>
      </c>
      <c r="I172" s="573" t="s">
        <v>18333</v>
      </c>
      <c r="J172" s="574" t="str">
        <f>HYPERLINK("https://www.google.com/maps/search/Mosteiro+de+Singeverga+Santo+Tirso+Portugal/@41.3461,-8.3752,17z","🍷 Mosteiro de Singeverga")</f>
        <v>🍷 Mosteiro de Singeverga</v>
      </c>
    </row>
    <row r="173" spans="1:10" ht="48.5" x14ac:dyDescent="0.35">
      <c r="A173" s="567">
        <v>168</v>
      </c>
      <c r="B173" s="568" t="s">
        <v>18334</v>
      </c>
      <c r="C173" s="569" t="s">
        <v>18302</v>
      </c>
      <c r="D173" s="569" t="s">
        <v>18335</v>
      </c>
      <c r="E173" s="569" t="s">
        <v>18336</v>
      </c>
      <c r="F173" s="569" t="s">
        <v>18337</v>
      </c>
      <c r="G173" s="569" t="s">
        <v>3096</v>
      </c>
      <c r="H173" s="569" t="s">
        <v>3096</v>
      </c>
      <c r="I173" s="569" t="s">
        <v>18338</v>
      </c>
      <c r="J173" s="570" t="str">
        <f>HYPERLINK("https://www.google.com/maps/search/Licor+de+Poejo+Alentejo+Evora+Portugal/@38.5714,-7.9068,17z","🍷 Licor de Poejo — ERVIDEL")</f>
        <v>🍷 Licor de Poejo — ERVIDEL</v>
      </c>
    </row>
    <row r="174" spans="1:10" ht="48.5" x14ac:dyDescent="0.35">
      <c r="A174" s="571">
        <v>169</v>
      </c>
      <c r="B174" s="572" t="s">
        <v>18339</v>
      </c>
      <c r="C174" s="573" t="s">
        <v>18302</v>
      </c>
      <c r="D174" s="573" t="s">
        <v>18340</v>
      </c>
      <c r="E174" s="573" t="s">
        <v>18341</v>
      </c>
      <c r="F174" s="573" t="s">
        <v>18342</v>
      </c>
      <c r="G174" s="573" t="s">
        <v>3096</v>
      </c>
      <c r="H174" s="573" t="s">
        <v>3096</v>
      </c>
      <c r="I174" s="573" t="s">
        <v>18343</v>
      </c>
      <c r="J174" s="574" t="str">
        <f>HYPERLINK("https://www.google.com/maps/search/Taberna+da+Poncha+Serra+de+Agua+Madeira+Portugal/@32.7042,-17.0315,17z","🍷 Taberna da Poncha")</f>
        <v>🍷 Taberna da Poncha</v>
      </c>
    </row>
    <row r="175" spans="1:10" ht="48.5" x14ac:dyDescent="0.35">
      <c r="A175" s="567">
        <v>170</v>
      </c>
      <c r="B175" s="568" t="s">
        <v>18344</v>
      </c>
      <c r="C175" s="569" t="s">
        <v>18345</v>
      </c>
      <c r="D175" s="569" t="s">
        <v>18346</v>
      </c>
      <c r="E175" s="569" t="s">
        <v>18347</v>
      </c>
      <c r="F175" s="569" t="s">
        <v>18348</v>
      </c>
      <c r="G175" s="569" t="s">
        <v>18349</v>
      </c>
      <c r="H175" s="569" t="s">
        <v>9396</v>
      </c>
      <c r="I175" s="569" t="s">
        <v>18350</v>
      </c>
      <c r="J175" s="570" t="str">
        <f>HYPERLINK("https://www.google.com/maps/search/Fabrica+Gorreana+Cha+Acores+Sao+Miguel+Portugal/@37.8188,-25.4228,17z","🍷 Fábrica Gorreana — Chá dos Açores")</f>
        <v>🍷 Fábrica Gorreana — Chá dos Açores</v>
      </c>
    </row>
    <row r="176" spans="1:10" ht="48.5" x14ac:dyDescent="0.35">
      <c r="A176" s="571">
        <v>171</v>
      </c>
      <c r="B176" s="572" t="s">
        <v>18351</v>
      </c>
      <c r="C176" s="573" t="s">
        <v>18352</v>
      </c>
      <c r="D176" s="573" t="s">
        <v>18353</v>
      </c>
      <c r="E176" s="573" t="s">
        <v>18354</v>
      </c>
      <c r="F176" s="573" t="s">
        <v>18355</v>
      </c>
      <c r="G176" s="573" t="s">
        <v>18356</v>
      </c>
      <c r="H176" s="573" t="s">
        <v>18357</v>
      </c>
      <c r="I176" s="573" t="s">
        <v>18358</v>
      </c>
      <c r="J176" s="574" t="str">
        <f>HYPERLINK("https://www.google.com/maps/search/Fabrica+Melo+Abreu+Ponta+Delgada+Acores+Portugal/@37.7402,-25.6661,17z","🍷 Fábrica Melo Abreu — Kima &amp; Laranjada")</f>
        <v>🍷 Fábrica Melo Abreu — Kima &amp; Laranjada</v>
      </c>
    </row>
    <row r="177" spans="1:10" ht="48.5" x14ac:dyDescent="0.35">
      <c r="A177" s="567">
        <v>172</v>
      </c>
      <c r="B177" s="568" t="s">
        <v>18359</v>
      </c>
      <c r="C177" s="569" t="s">
        <v>18360</v>
      </c>
      <c r="D177" s="569" t="s">
        <v>18361</v>
      </c>
      <c r="E177" s="569" t="s">
        <v>18362</v>
      </c>
      <c r="F177" s="569" t="s">
        <v>18363</v>
      </c>
      <c r="G177" s="569" t="s">
        <v>3096</v>
      </c>
      <c r="H177" s="569" t="s">
        <v>3096</v>
      </c>
      <c r="I177" s="569" t="s">
        <v>18364</v>
      </c>
      <c r="J177" s="570" t="str">
        <f>HYPERLINK("https://www.google.com/maps/search/Bar+de+Baixo+Camara+de+Lobos+Madeira+Portugal/@32.6485,-16.9749,17z","🍷 Pé de Cabra — Bar de Baixo")</f>
        <v>🍷 Pé de Cabra — Bar de Baixo</v>
      </c>
    </row>
    <row r="179" spans="1:10" x14ac:dyDescent="0.35">
      <c r="A179" s="1526" t="s">
        <v>18365</v>
      </c>
      <c r="B179" s="1526"/>
      <c r="C179" s="1526"/>
      <c r="D179" s="1526"/>
      <c r="E179" s="1526"/>
      <c r="F179" s="1526"/>
      <c r="G179" s="1526"/>
      <c r="H179" s="1526"/>
      <c r="I179" s="1526"/>
      <c r="J179" s="1526"/>
    </row>
  </sheetData>
  <mergeCells count="5">
    <mergeCell ref="A179:J179"/>
    <mergeCell ref="A1:J1"/>
    <mergeCell ref="A2:J2"/>
    <mergeCell ref="A4:I4"/>
    <mergeCell ref="A162:J162"/>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295"/>
  <sheetViews>
    <sheetView workbookViewId="0">
      <pane ySplit="3" topLeftCell="A205" activePane="bottomLeft" state="frozen"/>
      <selection pane="bottomLeft" activeCell="L3" sqref="L3"/>
    </sheetView>
  </sheetViews>
  <sheetFormatPr defaultRowHeight="14.5" x14ac:dyDescent="0.35"/>
  <cols>
    <col min="1" max="1" width="4" customWidth="1"/>
    <col min="2" max="2" width="34" customWidth="1"/>
    <col min="3" max="3" width="18" customWidth="1"/>
    <col min="4" max="4" width="12" customWidth="1"/>
    <col min="5" max="5" width="36" customWidth="1"/>
    <col min="6" max="6" width="16" customWidth="1"/>
    <col min="7" max="7" width="12" customWidth="1"/>
    <col min="8" max="8" width="20" customWidth="1"/>
    <col min="9" max="9" width="42" customWidth="1"/>
    <col min="10" max="10" width="52" customWidth="1"/>
    <col min="11" max="11" width="55" customWidth="1"/>
  </cols>
  <sheetData>
    <row r="1" spans="1:11" ht="32" customHeight="1" x14ac:dyDescent="0.35">
      <c r="A1" s="1476" t="s">
        <v>10816</v>
      </c>
      <c r="B1" s="1313"/>
      <c r="C1" s="1313"/>
      <c r="D1" s="1313"/>
      <c r="E1" s="1313"/>
      <c r="F1" s="1313"/>
      <c r="G1" s="1313"/>
      <c r="H1" s="1313"/>
      <c r="I1" s="1313"/>
      <c r="J1" s="1313"/>
    </row>
    <row r="2" spans="1:11" ht="16" customHeight="1" x14ac:dyDescent="0.35">
      <c r="A2" s="1365" t="s">
        <v>10817</v>
      </c>
      <c r="B2" s="1313"/>
      <c r="C2" s="1313"/>
      <c r="D2" s="1313"/>
      <c r="E2" s="1313"/>
      <c r="F2" s="1313"/>
      <c r="G2" s="1313"/>
      <c r="H2" s="1313"/>
      <c r="I2" s="1313"/>
      <c r="J2" s="1313"/>
    </row>
    <row r="3" spans="1:11" ht="24" customHeight="1" x14ac:dyDescent="0.35">
      <c r="A3" s="238" t="s">
        <v>141</v>
      </c>
      <c r="B3" s="238" t="s">
        <v>785</v>
      </c>
      <c r="C3" s="238" t="s">
        <v>4370</v>
      </c>
      <c r="D3" s="238" t="s">
        <v>619</v>
      </c>
      <c r="E3" s="238" t="s">
        <v>906</v>
      </c>
      <c r="F3" s="238" t="s">
        <v>8764</v>
      </c>
      <c r="G3" s="238" t="s">
        <v>910</v>
      </c>
      <c r="H3" s="238" t="s">
        <v>10818</v>
      </c>
      <c r="I3" s="238" t="s">
        <v>10819</v>
      </c>
      <c r="J3" s="306" t="s">
        <v>8</v>
      </c>
      <c r="K3" s="238" t="s">
        <v>789</v>
      </c>
    </row>
    <row r="4" spans="1:11" ht="22" customHeight="1" x14ac:dyDescent="0.35">
      <c r="A4" s="1479" t="s">
        <v>10820</v>
      </c>
      <c r="B4" s="1313"/>
      <c r="C4" s="1313"/>
      <c r="D4" s="1313"/>
      <c r="E4" s="1313"/>
      <c r="F4" s="1313"/>
      <c r="G4" s="1313"/>
      <c r="H4" s="1313"/>
      <c r="I4" s="1313"/>
      <c r="J4" s="1313"/>
    </row>
    <row r="5" spans="1:11" ht="85" customHeight="1" x14ac:dyDescent="0.35">
      <c r="A5" s="338">
        <v>1</v>
      </c>
      <c r="B5" s="239" t="s">
        <v>10821</v>
      </c>
      <c r="C5" s="239" t="s">
        <v>10822</v>
      </c>
      <c r="D5" s="240" t="s">
        <v>792</v>
      </c>
      <c r="E5" s="239" t="s">
        <v>10823</v>
      </c>
      <c r="F5" s="239" t="s">
        <v>10824</v>
      </c>
      <c r="G5" s="239" t="s">
        <v>10825</v>
      </c>
      <c r="H5" s="239" t="s">
        <v>6551</v>
      </c>
      <c r="I5" s="239" t="s">
        <v>10826</v>
      </c>
      <c r="J5" s="307" t="s">
        <v>10827</v>
      </c>
      <c r="K5" s="604" t="str">
        <f>HYPERLINK("https://maps.google.com/?q=Tasca%20do%20Joel%20Peniche","🍽 Tasca do Joel")</f>
        <v>🍽 Tasca do Joel</v>
      </c>
    </row>
    <row r="6" spans="1:11" ht="85" customHeight="1" x14ac:dyDescent="0.35">
      <c r="A6" s="336">
        <v>2</v>
      </c>
      <c r="B6" s="242" t="s">
        <v>10828</v>
      </c>
      <c r="C6" s="242" t="s">
        <v>10829</v>
      </c>
      <c r="D6" s="243" t="s">
        <v>792</v>
      </c>
      <c r="E6" s="242" t="s">
        <v>10830</v>
      </c>
      <c r="F6" s="242" t="s">
        <v>10831</v>
      </c>
      <c r="G6" s="242" t="s">
        <v>10832</v>
      </c>
      <c r="H6" s="242" t="s">
        <v>6226</v>
      </c>
      <c r="I6" s="242" t="s">
        <v>10833</v>
      </c>
      <c r="J6" s="308" t="s">
        <v>10834</v>
      </c>
      <c r="K6" s="605" t="str">
        <f>HYPERLINK("https://maps.google.com/?q=Arte%20e%20Sal%20Sines","🍽 Arte e Sal")</f>
        <v>🍽 Arte e Sal</v>
      </c>
    </row>
    <row r="7" spans="1:11" ht="85" customHeight="1" x14ac:dyDescent="0.35">
      <c r="A7" s="338">
        <v>3</v>
      </c>
      <c r="B7" s="239" t="s">
        <v>10835</v>
      </c>
      <c r="C7" s="239" t="s">
        <v>10836</v>
      </c>
      <c r="D7" s="240" t="s">
        <v>792</v>
      </c>
      <c r="E7" s="239" t="s">
        <v>10837</v>
      </c>
      <c r="F7" s="239" t="s">
        <v>10838</v>
      </c>
      <c r="G7" s="239" t="s">
        <v>10839</v>
      </c>
      <c r="H7" s="239" t="s">
        <v>2194</v>
      </c>
      <c r="I7" s="239" t="s">
        <v>10840</v>
      </c>
      <c r="J7" s="307" t="s">
        <v>10841</v>
      </c>
      <c r="K7" s="604" t="str">
        <f>HYPERLINK("https://maps.google.com/?q=Tasca%20do%20Rick%20Aljezur","🍽 Tasca do Rick")</f>
        <v>🍽 Tasca do Rick</v>
      </c>
    </row>
    <row r="8" spans="1:11" ht="85" customHeight="1" x14ac:dyDescent="0.35">
      <c r="A8" s="336">
        <v>4</v>
      </c>
      <c r="B8" s="242" t="s">
        <v>10842</v>
      </c>
      <c r="C8" s="242" t="s">
        <v>10843</v>
      </c>
      <c r="D8" s="243" t="s">
        <v>792</v>
      </c>
      <c r="E8" s="242" t="s">
        <v>10844</v>
      </c>
      <c r="F8" s="242" t="s">
        <v>10845</v>
      </c>
      <c r="G8" s="242" t="s">
        <v>10839</v>
      </c>
      <c r="H8" s="242" t="s">
        <v>10846</v>
      </c>
      <c r="I8" s="242" t="s">
        <v>10847</v>
      </c>
      <c r="J8" s="308" t="s">
        <v>10848</v>
      </c>
      <c r="K8" s="605" t="str">
        <f>HYPERLINK("https://maps.google.com/?q=A%20Taska%20V.%20R.%20Sto.%20Ant%C3%B3nio","🍽 A Taska")</f>
        <v>🍽 A Taska</v>
      </c>
    </row>
    <row r="9" spans="1:11" ht="85" customHeight="1" x14ac:dyDescent="0.35">
      <c r="A9" s="338">
        <v>5</v>
      </c>
      <c r="B9" s="239" t="s">
        <v>10849</v>
      </c>
      <c r="C9" s="239" t="s">
        <v>10850</v>
      </c>
      <c r="D9" s="240" t="s">
        <v>792</v>
      </c>
      <c r="E9" s="239" t="s">
        <v>10851</v>
      </c>
      <c r="F9" s="239" t="s">
        <v>10852</v>
      </c>
      <c r="G9" s="239" t="s">
        <v>10304</v>
      </c>
      <c r="H9" s="239" t="s">
        <v>8648</v>
      </c>
      <c r="I9" s="239" t="s">
        <v>10853</v>
      </c>
      <c r="J9" s="307" t="s">
        <v>10854</v>
      </c>
      <c r="K9" s="604" t="str">
        <f>HYPERLINK("https://maps.google.com/?q=Seixal%20Bay%20Seixal","🍽 Seixal Bay")</f>
        <v>🍽 Seixal Bay</v>
      </c>
    </row>
    <row r="10" spans="1:11" ht="85" customHeight="1" x14ac:dyDescent="0.35">
      <c r="A10" s="336">
        <v>6</v>
      </c>
      <c r="B10" s="242" t="s">
        <v>10855</v>
      </c>
      <c r="C10" s="242" t="s">
        <v>10856</v>
      </c>
      <c r="D10" s="243" t="s">
        <v>792</v>
      </c>
      <c r="E10" s="242" t="s">
        <v>10857</v>
      </c>
      <c r="F10" s="242" t="s">
        <v>10858</v>
      </c>
      <c r="G10" s="242" t="s">
        <v>10832</v>
      </c>
      <c r="H10" s="242" t="s">
        <v>10009</v>
      </c>
      <c r="I10" s="242" t="s">
        <v>10859</v>
      </c>
      <c r="J10" s="308" t="s">
        <v>10860</v>
      </c>
      <c r="K10" s="605" t="str">
        <f>HYPERLINK("https://maps.google.com/?q=Mar%C3%A9%20Alta%20Machico","🍽 Maré Alta")</f>
        <v>🍽 Maré Alta</v>
      </c>
    </row>
    <row r="11" spans="1:11" ht="85" customHeight="1" x14ac:dyDescent="0.35">
      <c r="A11" s="338">
        <v>7</v>
      </c>
      <c r="B11" s="239" t="s">
        <v>10861</v>
      </c>
      <c r="C11" s="239" t="s">
        <v>10398</v>
      </c>
      <c r="D11" s="240" t="s">
        <v>792</v>
      </c>
      <c r="E11" s="239" t="s">
        <v>10862</v>
      </c>
      <c r="F11" s="239" t="s">
        <v>10863</v>
      </c>
      <c r="G11" s="239" t="s">
        <v>10832</v>
      </c>
      <c r="H11" s="239" t="s">
        <v>8733</v>
      </c>
      <c r="I11" s="239" t="s">
        <v>10864</v>
      </c>
      <c r="J11" s="307" t="s">
        <v>10865</v>
      </c>
      <c r="K11" s="604" t="str">
        <f>HYPERLINK("https://maps.google.com/?q=Restaurante%20By%20the%20Sea%20Calheta","🍽 Restaurante By the Sea")</f>
        <v>🍽 Restaurante By the Sea</v>
      </c>
    </row>
    <row r="12" spans="1:11" ht="85" customHeight="1" x14ac:dyDescent="0.35">
      <c r="A12" s="336">
        <v>8</v>
      </c>
      <c r="B12" s="242" t="s">
        <v>10866</v>
      </c>
      <c r="C12" s="242" t="s">
        <v>10850</v>
      </c>
      <c r="D12" s="243" t="s">
        <v>792</v>
      </c>
      <c r="E12" s="242" t="s">
        <v>3612</v>
      </c>
      <c r="F12" s="242" t="s">
        <v>10867</v>
      </c>
      <c r="G12" s="242" t="s">
        <v>10832</v>
      </c>
      <c r="H12" s="242" t="s">
        <v>5999</v>
      </c>
      <c r="I12" s="242" t="s">
        <v>10868</v>
      </c>
      <c r="J12" s="308" t="s">
        <v>10869</v>
      </c>
      <c r="K12" s="605" t="str">
        <f>HYPERLINK("https://maps.google.com/?q=Aqu%C3%A1rio%20Porto%20Moniz","🍽 Aquário")</f>
        <v>🍽 Aquário</v>
      </c>
    </row>
    <row r="13" spans="1:11" ht="85" customHeight="1" x14ac:dyDescent="0.35">
      <c r="A13" s="338">
        <v>9</v>
      </c>
      <c r="B13" s="239" t="s">
        <v>10870</v>
      </c>
      <c r="C13" s="239" t="s">
        <v>10871</v>
      </c>
      <c r="D13" s="240" t="s">
        <v>792</v>
      </c>
      <c r="E13" s="239" t="s">
        <v>10872</v>
      </c>
      <c r="F13" s="239" t="s">
        <v>10873</v>
      </c>
      <c r="G13" s="239" t="s">
        <v>10874</v>
      </c>
      <c r="H13" s="239" t="s">
        <v>5999</v>
      </c>
      <c r="I13" s="239" t="s">
        <v>10875</v>
      </c>
      <c r="J13" s="307" t="s">
        <v>10876</v>
      </c>
      <c r="K13" s="604" t="str">
        <f>HYPERLINK("https://maps.google.com/?q=Cachalote%20Porto%20Moniz","🍽 Cachalote")</f>
        <v>🍽 Cachalote</v>
      </c>
    </row>
    <row r="14" spans="1:11" ht="85" customHeight="1" x14ac:dyDescent="0.35">
      <c r="A14" s="336">
        <v>10</v>
      </c>
      <c r="B14" s="242" t="s">
        <v>10877</v>
      </c>
      <c r="C14" s="242" t="s">
        <v>10878</v>
      </c>
      <c r="D14" s="243" t="s">
        <v>792</v>
      </c>
      <c r="E14" s="242" t="s">
        <v>10879</v>
      </c>
      <c r="F14" s="242" t="s">
        <v>10880</v>
      </c>
      <c r="G14" s="242" t="s">
        <v>10832</v>
      </c>
      <c r="H14" s="242" t="s">
        <v>2815</v>
      </c>
      <c r="I14" s="242" t="s">
        <v>10881</v>
      </c>
      <c r="J14" s="308" t="s">
        <v>10882</v>
      </c>
      <c r="K14" s="605" t="str">
        <f>HYPERLINK("https://maps.google.com/?q=Bar%20Caloura%20S%C3%A3o%20Miguel","🍽 Bar Caloura")</f>
        <v>🍽 Bar Caloura</v>
      </c>
    </row>
    <row r="15" spans="1:11" ht="85" customHeight="1" x14ac:dyDescent="0.35">
      <c r="A15" s="338">
        <v>11</v>
      </c>
      <c r="B15" s="239" t="s">
        <v>10883</v>
      </c>
      <c r="C15" s="239" t="s">
        <v>10884</v>
      </c>
      <c r="D15" s="240" t="s">
        <v>792</v>
      </c>
      <c r="E15" s="239" t="s">
        <v>10885</v>
      </c>
      <c r="F15" s="239" t="s">
        <v>10886</v>
      </c>
      <c r="G15" s="239" t="s">
        <v>10825</v>
      </c>
      <c r="H15" s="239" t="s">
        <v>2841</v>
      </c>
      <c r="I15" s="239" t="s">
        <v>10887</v>
      </c>
      <c r="J15" s="307" t="s">
        <v>10888</v>
      </c>
      <c r="K15" s="604" t="str">
        <f>HYPERLINK("https://maps.google.com/?q=Beira%20Mar%20Terceira","🍽 Beira Mar")</f>
        <v>🍽 Beira Mar</v>
      </c>
    </row>
    <row r="16" spans="1:11" ht="85" customHeight="1" x14ac:dyDescent="0.35">
      <c r="A16" s="336">
        <v>12</v>
      </c>
      <c r="B16" s="242" t="s">
        <v>10889</v>
      </c>
      <c r="C16" s="242" t="s">
        <v>10890</v>
      </c>
      <c r="D16" s="243" t="s">
        <v>792</v>
      </c>
      <c r="E16" s="242" t="s">
        <v>10891</v>
      </c>
      <c r="F16" s="242" t="s">
        <v>10892</v>
      </c>
      <c r="G16" s="242" t="s">
        <v>10839</v>
      </c>
      <c r="H16" s="242" t="s">
        <v>2815</v>
      </c>
      <c r="I16" s="242" t="s">
        <v>10893</v>
      </c>
      <c r="J16" s="308" t="s">
        <v>10894</v>
      </c>
      <c r="K16" s="605" t="str">
        <f>HYPERLINK("https://maps.google.com/?q=Cantinho%20do%20Cais%20S%C3%A3o%20Miguel","🍽 Cantinho do Cais")</f>
        <v>🍽 Cantinho do Cais</v>
      </c>
    </row>
    <row r="17" spans="1:11" ht="85" customHeight="1" x14ac:dyDescent="0.35">
      <c r="A17" s="338">
        <v>13</v>
      </c>
      <c r="B17" s="239" t="s">
        <v>10895</v>
      </c>
      <c r="C17" s="239" t="s">
        <v>3156</v>
      </c>
      <c r="D17" s="240" t="s">
        <v>792</v>
      </c>
      <c r="E17" s="239" t="s">
        <v>10896</v>
      </c>
      <c r="F17" s="239" t="s">
        <v>10897</v>
      </c>
      <c r="G17" s="239" t="s">
        <v>10825</v>
      </c>
      <c r="H17" s="239" t="s">
        <v>2828</v>
      </c>
      <c r="I17" s="239" t="s">
        <v>10898</v>
      </c>
      <c r="J17" s="307" t="s">
        <v>10899</v>
      </c>
      <c r="K17" s="604" t="str">
        <f>HYPERLINK("https://maps.google.com/?q=Marisqueira%20Ancoradouro%20Pico","🍽 Marisqueira Ancoradouro")</f>
        <v>🍽 Marisqueira Ancoradouro</v>
      </c>
    </row>
    <row r="18" spans="1:11" ht="85" customHeight="1" x14ac:dyDescent="0.35">
      <c r="A18" s="336">
        <v>14</v>
      </c>
      <c r="B18" s="242" t="s">
        <v>10900</v>
      </c>
      <c r="C18" s="242" t="s">
        <v>3156</v>
      </c>
      <c r="D18" s="243" t="s">
        <v>792</v>
      </c>
      <c r="E18" s="242" t="s">
        <v>10901</v>
      </c>
      <c r="F18" s="242" t="s">
        <v>10902</v>
      </c>
      <c r="G18" s="242" t="s">
        <v>10304</v>
      </c>
      <c r="H18" s="242" t="s">
        <v>2828</v>
      </c>
      <c r="I18" s="242" t="s">
        <v>10903</v>
      </c>
      <c r="J18" s="308" t="s">
        <v>10904</v>
      </c>
      <c r="K18" s="605" t="str">
        <f>HYPERLINK("https://maps.google.com/?q=O%20Ref%C3%BAgio%20Pico","🍽 O Refúgio")</f>
        <v>🍽 O Refúgio</v>
      </c>
    </row>
    <row r="19" spans="1:11" ht="85" customHeight="1" x14ac:dyDescent="0.35">
      <c r="A19" s="338">
        <v>15</v>
      </c>
      <c r="B19" s="239" t="s">
        <v>10905</v>
      </c>
      <c r="C19" s="239" t="s">
        <v>10906</v>
      </c>
      <c r="D19" s="240" t="s">
        <v>792</v>
      </c>
      <c r="E19" s="239" t="s">
        <v>10907</v>
      </c>
      <c r="F19" s="239" t="s">
        <v>10908</v>
      </c>
      <c r="G19" s="239" t="s">
        <v>10909</v>
      </c>
      <c r="H19" s="239" t="s">
        <v>2833</v>
      </c>
      <c r="I19" s="239" t="s">
        <v>10910</v>
      </c>
      <c r="J19" s="307" t="s">
        <v>10911</v>
      </c>
      <c r="K19" s="604" t="str">
        <f>HYPERLINK("https://maps.google.com/?q=Papagaio%20Flores","🍽 Papagaio")</f>
        <v>🍽 Papagaio</v>
      </c>
    </row>
    <row r="20" spans="1:11" ht="85" customHeight="1" x14ac:dyDescent="0.35">
      <c r="A20" s="336">
        <v>16</v>
      </c>
      <c r="B20" s="242" t="s">
        <v>10912</v>
      </c>
      <c r="C20" s="242" t="s">
        <v>10850</v>
      </c>
      <c r="D20" s="243" t="s">
        <v>792</v>
      </c>
      <c r="E20" s="242" t="s">
        <v>10913</v>
      </c>
      <c r="F20" s="242" t="s">
        <v>10914</v>
      </c>
      <c r="G20" s="242" t="s">
        <v>10304</v>
      </c>
      <c r="H20" s="242" t="s">
        <v>2837</v>
      </c>
      <c r="I20" s="242" t="s">
        <v>10915</v>
      </c>
      <c r="J20" s="308" t="s">
        <v>10916</v>
      </c>
      <c r="K20" s="605" t="str">
        <f>HYPERLINK("https://maps.google.com/?q=O%20Costa%20Graciosa","🍽 O Costa")</f>
        <v>🍽 O Costa</v>
      </c>
    </row>
    <row r="21" spans="1:11" ht="85" customHeight="1" x14ac:dyDescent="0.35">
      <c r="A21" s="338">
        <v>17</v>
      </c>
      <c r="B21" s="239" t="s">
        <v>10917</v>
      </c>
      <c r="C21" s="239" t="s">
        <v>10850</v>
      </c>
      <c r="D21" s="240" t="s">
        <v>792</v>
      </c>
      <c r="E21" s="239" t="s">
        <v>10918</v>
      </c>
      <c r="F21" s="239" t="s">
        <v>10919</v>
      </c>
      <c r="G21" s="239" t="s">
        <v>10304</v>
      </c>
      <c r="H21" s="239" t="s">
        <v>2850</v>
      </c>
      <c r="I21" s="239" t="s">
        <v>10920</v>
      </c>
      <c r="J21" s="307" t="s">
        <v>10921</v>
      </c>
      <c r="K21" s="604" t="str">
        <f>HYPERLINK("https://maps.google.com/?q=Garfo%20dOuro%20Santa%20Maria","🍽 Garfo d'Ouro")</f>
        <v>🍽 Garfo d'Ouro</v>
      </c>
    </row>
    <row r="22" spans="1:11" ht="85" customHeight="1" x14ac:dyDescent="0.35">
      <c r="A22" s="336">
        <v>18</v>
      </c>
      <c r="B22" s="242" t="s">
        <v>10922</v>
      </c>
      <c r="C22" s="242" t="s">
        <v>10878</v>
      </c>
      <c r="D22" s="243" t="s">
        <v>792</v>
      </c>
      <c r="E22" s="242" t="s">
        <v>10923</v>
      </c>
      <c r="F22" s="242" t="s">
        <v>10924</v>
      </c>
      <c r="G22" s="242" t="s">
        <v>10874</v>
      </c>
      <c r="H22" s="242" t="s">
        <v>2828</v>
      </c>
      <c r="I22" s="242" t="s">
        <v>10925</v>
      </c>
      <c r="J22" s="308" t="s">
        <v>10926</v>
      </c>
      <c r="K22" s="605" t="str">
        <f>HYPERLINK("https://maps.google.com/?q=Ponta%20da%20Ilha%20Pico","🍽 Ponta da Ilha")</f>
        <v>🍽 Ponta da Ilha</v>
      </c>
    </row>
    <row r="23" spans="1:11" ht="85" customHeight="1" x14ac:dyDescent="0.35">
      <c r="A23" s="338">
        <v>19</v>
      </c>
      <c r="B23" s="239" t="s">
        <v>10927</v>
      </c>
      <c r="C23" s="239" t="s">
        <v>10928</v>
      </c>
      <c r="D23" s="240" t="s">
        <v>792</v>
      </c>
      <c r="E23" s="239" t="s">
        <v>10929</v>
      </c>
      <c r="F23" s="239" t="s">
        <v>10930</v>
      </c>
      <c r="G23" s="239" t="s">
        <v>10931</v>
      </c>
      <c r="H23" s="239" t="s">
        <v>3082</v>
      </c>
      <c r="I23" s="239" t="s">
        <v>10932</v>
      </c>
      <c r="J23" s="307" t="s">
        <v>10933</v>
      </c>
      <c r="K23" s="604" t="str">
        <f>HYPERLINK("https://maps.google.com/?q=Adega%20Vila%20Me%C3%A3%20Porto","🍽 Adega Vila Meã")</f>
        <v>🍽 Adega Vila Meã</v>
      </c>
    </row>
    <row r="24" spans="1:11" ht="85" customHeight="1" x14ac:dyDescent="0.35">
      <c r="A24" s="336">
        <v>20</v>
      </c>
      <c r="B24" s="242" t="s">
        <v>3755</v>
      </c>
      <c r="C24" s="242" t="s">
        <v>10934</v>
      </c>
      <c r="D24" s="243" t="s">
        <v>792</v>
      </c>
      <c r="E24" s="242" t="s">
        <v>10935</v>
      </c>
      <c r="F24" s="242" t="s">
        <v>10936</v>
      </c>
      <c r="G24" s="242" t="s">
        <v>10839</v>
      </c>
      <c r="H24" s="242" t="s">
        <v>3082</v>
      </c>
      <c r="I24" s="242" t="s">
        <v>10937</v>
      </c>
      <c r="J24" s="308" t="s">
        <v>10938</v>
      </c>
      <c r="K24" s="605" t="str">
        <f>HYPERLINK("https://maps.google.com/?q=O%20Buraco%20Porto","🍽 O Buraco")</f>
        <v>🍽 O Buraco</v>
      </c>
    </row>
    <row r="25" spans="1:11" ht="85" customHeight="1" x14ac:dyDescent="0.35">
      <c r="A25" s="338">
        <v>21</v>
      </c>
      <c r="B25" s="239" t="s">
        <v>10939</v>
      </c>
      <c r="C25" s="239" t="s">
        <v>10940</v>
      </c>
      <c r="D25" s="240" t="s">
        <v>792</v>
      </c>
      <c r="E25" s="239" t="s">
        <v>10941</v>
      </c>
      <c r="F25" s="239" t="s">
        <v>10942</v>
      </c>
      <c r="G25" s="239" t="s">
        <v>10874</v>
      </c>
      <c r="H25" s="239" t="s">
        <v>3082</v>
      </c>
      <c r="I25" s="239" t="s">
        <v>10943</v>
      </c>
      <c r="J25" s="307" t="s">
        <v>10944</v>
      </c>
      <c r="K25" s="604" t="str">
        <f>HYPERLINK("https://maps.google.com/?q=Adega%20S%C3%A3o%20Nicolau%20Porto","🍽 Adega São Nicolau")</f>
        <v>🍽 Adega São Nicolau</v>
      </c>
    </row>
    <row r="26" spans="1:11" ht="85" customHeight="1" x14ac:dyDescent="0.35">
      <c r="A26" s="336">
        <v>22</v>
      </c>
      <c r="B26" s="242" t="s">
        <v>10945</v>
      </c>
      <c r="C26" s="242" t="s">
        <v>10843</v>
      </c>
      <c r="D26" s="243" t="s">
        <v>792</v>
      </c>
      <c r="E26" s="242" t="s">
        <v>10946</v>
      </c>
      <c r="F26" s="242" t="s">
        <v>10947</v>
      </c>
      <c r="G26" s="242" t="s">
        <v>10948</v>
      </c>
      <c r="H26" s="242" t="s">
        <v>3082</v>
      </c>
      <c r="I26" s="242" t="s">
        <v>10949</v>
      </c>
      <c r="J26" s="308" t="s">
        <v>10950</v>
      </c>
      <c r="K26" s="605" t="str">
        <f>HYPERLINK("https://maps.google.com/?q=Tasca%20da%20Badalhoca%20Porto","🍽 Tasca da Badalhoca")</f>
        <v>🍽 Tasca da Badalhoca</v>
      </c>
    </row>
    <row r="27" spans="1:11" ht="85" customHeight="1" x14ac:dyDescent="0.35">
      <c r="A27" s="338">
        <v>23</v>
      </c>
      <c r="B27" s="239" t="s">
        <v>10951</v>
      </c>
      <c r="C27" s="239" t="s">
        <v>10952</v>
      </c>
      <c r="D27" s="240" t="s">
        <v>792</v>
      </c>
      <c r="E27" s="239" t="s">
        <v>10953</v>
      </c>
      <c r="F27" s="239" t="s">
        <v>10954</v>
      </c>
      <c r="G27" s="239" t="s">
        <v>10955</v>
      </c>
      <c r="H27" s="239" t="s">
        <v>791</v>
      </c>
      <c r="I27" s="239" t="s">
        <v>10956</v>
      </c>
      <c r="J27" s="307" t="s">
        <v>10957</v>
      </c>
      <c r="K27" s="604" t="str">
        <f>HYPERLINK("https://maps.google.com/?q=DOC%20(Rui%20Paula)%20Douro","🍽 DOC (Rui Paula)")</f>
        <v>🍽 DOC (Rui Paula)</v>
      </c>
    </row>
    <row r="28" spans="1:11" ht="85" customHeight="1" x14ac:dyDescent="0.35">
      <c r="A28" s="336">
        <v>24</v>
      </c>
      <c r="B28" s="242" t="s">
        <v>10958</v>
      </c>
      <c r="C28" s="242" t="s">
        <v>3156</v>
      </c>
      <c r="D28" s="243" t="s">
        <v>792</v>
      </c>
      <c r="E28" s="242" t="s">
        <v>10959</v>
      </c>
      <c r="F28" s="242" t="s">
        <v>10960</v>
      </c>
      <c r="G28" s="242" t="s">
        <v>10961</v>
      </c>
      <c r="H28" s="242" t="s">
        <v>1552</v>
      </c>
      <c r="I28" s="242" t="s">
        <v>10962</v>
      </c>
      <c r="J28" s="308" t="s">
        <v>10963</v>
      </c>
      <c r="K28" s="605" t="str">
        <f>HYPERLINK("https://maps.google.com/?q=O%20Gato%20do%20Rio%20Braga","🍽 O Gato do Rio")</f>
        <v>🍽 O Gato do Rio</v>
      </c>
    </row>
    <row r="29" spans="1:11" ht="85" customHeight="1" x14ac:dyDescent="0.35">
      <c r="A29" s="338">
        <v>25</v>
      </c>
      <c r="B29" s="239" t="s">
        <v>10964</v>
      </c>
      <c r="C29" s="239" t="s">
        <v>3156</v>
      </c>
      <c r="D29" s="240" t="s">
        <v>792</v>
      </c>
      <c r="E29" s="239" t="s">
        <v>10965</v>
      </c>
      <c r="F29" s="239" t="s">
        <v>10966</v>
      </c>
      <c r="G29" s="239" t="s">
        <v>10874</v>
      </c>
      <c r="H29" s="239" t="s">
        <v>1791</v>
      </c>
      <c r="I29" s="239" t="s">
        <v>10967</v>
      </c>
      <c r="J29" s="307" t="s">
        <v>10968</v>
      </c>
      <c r="K29" s="604" t="str">
        <f>HYPERLINK("https://maps.google.com/?q=Solar%20do%20Bacalhau%20Guimar%C3%A3es","🍽 Solar do Bacalhau")</f>
        <v>🍽 Solar do Bacalhau</v>
      </c>
    </row>
    <row r="30" spans="1:11" ht="85" customHeight="1" x14ac:dyDescent="0.35">
      <c r="A30" s="336">
        <v>26</v>
      </c>
      <c r="B30" s="242" t="s">
        <v>10969</v>
      </c>
      <c r="C30" s="242" t="s">
        <v>10970</v>
      </c>
      <c r="D30" s="243" t="s">
        <v>792</v>
      </c>
      <c r="E30" s="242" t="s">
        <v>10971</v>
      </c>
      <c r="F30" s="242" t="s">
        <v>10972</v>
      </c>
      <c r="G30" s="242" t="s">
        <v>10839</v>
      </c>
      <c r="H30" s="242" t="s">
        <v>1149</v>
      </c>
      <c r="I30" s="242" t="s">
        <v>10973</v>
      </c>
      <c r="J30" s="308" t="s">
        <v>10974</v>
      </c>
      <c r="K30" s="605" t="str">
        <f>HYPERLINK("https://maps.google.com/?q=Adega%20do%20Malheiro%20Viana%20do%20Castelo","🍽 Adega do Malheiro")</f>
        <v>🍽 Adega do Malheiro</v>
      </c>
    </row>
    <row r="31" spans="1:11" ht="85" customHeight="1" x14ac:dyDescent="0.35">
      <c r="A31" s="338">
        <v>27</v>
      </c>
      <c r="B31" s="239" t="s">
        <v>10975</v>
      </c>
      <c r="C31" s="239" t="s">
        <v>3156</v>
      </c>
      <c r="D31" s="240" t="s">
        <v>792</v>
      </c>
      <c r="E31" s="239" t="s">
        <v>10976</v>
      </c>
      <c r="F31" s="239" t="s">
        <v>10977</v>
      </c>
      <c r="G31" s="239" t="s">
        <v>10832</v>
      </c>
      <c r="H31" s="239" t="s">
        <v>1784</v>
      </c>
      <c r="I31" s="239" t="s">
        <v>10978</v>
      </c>
      <c r="J31" s="307" t="s">
        <v>10979</v>
      </c>
      <c r="K31" s="604" t="str">
        <f>HYPERLINK("https://maps.google.com/?q=O%20Solar%20braccini%20Bragan%C3%A7a","🍽 O Solar braccini")</f>
        <v>🍽 O Solar braccini</v>
      </c>
    </row>
    <row r="32" spans="1:11" ht="85" customHeight="1" x14ac:dyDescent="0.35">
      <c r="A32" s="336">
        <v>28</v>
      </c>
      <c r="B32" s="242" t="s">
        <v>10980</v>
      </c>
      <c r="C32" s="242" t="s">
        <v>3156</v>
      </c>
      <c r="D32" s="243" t="s">
        <v>792</v>
      </c>
      <c r="E32" s="242" t="s">
        <v>10981</v>
      </c>
      <c r="F32" s="242" t="s">
        <v>10982</v>
      </c>
      <c r="G32" s="242" t="s">
        <v>10961</v>
      </c>
      <c r="H32" s="242" t="s">
        <v>1964</v>
      </c>
      <c r="I32" s="242" t="s">
        <v>10983</v>
      </c>
      <c r="J32" s="308" t="s">
        <v>10984</v>
      </c>
      <c r="K32" s="605" t="str">
        <f>HYPERLINK("https://maps.google.com/?q=A%20Talha%20Chaves","🍽 A Talha")</f>
        <v>🍽 A Talha</v>
      </c>
    </row>
    <row r="33" spans="1:11" ht="85" customHeight="1" x14ac:dyDescent="0.35">
      <c r="A33" s="338">
        <v>29</v>
      </c>
      <c r="B33" s="239" t="s">
        <v>10985</v>
      </c>
      <c r="C33" s="239" t="s">
        <v>10986</v>
      </c>
      <c r="D33" s="240" t="s">
        <v>792</v>
      </c>
      <c r="E33" s="239" t="s">
        <v>10987</v>
      </c>
      <c r="F33" s="239" t="s">
        <v>10988</v>
      </c>
      <c r="G33" s="239" t="s">
        <v>10832</v>
      </c>
      <c r="H33" s="239" t="s">
        <v>3082</v>
      </c>
      <c r="I33" s="239" t="s">
        <v>10989</v>
      </c>
      <c r="J33" s="307" t="s">
        <v>10990</v>
      </c>
      <c r="K33" s="604" t="str">
        <f>HYPERLINK("https://maps.google.com/?q=Abadia%20do%20Porto%20Porto","🍽 Abadia do Porto")</f>
        <v>🍽 Abadia do Porto</v>
      </c>
    </row>
    <row r="34" spans="1:11" ht="85" customHeight="1" x14ac:dyDescent="0.35">
      <c r="A34" s="336">
        <v>30</v>
      </c>
      <c r="B34" s="242" t="s">
        <v>10991</v>
      </c>
      <c r="C34" s="242" t="s">
        <v>1228</v>
      </c>
      <c r="D34" s="243" t="s">
        <v>792</v>
      </c>
      <c r="E34" s="242" t="s">
        <v>10992</v>
      </c>
      <c r="F34" s="242" t="s">
        <v>10993</v>
      </c>
      <c r="G34" s="242" t="s">
        <v>10874</v>
      </c>
      <c r="H34" s="242" t="s">
        <v>3082</v>
      </c>
      <c r="I34" s="242" t="s">
        <v>10994</v>
      </c>
      <c r="J34" s="308" t="s">
        <v>10995</v>
      </c>
      <c r="K34" s="605" t="str">
        <f>HYPERLINK("https://maps.google.com/?q=Casa%20Aleixo%20Porto","🍽 Casa Aleixo")</f>
        <v>🍽 Casa Aleixo</v>
      </c>
    </row>
    <row r="35" spans="1:11" ht="85" customHeight="1" x14ac:dyDescent="0.35">
      <c r="A35" s="338">
        <v>31</v>
      </c>
      <c r="B35" s="239" t="s">
        <v>10996</v>
      </c>
      <c r="C35" s="239" t="s">
        <v>10997</v>
      </c>
      <c r="D35" s="240" t="s">
        <v>792</v>
      </c>
      <c r="E35" s="239" t="s">
        <v>10998</v>
      </c>
      <c r="F35" s="239" t="s">
        <v>10999</v>
      </c>
      <c r="G35" s="239" t="s">
        <v>11000</v>
      </c>
      <c r="H35" s="239" t="s">
        <v>3082</v>
      </c>
      <c r="I35" s="239" t="s">
        <v>11001</v>
      </c>
      <c r="J35" s="307" t="s">
        <v>11002</v>
      </c>
      <c r="K35" s="604" t="str">
        <f>HYPERLINK("https://maps.google.com/?q=Rog%C3%A9rio%20do%20Redondo%20Porto","🍽 Rogério do Redondo")</f>
        <v>🍽 Rogério do Redondo</v>
      </c>
    </row>
    <row r="36" spans="1:11" ht="85" customHeight="1" x14ac:dyDescent="0.35">
      <c r="A36" s="336">
        <v>32</v>
      </c>
      <c r="B36" s="242" t="s">
        <v>11003</v>
      </c>
      <c r="C36" s="242" t="s">
        <v>11004</v>
      </c>
      <c r="D36" s="243" t="s">
        <v>792</v>
      </c>
      <c r="E36" s="242" t="s">
        <v>11005</v>
      </c>
      <c r="F36" s="242" t="s">
        <v>11006</v>
      </c>
      <c r="G36" s="242" t="s">
        <v>10839</v>
      </c>
      <c r="H36" s="242" t="s">
        <v>3082</v>
      </c>
      <c r="I36" s="242" t="s">
        <v>11007</v>
      </c>
      <c r="J36" s="308" t="s">
        <v>11008</v>
      </c>
      <c r="K36" s="605" t="str">
        <f>HYPERLINK("https://maps.google.com/?q=Tasca%20do%20Z%C3%A9%20Tacho%20Porto","🍽 Tasca do Zé Tacho")</f>
        <v>🍽 Tasca do Zé Tacho</v>
      </c>
    </row>
    <row r="37" spans="1:11" ht="85" customHeight="1" x14ac:dyDescent="0.35">
      <c r="A37" s="338">
        <v>33</v>
      </c>
      <c r="B37" s="239" t="s">
        <v>11009</v>
      </c>
      <c r="C37" s="239" t="s">
        <v>11010</v>
      </c>
      <c r="D37" s="240" t="s">
        <v>792</v>
      </c>
      <c r="E37" s="239" t="s">
        <v>11011</v>
      </c>
      <c r="F37" s="239" t="s">
        <v>11012</v>
      </c>
      <c r="G37" s="239" t="s">
        <v>10948</v>
      </c>
      <c r="H37" s="239" t="s">
        <v>3082</v>
      </c>
      <c r="I37" s="239" t="s">
        <v>11013</v>
      </c>
      <c r="J37" s="307" t="s">
        <v>11014</v>
      </c>
      <c r="K37" s="604" t="str">
        <f>HYPERLINK("https://maps.google.com/?q=Conga%20Porto","🍽 Conga")</f>
        <v>🍽 Conga</v>
      </c>
    </row>
    <row r="38" spans="1:11" ht="85" customHeight="1" x14ac:dyDescent="0.35">
      <c r="A38" s="336">
        <v>34</v>
      </c>
      <c r="B38" s="242" t="s">
        <v>11015</v>
      </c>
      <c r="C38" s="242" t="s">
        <v>3156</v>
      </c>
      <c r="D38" s="243" t="s">
        <v>792</v>
      </c>
      <c r="E38" s="242" t="s">
        <v>11016</v>
      </c>
      <c r="F38" s="242" t="s">
        <v>11017</v>
      </c>
      <c r="G38" s="242" t="s">
        <v>10961</v>
      </c>
      <c r="H38" s="242" t="s">
        <v>1996</v>
      </c>
      <c r="I38" s="242" t="s">
        <v>11018</v>
      </c>
      <c r="J38" s="308" t="s">
        <v>11019</v>
      </c>
      <c r="K38" s="605" t="str">
        <f>HYPERLINK("https://maps.google.com/?q=Pedra%20Furada%20Barcelos","🍽 Pedra Furada")</f>
        <v>🍽 Pedra Furada</v>
      </c>
    </row>
    <row r="39" spans="1:11" ht="85" customHeight="1" x14ac:dyDescent="0.35">
      <c r="A39" s="338">
        <v>35</v>
      </c>
      <c r="B39" s="239" t="s">
        <v>11020</v>
      </c>
      <c r="C39" s="239" t="s">
        <v>11021</v>
      </c>
      <c r="D39" s="240" t="s">
        <v>792</v>
      </c>
      <c r="E39" s="239" t="s">
        <v>11022</v>
      </c>
      <c r="F39" s="239" t="s">
        <v>11023</v>
      </c>
      <c r="G39" s="239" t="s">
        <v>11000</v>
      </c>
      <c r="H39" s="239" t="s">
        <v>11024</v>
      </c>
      <c r="I39" s="239" t="s">
        <v>11025</v>
      </c>
      <c r="J39" s="307" t="s">
        <v>11026</v>
      </c>
      <c r="K39" s="604" t="str">
        <f>HYPERLINK("https://maps.google.com/?q=S%C3%A3o%20Gi%C3%A3o%20Moreira%20C%C3%B3negos","🍽 São Gião")</f>
        <v>🍽 São Gião</v>
      </c>
    </row>
    <row r="40" spans="1:11" ht="85" customHeight="1" x14ac:dyDescent="0.35">
      <c r="A40" s="336">
        <v>36</v>
      </c>
      <c r="B40" s="242" t="s">
        <v>3836</v>
      </c>
      <c r="C40" s="242" t="s">
        <v>11027</v>
      </c>
      <c r="D40" s="243" t="s">
        <v>792</v>
      </c>
      <c r="E40" s="242" t="s">
        <v>11028</v>
      </c>
      <c r="F40" s="242" t="s">
        <v>11029</v>
      </c>
      <c r="G40" s="242" t="s">
        <v>10909</v>
      </c>
      <c r="H40" s="242" t="s">
        <v>1552</v>
      </c>
      <c r="I40" s="242" t="s">
        <v>11030</v>
      </c>
      <c r="J40" s="308" t="s">
        <v>11031</v>
      </c>
      <c r="K40" s="605" t="str">
        <f>HYPERLINK("https://maps.google.com/?q=Taberna%20Belga%20Braga","🍽 Taberna Belga")</f>
        <v>🍽 Taberna Belga</v>
      </c>
    </row>
    <row r="41" spans="1:11" ht="85" customHeight="1" x14ac:dyDescent="0.35">
      <c r="A41" s="338">
        <v>37</v>
      </c>
      <c r="B41" s="239" t="s">
        <v>11032</v>
      </c>
      <c r="C41" s="239" t="s">
        <v>1228</v>
      </c>
      <c r="D41" s="240" t="s">
        <v>792</v>
      </c>
      <c r="E41" s="239" t="s">
        <v>11033</v>
      </c>
      <c r="F41" s="239" t="s">
        <v>11034</v>
      </c>
      <c r="G41" s="239" t="s">
        <v>10874</v>
      </c>
      <c r="H41" s="239" t="s">
        <v>1149</v>
      </c>
      <c r="I41" s="239" t="s">
        <v>11035</v>
      </c>
      <c r="J41" s="307" t="s">
        <v>11036</v>
      </c>
      <c r="K41" s="604" t="str">
        <f>HYPERLINK("https://maps.google.com/?q=Camelo%20Viana%20do%20Castelo","🍽 Camelo")</f>
        <v>🍽 Camelo</v>
      </c>
    </row>
    <row r="42" spans="1:11" ht="85" customHeight="1" x14ac:dyDescent="0.35">
      <c r="A42" s="336">
        <v>38</v>
      </c>
      <c r="B42" s="242" t="s">
        <v>11037</v>
      </c>
      <c r="C42" s="242" t="s">
        <v>3156</v>
      </c>
      <c r="D42" s="243" t="s">
        <v>792</v>
      </c>
      <c r="E42" s="242" t="s">
        <v>11038</v>
      </c>
      <c r="F42" s="242" t="s">
        <v>11039</v>
      </c>
      <c r="G42" s="242" t="s">
        <v>10961</v>
      </c>
      <c r="H42" s="242" t="s">
        <v>5599</v>
      </c>
      <c r="I42" s="242" t="s">
        <v>11040</v>
      </c>
      <c r="J42" s="308" t="s">
        <v>11041</v>
      </c>
      <c r="K42" s="605" t="str">
        <f>HYPERLINK("https://maps.google.com/?q=A%20Lareira%20Mogadouro","🍽 A Lareira")</f>
        <v>🍽 A Lareira</v>
      </c>
    </row>
    <row r="43" spans="1:11" ht="85" customHeight="1" x14ac:dyDescent="0.35">
      <c r="A43" s="338">
        <v>39</v>
      </c>
      <c r="B43" s="239" t="s">
        <v>11042</v>
      </c>
      <c r="C43" s="239" t="s">
        <v>3156</v>
      </c>
      <c r="D43" s="240" t="s">
        <v>792</v>
      </c>
      <c r="E43" s="239" t="s">
        <v>11043</v>
      </c>
      <c r="F43" s="239" t="s">
        <v>11044</v>
      </c>
      <c r="G43" s="239" t="s">
        <v>10874</v>
      </c>
      <c r="H43" s="239" t="s">
        <v>1935</v>
      </c>
      <c r="I43" s="239" t="s">
        <v>11045</v>
      </c>
      <c r="J43" s="307" t="s">
        <v>11046</v>
      </c>
      <c r="K43" s="604" t="str">
        <f>HYPERLINK("https://maps.google.com/?q=O%20Tonel%20Miranda%20do%20Douro","🍽 O Tonel")</f>
        <v>🍽 O Tonel</v>
      </c>
    </row>
    <row r="44" spans="1:11" ht="85" customHeight="1" x14ac:dyDescent="0.35">
      <c r="A44" s="336">
        <v>40</v>
      </c>
      <c r="B44" s="242" t="s">
        <v>11047</v>
      </c>
      <c r="C44" s="242" t="s">
        <v>3156</v>
      </c>
      <c r="D44" s="243" t="s">
        <v>792</v>
      </c>
      <c r="E44" s="242" t="s">
        <v>11048</v>
      </c>
      <c r="F44" s="242" t="s">
        <v>11049</v>
      </c>
      <c r="G44" s="242" t="s">
        <v>10839</v>
      </c>
      <c r="H44" s="242" t="s">
        <v>5578</v>
      </c>
      <c r="I44" s="242" t="s">
        <v>11050</v>
      </c>
      <c r="J44" s="308" t="s">
        <v>11051</v>
      </c>
      <c r="K44" s="605" t="str">
        <f>HYPERLINK("https://maps.google.com/?q=Churrasqueira%20Nac.%20Vila%20Real","🍽 Churrasqueira Nac.")</f>
        <v>🍽 Churrasqueira Nac.</v>
      </c>
    </row>
    <row r="45" spans="1:11" ht="85" customHeight="1" x14ac:dyDescent="0.35">
      <c r="A45" s="338">
        <v>41</v>
      </c>
      <c r="B45" s="239" t="s">
        <v>3977</v>
      </c>
      <c r="C45" s="239" t="s">
        <v>11052</v>
      </c>
      <c r="D45" s="240" t="s">
        <v>792</v>
      </c>
      <c r="E45" s="239" t="s">
        <v>11053</v>
      </c>
      <c r="F45" s="239" t="s">
        <v>11054</v>
      </c>
      <c r="G45" s="239" t="s">
        <v>10825</v>
      </c>
      <c r="H45" s="239" t="s">
        <v>5578</v>
      </c>
      <c r="I45" s="239" t="s">
        <v>11055</v>
      </c>
      <c r="J45" s="307" t="s">
        <v>11056</v>
      </c>
      <c r="K45" s="604" t="str">
        <f>HYPERLINK("https://maps.google.com/?q=Cais%20da%20Villa%20Vila%20Real","🍽 Cais da Villa")</f>
        <v>🍽 Cais da Villa</v>
      </c>
    </row>
    <row r="46" spans="1:11" ht="85" customHeight="1" x14ac:dyDescent="0.35">
      <c r="A46" s="336">
        <v>42</v>
      </c>
      <c r="B46" s="242" t="s">
        <v>11057</v>
      </c>
      <c r="C46" s="242" t="s">
        <v>10934</v>
      </c>
      <c r="D46" s="243" t="s">
        <v>792</v>
      </c>
      <c r="E46" s="242" t="s">
        <v>11058</v>
      </c>
      <c r="F46" s="242" t="s">
        <v>11059</v>
      </c>
      <c r="G46" s="242" t="s">
        <v>11000</v>
      </c>
      <c r="H46" s="242" t="s">
        <v>11060</v>
      </c>
      <c r="I46" s="242" t="s">
        <v>11061</v>
      </c>
      <c r="J46" s="308" t="s">
        <v>11062</v>
      </c>
      <c r="K46" s="605" t="str">
        <f>HYPERLINK("https://maps.google.com/?q=Tio%20Pepe%20Foz%20do%20Douro","🍽 Tio Pepe")</f>
        <v>🍽 Tio Pepe</v>
      </c>
    </row>
    <row r="47" spans="1:11" ht="85" customHeight="1" x14ac:dyDescent="0.35">
      <c r="A47" s="338">
        <v>43</v>
      </c>
      <c r="B47" s="239" t="s">
        <v>11063</v>
      </c>
      <c r="C47" s="239" t="s">
        <v>11064</v>
      </c>
      <c r="D47" s="240" t="s">
        <v>792</v>
      </c>
      <c r="E47" s="239" t="s">
        <v>11065</v>
      </c>
      <c r="F47" s="239" t="s">
        <v>11066</v>
      </c>
      <c r="G47" s="239" t="s">
        <v>11067</v>
      </c>
      <c r="H47" s="239" t="s">
        <v>1920</v>
      </c>
      <c r="I47" s="239" t="s">
        <v>11068</v>
      </c>
      <c r="J47" s="307" t="s">
        <v>11069</v>
      </c>
      <c r="K47" s="604" t="str">
        <f>HYPERLINK("https://maps.google.com/?q=Cozinha%20da%20Terra%20Paredes","🍽 Cozinha da Terra")</f>
        <v>🍽 Cozinha da Terra</v>
      </c>
    </row>
    <row r="48" spans="1:11" ht="85" customHeight="1" x14ac:dyDescent="0.35">
      <c r="A48" s="336">
        <v>44</v>
      </c>
      <c r="B48" s="242" t="s">
        <v>11070</v>
      </c>
      <c r="C48" s="242" t="s">
        <v>11071</v>
      </c>
      <c r="D48" s="243" t="s">
        <v>792</v>
      </c>
      <c r="E48" s="242" t="s">
        <v>11072</v>
      </c>
      <c r="F48" s="242" t="s">
        <v>11073</v>
      </c>
      <c r="G48" s="242" t="s">
        <v>10839</v>
      </c>
      <c r="H48" s="242" t="s">
        <v>3082</v>
      </c>
      <c r="I48" s="242" t="s">
        <v>11074</v>
      </c>
      <c r="J48" s="308" t="s">
        <v>11075</v>
      </c>
      <c r="K48" s="605" t="str">
        <f>HYPERLINK("https://maps.google.com/?q=Taberna%20do%20Largo%20Porto","🍽 Taberna do Largo")</f>
        <v>🍽 Taberna do Largo</v>
      </c>
    </row>
    <row r="49" spans="1:11" ht="85" customHeight="1" x14ac:dyDescent="0.35">
      <c r="A49" s="338">
        <v>45</v>
      </c>
      <c r="B49" s="239" t="s">
        <v>10821</v>
      </c>
      <c r="C49" s="239" t="s">
        <v>11076</v>
      </c>
      <c r="D49" s="240" t="s">
        <v>792</v>
      </c>
      <c r="E49" s="239" t="s">
        <v>11077</v>
      </c>
      <c r="F49" s="239" t="s">
        <v>11078</v>
      </c>
      <c r="G49" s="239" t="s">
        <v>10909</v>
      </c>
      <c r="H49" s="239" t="s">
        <v>1791</v>
      </c>
      <c r="I49" s="239" t="s">
        <v>11079</v>
      </c>
      <c r="J49" s="307" t="s">
        <v>11080</v>
      </c>
      <c r="K49" s="604" t="str">
        <f>HYPERLINK("https://maps.google.com/?q=Tasca%20do%20Joel%20Guimar%C3%A3es","🍽 Tasca do Joel")</f>
        <v>🍽 Tasca do Joel</v>
      </c>
    </row>
    <row r="50" spans="1:11" ht="85" customHeight="1" x14ac:dyDescent="0.35">
      <c r="A50" s="336">
        <v>46</v>
      </c>
      <c r="B50" s="242" t="s">
        <v>11081</v>
      </c>
      <c r="C50" s="242" t="s">
        <v>11082</v>
      </c>
      <c r="D50" s="243" t="s">
        <v>792</v>
      </c>
      <c r="E50" s="242" t="s">
        <v>11083</v>
      </c>
      <c r="F50" s="242" t="s">
        <v>11084</v>
      </c>
      <c r="G50" s="242" t="s">
        <v>10304</v>
      </c>
      <c r="H50" s="242" t="s">
        <v>11085</v>
      </c>
      <c r="I50" s="242" t="s">
        <v>11086</v>
      </c>
      <c r="J50" s="308" t="s">
        <v>11087</v>
      </c>
      <c r="K50" s="605" t="str">
        <f>HYPERLINK("https://maps.google.com/?q=Restaurante%20Deolinda%20Azambuja","🍽 Restaurante Deolinda")</f>
        <v>🍽 Restaurante Deolinda</v>
      </c>
    </row>
    <row r="51" spans="1:11" ht="22" customHeight="1" x14ac:dyDescent="0.35">
      <c r="A51" s="1475" t="s">
        <v>11088</v>
      </c>
      <c r="B51" s="1313"/>
      <c r="C51" s="1313"/>
      <c r="D51" s="1313"/>
      <c r="E51" s="1313"/>
      <c r="F51" s="1313"/>
      <c r="G51" s="1313"/>
      <c r="H51" s="1313"/>
      <c r="I51" s="1313"/>
      <c r="J51" s="1313"/>
    </row>
    <row r="52" spans="1:11" ht="85" customHeight="1" x14ac:dyDescent="0.35">
      <c r="A52" s="358">
        <v>1</v>
      </c>
      <c r="B52" s="259" t="s">
        <v>11089</v>
      </c>
      <c r="C52" s="259" t="s">
        <v>11090</v>
      </c>
      <c r="D52" s="260" t="s">
        <v>836</v>
      </c>
      <c r="E52" s="259" t="s">
        <v>11091</v>
      </c>
      <c r="F52" s="259" t="s">
        <v>11092</v>
      </c>
      <c r="G52" s="259" t="s">
        <v>11093</v>
      </c>
      <c r="H52" s="259" t="s">
        <v>5497</v>
      </c>
      <c r="I52" s="259" t="s">
        <v>11094</v>
      </c>
      <c r="J52" s="309" t="s">
        <v>11095</v>
      </c>
      <c r="K52" s="606" t="str">
        <f>HYPERLINK("https://maps.google.com/?q=Z%C3%A9%20Manel%20dos%20Ossos%20Coimbra","🍽 Zé Manel dos Ossos")</f>
        <v>🍽 Zé Manel dos Ossos</v>
      </c>
    </row>
    <row r="53" spans="1:11" ht="85" customHeight="1" x14ac:dyDescent="0.35">
      <c r="A53" s="352">
        <v>2</v>
      </c>
      <c r="B53" s="262" t="s">
        <v>11096</v>
      </c>
      <c r="C53" s="262" t="s">
        <v>10843</v>
      </c>
      <c r="D53" s="263" t="s">
        <v>836</v>
      </c>
      <c r="E53" s="262" t="s">
        <v>11097</v>
      </c>
      <c r="F53" s="262" t="s">
        <v>11098</v>
      </c>
      <c r="G53" s="262" t="s">
        <v>10909</v>
      </c>
      <c r="H53" s="262" t="s">
        <v>5497</v>
      </c>
      <c r="I53" s="262" t="s">
        <v>11099</v>
      </c>
      <c r="J53" s="310" t="s">
        <v>11100</v>
      </c>
      <c r="K53" s="607" t="str">
        <f>HYPERLINK("https://maps.google.com/?q=Taberna%20de%20Portugal%20Coimbra","🍽 Taberna de Portugal")</f>
        <v>🍽 Taberna de Portugal</v>
      </c>
    </row>
    <row r="54" spans="1:11" ht="85" customHeight="1" x14ac:dyDescent="0.35">
      <c r="A54" s="358">
        <v>3</v>
      </c>
      <c r="B54" s="259" t="s">
        <v>11101</v>
      </c>
      <c r="C54" s="259" t="s">
        <v>11102</v>
      </c>
      <c r="D54" s="260" t="s">
        <v>836</v>
      </c>
      <c r="E54" s="259" t="s">
        <v>11103</v>
      </c>
      <c r="F54" s="259" t="s">
        <v>11104</v>
      </c>
      <c r="G54" s="259" t="s">
        <v>11105</v>
      </c>
      <c r="H54" s="259" t="s">
        <v>5497</v>
      </c>
      <c r="I54" s="259" t="s">
        <v>11106</v>
      </c>
      <c r="J54" s="309" t="s">
        <v>11107</v>
      </c>
      <c r="K54" s="606" t="str">
        <f>HYPERLINK("https://maps.google.com/?q=Restaurante%20Sete%20Coimbra","🍽 Restaurante Sete")</f>
        <v>🍽 Restaurante Sete</v>
      </c>
    </row>
    <row r="55" spans="1:11" ht="85" customHeight="1" x14ac:dyDescent="0.35">
      <c r="A55" s="352">
        <v>4</v>
      </c>
      <c r="B55" s="262" t="s">
        <v>11108</v>
      </c>
      <c r="C55" s="262" t="s">
        <v>11109</v>
      </c>
      <c r="D55" s="263" t="s">
        <v>836</v>
      </c>
      <c r="E55" s="262" t="s">
        <v>11110</v>
      </c>
      <c r="F55" s="262" t="s">
        <v>11111</v>
      </c>
      <c r="G55" s="262" t="s">
        <v>10961</v>
      </c>
      <c r="H55" s="262" t="s">
        <v>5488</v>
      </c>
      <c r="I55" s="262" t="s">
        <v>11112</v>
      </c>
      <c r="J55" s="310" t="s">
        <v>11113</v>
      </c>
      <c r="K55" s="607" t="str">
        <f>HYPERLINK("https://maps.google.com/?q=O%20Burgo%20Lous%C3%A3","🍽 O Burgo")</f>
        <v>🍽 O Burgo</v>
      </c>
    </row>
    <row r="56" spans="1:11" ht="85" customHeight="1" x14ac:dyDescent="0.35">
      <c r="A56" s="358">
        <v>5</v>
      </c>
      <c r="B56" s="259" t="s">
        <v>11114</v>
      </c>
      <c r="C56" s="259" t="s">
        <v>11115</v>
      </c>
      <c r="D56" s="260" t="s">
        <v>836</v>
      </c>
      <c r="E56" s="259" t="s">
        <v>11116</v>
      </c>
      <c r="F56" s="259" t="s">
        <v>11117</v>
      </c>
      <c r="G56" s="259" t="s">
        <v>11118</v>
      </c>
      <c r="H56" s="259" t="s">
        <v>8421</v>
      </c>
      <c r="I56" s="259" t="s">
        <v>11119</v>
      </c>
      <c r="J56" s="309" t="s">
        <v>11120</v>
      </c>
      <c r="K56" s="606" t="str">
        <f>HYPERLINK("https://maps.google.com/?q=TiAugusta%20Figueir%C3%B3%20dos%20Vinhos","🍽 Ti'Augusta")</f>
        <v>🍽 Ti'Augusta</v>
      </c>
    </row>
    <row r="57" spans="1:11" ht="85" customHeight="1" x14ac:dyDescent="0.35">
      <c r="A57" s="352">
        <v>6</v>
      </c>
      <c r="B57" s="262" t="s">
        <v>11121</v>
      </c>
      <c r="C57" s="262" t="s">
        <v>1114</v>
      </c>
      <c r="D57" s="263" t="s">
        <v>836</v>
      </c>
      <c r="E57" s="262" t="s">
        <v>11122</v>
      </c>
      <c r="F57" s="262" t="s">
        <v>11123</v>
      </c>
      <c r="G57" s="262" t="s">
        <v>11067</v>
      </c>
      <c r="H57" s="262" t="s">
        <v>950</v>
      </c>
      <c r="I57" s="262" t="s">
        <v>11124</v>
      </c>
      <c r="J57" s="310" t="s">
        <v>11125</v>
      </c>
      <c r="K57" s="607" t="str">
        <f>HYPERLINK("https://maps.google.com/?q=O%20Corti%C3%A7o%20Viseu","🍽 O Cortiço")</f>
        <v>🍽 O Cortiço</v>
      </c>
    </row>
    <row r="58" spans="1:11" ht="85" customHeight="1" x14ac:dyDescent="0.35">
      <c r="A58" s="358">
        <v>7</v>
      </c>
      <c r="B58" s="259" t="s">
        <v>11126</v>
      </c>
      <c r="C58" s="259" t="s">
        <v>11127</v>
      </c>
      <c r="D58" s="260" t="s">
        <v>836</v>
      </c>
      <c r="E58" s="259" t="s">
        <v>11128</v>
      </c>
      <c r="F58" s="259" t="s">
        <v>11129</v>
      </c>
      <c r="G58" s="259" t="s">
        <v>11130</v>
      </c>
      <c r="H58" s="259" t="s">
        <v>950</v>
      </c>
      <c r="I58" s="259" t="s">
        <v>11131</v>
      </c>
      <c r="J58" s="309" t="s">
        <v>11132</v>
      </c>
      <c r="K58" s="606" t="str">
        <f>HYPERLINK("https://maps.google.com/?q=Mesa%20de%20Lemos%20Viseu","🍽 Mesa de Lemos")</f>
        <v>🍽 Mesa de Lemos</v>
      </c>
    </row>
    <row r="59" spans="1:11" ht="85" customHeight="1" x14ac:dyDescent="0.35">
      <c r="A59" s="352">
        <v>8</v>
      </c>
      <c r="B59" s="262" t="s">
        <v>11133</v>
      </c>
      <c r="C59" s="262" t="s">
        <v>3156</v>
      </c>
      <c r="D59" s="263" t="s">
        <v>836</v>
      </c>
      <c r="E59" s="262" t="s">
        <v>11134</v>
      </c>
      <c r="F59" s="262" t="s">
        <v>11135</v>
      </c>
      <c r="G59" s="262" t="s">
        <v>11105</v>
      </c>
      <c r="H59" s="262" t="s">
        <v>950</v>
      </c>
      <c r="I59" s="262" t="s">
        <v>11136</v>
      </c>
      <c r="J59" s="310" t="s">
        <v>11137</v>
      </c>
      <c r="K59" s="607" t="str">
        <f>HYPERLINK("https://maps.google.com/?q=Santa%20Luzia%20Viseu","🍽 Santa Luzia")</f>
        <v>🍽 Santa Luzia</v>
      </c>
    </row>
    <row r="60" spans="1:11" ht="85" customHeight="1" x14ac:dyDescent="0.35">
      <c r="A60" s="358">
        <v>9</v>
      </c>
      <c r="B60" s="259" t="s">
        <v>11138</v>
      </c>
      <c r="C60" s="259" t="s">
        <v>11139</v>
      </c>
      <c r="D60" s="260" t="s">
        <v>836</v>
      </c>
      <c r="E60" s="259" t="s">
        <v>11140</v>
      </c>
      <c r="F60" s="259" t="s">
        <v>11141</v>
      </c>
      <c r="G60" s="259" t="s">
        <v>1036</v>
      </c>
      <c r="H60" s="259" t="s">
        <v>2096</v>
      </c>
      <c r="I60" s="259" t="s">
        <v>11142</v>
      </c>
      <c r="J60" s="309" t="s">
        <v>11143</v>
      </c>
      <c r="K60" s="606" t="str">
        <f>HYPERLINK("https://maps.google.com/?q=O%20Albertino%20Gouveia","🍽 O Albertino")</f>
        <v>🍽 O Albertino</v>
      </c>
    </row>
    <row r="61" spans="1:11" ht="85" customHeight="1" x14ac:dyDescent="0.35">
      <c r="A61" s="352">
        <v>10</v>
      </c>
      <c r="B61" s="262" t="s">
        <v>11144</v>
      </c>
      <c r="C61" s="262" t="s">
        <v>11145</v>
      </c>
      <c r="D61" s="263" t="s">
        <v>836</v>
      </c>
      <c r="E61" s="262" t="s">
        <v>11146</v>
      </c>
      <c r="F61" s="262" t="s">
        <v>11147</v>
      </c>
      <c r="G61" s="262" t="s">
        <v>10832</v>
      </c>
      <c r="H61" s="262" t="s">
        <v>8011</v>
      </c>
      <c r="I61" s="262" t="s">
        <v>11148</v>
      </c>
      <c r="J61" s="310" t="s">
        <v>11149</v>
      </c>
      <c r="K61" s="607" t="str">
        <f>HYPERLINK("https://maps.google.com/?q=Vall%C3%A9cula%20Guarda","🍽 Vallécula")</f>
        <v>🍽 Vallécula</v>
      </c>
    </row>
    <row r="62" spans="1:11" ht="85" customHeight="1" x14ac:dyDescent="0.35">
      <c r="A62" s="358">
        <v>11</v>
      </c>
      <c r="B62" s="259" t="s">
        <v>11150</v>
      </c>
      <c r="C62" s="259" t="s">
        <v>11151</v>
      </c>
      <c r="D62" s="260" t="s">
        <v>836</v>
      </c>
      <c r="E62" s="259" t="s">
        <v>11152</v>
      </c>
      <c r="F62" s="259" t="s">
        <v>11153</v>
      </c>
      <c r="G62" s="259" t="s">
        <v>11154</v>
      </c>
      <c r="H62" s="259" t="s">
        <v>10088</v>
      </c>
      <c r="I62" s="259" t="s">
        <v>11155</v>
      </c>
      <c r="J62" s="309" t="s">
        <v>11156</v>
      </c>
      <c r="K62" s="606" t="str">
        <f>HYPERLINK("https://maps.google.com/?q=Tia%20Alice%20F%C3%A1tima","🍽 Tia Alice")</f>
        <v>🍽 Tia Alice</v>
      </c>
    </row>
    <row r="63" spans="1:11" ht="85" customHeight="1" x14ac:dyDescent="0.35">
      <c r="A63" s="352">
        <v>12</v>
      </c>
      <c r="B63" s="262" t="s">
        <v>11157</v>
      </c>
      <c r="C63" s="262" t="s">
        <v>11158</v>
      </c>
      <c r="D63" s="263" t="s">
        <v>836</v>
      </c>
      <c r="E63" s="262" t="s">
        <v>11159</v>
      </c>
      <c r="F63" s="262" t="s">
        <v>11160</v>
      </c>
      <c r="G63" s="262" t="s">
        <v>10961</v>
      </c>
      <c r="H63" s="262" t="s">
        <v>11161</v>
      </c>
      <c r="I63" s="262" t="s">
        <v>11162</v>
      </c>
      <c r="J63" s="310" t="s">
        <v>11163</v>
      </c>
      <c r="K63" s="607" t="str">
        <f>HYPERLINK("https://maps.google.com/?q=O%20Manjar%20do%20Marqu%C3%AAs%20Pombal","🍽 O Manjar do Marquês")</f>
        <v>🍽 O Manjar do Marquês</v>
      </c>
    </row>
    <row r="64" spans="1:11" ht="85" customHeight="1" x14ac:dyDescent="0.35">
      <c r="A64" s="358">
        <v>13</v>
      </c>
      <c r="B64" s="259" t="s">
        <v>11164</v>
      </c>
      <c r="C64" s="259" t="s">
        <v>11165</v>
      </c>
      <c r="D64" s="260" t="s">
        <v>836</v>
      </c>
      <c r="E64" s="259" t="s">
        <v>11166</v>
      </c>
      <c r="F64" s="259" t="s">
        <v>11167</v>
      </c>
      <c r="G64" s="259" t="s">
        <v>10832</v>
      </c>
      <c r="H64" s="259" t="s">
        <v>7725</v>
      </c>
      <c r="I64" s="259" t="s">
        <v>11168</v>
      </c>
      <c r="J64" s="309" t="s">
        <v>11169</v>
      </c>
      <c r="K64" s="606" t="str">
        <f>HYPERLINK("https://maps.google.com/?q=Casinha%20Velha%20Leiria","🍽 Casinha Velha")</f>
        <v>🍽 Casinha Velha</v>
      </c>
    </row>
    <row r="65" spans="1:11" ht="85" customHeight="1" x14ac:dyDescent="0.35">
      <c r="A65" s="352">
        <v>14</v>
      </c>
      <c r="B65" s="262" t="s">
        <v>11170</v>
      </c>
      <c r="C65" s="262" t="s">
        <v>11171</v>
      </c>
      <c r="D65" s="263" t="s">
        <v>836</v>
      </c>
      <c r="E65" s="262" t="s">
        <v>11172</v>
      </c>
      <c r="F65" s="262" t="s">
        <v>11173</v>
      </c>
      <c r="G65" s="262" t="s">
        <v>11174</v>
      </c>
      <c r="H65" s="262" t="s">
        <v>7725</v>
      </c>
      <c r="I65" s="262" t="s">
        <v>11175</v>
      </c>
      <c r="J65" s="310" t="s">
        <v>11176</v>
      </c>
      <c r="K65" s="607" t="str">
        <f>HYPERLINK("https://maps.google.com/?q=Ferro%20em%20Brasa%20Leiria","🍽 Ferro em Brasa")</f>
        <v>🍽 Ferro em Brasa</v>
      </c>
    </row>
    <row r="66" spans="1:11" ht="85" customHeight="1" x14ac:dyDescent="0.35">
      <c r="A66" s="358">
        <v>15</v>
      </c>
      <c r="B66" s="259" t="s">
        <v>11177</v>
      </c>
      <c r="C66" s="259" t="s">
        <v>11178</v>
      </c>
      <c r="D66" s="260" t="s">
        <v>836</v>
      </c>
      <c r="E66" s="259" t="s">
        <v>11179</v>
      </c>
      <c r="F66" s="259" t="s">
        <v>11180</v>
      </c>
      <c r="G66" s="259" t="s">
        <v>11181</v>
      </c>
      <c r="H66" s="259" t="s">
        <v>1363</v>
      </c>
      <c r="I66" s="259" t="s">
        <v>11182</v>
      </c>
      <c r="J66" s="309" t="s">
        <v>11183</v>
      </c>
      <c r="K66" s="606" t="str">
        <f>HYPERLINK("https://maps.google.com/?q=Salpoente%20Aveiro","🍽 Salpoente")</f>
        <v>🍽 Salpoente</v>
      </c>
    </row>
    <row r="67" spans="1:11" ht="85" customHeight="1" x14ac:dyDescent="0.35">
      <c r="A67" s="352">
        <v>16</v>
      </c>
      <c r="B67" s="262" t="s">
        <v>11184</v>
      </c>
      <c r="C67" s="262" t="s">
        <v>11185</v>
      </c>
      <c r="D67" s="263" t="s">
        <v>836</v>
      </c>
      <c r="E67" s="262" t="s">
        <v>11186</v>
      </c>
      <c r="F67" s="262" t="s">
        <v>11187</v>
      </c>
      <c r="G67" s="262" t="s">
        <v>10961</v>
      </c>
      <c r="H67" s="262" t="s">
        <v>1363</v>
      </c>
      <c r="I67" s="262" t="s">
        <v>11188</v>
      </c>
      <c r="J67" s="310" t="s">
        <v>11189</v>
      </c>
      <c r="K67" s="607" t="str">
        <f>HYPERLINK("https://maps.google.com/?q=O%20Batel%20Aveiro","🍽 O Batel")</f>
        <v>🍽 O Batel</v>
      </c>
    </row>
    <row r="68" spans="1:11" ht="85" customHeight="1" x14ac:dyDescent="0.35">
      <c r="A68" s="358">
        <v>17</v>
      </c>
      <c r="B68" s="259" t="s">
        <v>3800</v>
      </c>
      <c r="C68" s="259" t="s">
        <v>9870</v>
      </c>
      <c r="D68" s="260" t="s">
        <v>836</v>
      </c>
      <c r="E68" s="259" t="s">
        <v>11190</v>
      </c>
      <c r="F68" s="259" t="s">
        <v>11191</v>
      </c>
      <c r="G68" s="259" t="s">
        <v>10304</v>
      </c>
      <c r="H68" s="259" t="s">
        <v>9870</v>
      </c>
      <c r="I68" s="259" t="s">
        <v>11192</v>
      </c>
      <c r="J68" s="309" t="s">
        <v>11193</v>
      </c>
      <c r="K68" s="606" t="str">
        <f>HYPERLINK("https://maps.google.com/?q=A%20Tasquinha%20Nazar%C3%A9","🍽 A Tasquinha")</f>
        <v>🍽 A Tasquinha</v>
      </c>
    </row>
    <row r="69" spans="1:11" ht="85" customHeight="1" x14ac:dyDescent="0.35">
      <c r="A69" s="352">
        <v>18</v>
      </c>
      <c r="B69" s="262" t="s">
        <v>11194</v>
      </c>
      <c r="C69" s="262" t="s">
        <v>11195</v>
      </c>
      <c r="D69" s="263" t="s">
        <v>836</v>
      </c>
      <c r="E69" s="262" t="s">
        <v>11196</v>
      </c>
      <c r="F69" s="262" t="s">
        <v>11197</v>
      </c>
      <c r="G69" s="262" t="s">
        <v>10874</v>
      </c>
      <c r="H69" s="262" t="s">
        <v>5883</v>
      </c>
      <c r="I69" s="262" t="s">
        <v>11198</v>
      </c>
      <c r="J69" s="310" t="s">
        <v>11199</v>
      </c>
      <c r="K69" s="607" t="str">
        <f>HYPERLINK("https://maps.google.com/?q=Varanda%20da%20Estrela%20Covilh%C3%A3","🍽 Varanda da Estrela")</f>
        <v>🍽 Varanda da Estrela</v>
      </c>
    </row>
    <row r="70" spans="1:11" ht="85" customHeight="1" x14ac:dyDescent="0.35">
      <c r="A70" s="358">
        <v>19</v>
      </c>
      <c r="B70" s="259" t="s">
        <v>11200</v>
      </c>
      <c r="C70" s="259" t="s">
        <v>3156</v>
      </c>
      <c r="D70" s="260" t="s">
        <v>836</v>
      </c>
      <c r="E70" s="259" t="s">
        <v>11201</v>
      </c>
      <c r="F70" s="259" t="s">
        <v>11202</v>
      </c>
      <c r="G70" s="259" t="s">
        <v>10961</v>
      </c>
      <c r="H70" s="259" t="s">
        <v>1713</v>
      </c>
      <c r="I70" s="259" t="s">
        <v>11203</v>
      </c>
      <c r="J70" s="309" t="s">
        <v>11204</v>
      </c>
      <c r="K70" s="606" t="str">
        <f>HYPERLINK("https://maps.google.com/?q=Cabra%20Preta%20Castelo%20Branco","🍽 Cabra Preta")</f>
        <v>🍽 Cabra Preta</v>
      </c>
    </row>
    <row r="71" spans="1:11" ht="85" customHeight="1" x14ac:dyDescent="0.35">
      <c r="A71" s="352">
        <v>20</v>
      </c>
      <c r="B71" s="262" t="s">
        <v>11205</v>
      </c>
      <c r="C71" s="262" t="s">
        <v>11206</v>
      </c>
      <c r="D71" s="263" t="s">
        <v>836</v>
      </c>
      <c r="E71" s="262" t="s">
        <v>11207</v>
      </c>
      <c r="F71" s="262" t="s">
        <v>11208</v>
      </c>
      <c r="G71" s="262" t="s">
        <v>11118</v>
      </c>
      <c r="H71" s="262" t="s">
        <v>11209</v>
      </c>
      <c r="I71" s="262" t="s">
        <v>11210</v>
      </c>
      <c r="J71" s="310" t="s">
        <v>11211</v>
      </c>
      <c r="K71" s="607" t="str">
        <f>HYPERLINK("https://maps.google.com/?q=O%20Fiado%20Janeiro%20de%20Cima","🍽 O Fiado")</f>
        <v>🍽 O Fiado</v>
      </c>
    </row>
    <row r="72" spans="1:11" ht="85" customHeight="1" x14ac:dyDescent="0.35">
      <c r="A72" s="358">
        <v>21</v>
      </c>
      <c r="B72" s="259" t="s">
        <v>11212</v>
      </c>
      <c r="C72" s="259" t="s">
        <v>3156</v>
      </c>
      <c r="D72" s="260" t="s">
        <v>836</v>
      </c>
      <c r="E72" s="259" t="s">
        <v>11213</v>
      </c>
      <c r="F72" s="259" t="s">
        <v>11214</v>
      </c>
      <c r="G72" s="259" t="s">
        <v>10839</v>
      </c>
      <c r="H72" s="259" t="s">
        <v>11215</v>
      </c>
      <c r="I72" s="259" t="s">
        <v>11216</v>
      </c>
      <c r="J72" s="309" t="s">
        <v>11217</v>
      </c>
      <c r="K72" s="606" t="str">
        <f>HYPERLINK("https://maps.google.com/?q=Restaurante%20Muralhas%20Sortelha","🍽 Restaurante Muralhas")</f>
        <v>🍽 Restaurante Muralhas</v>
      </c>
    </row>
    <row r="73" spans="1:11" ht="85" customHeight="1" x14ac:dyDescent="0.35">
      <c r="A73" s="352">
        <v>22</v>
      </c>
      <c r="B73" s="262" t="s">
        <v>10964</v>
      </c>
      <c r="C73" s="262" t="s">
        <v>3156</v>
      </c>
      <c r="D73" s="263" t="s">
        <v>836</v>
      </c>
      <c r="E73" s="262" t="s">
        <v>11218</v>
      </c>
      <c r="F73" s="262" t="s">
        <v>11219</v>
      </c>
      <c r="G73" s="262" t="s">
        <v>10874</v>
      </c>
      <c r="H73" s="262" t="s">
        <v>5497</v>
      </c>
      <c r="I73" s="262" t="s">
        <v>11220</v>
      </c>
      <c r="J73" s="310" t="s">
        <v>11221</v>
      </c>
      <c r="K73" s="607" t="str">
        <f>HYPERLINK("https://maps.google.com/?q=Solar%20do%20Bacalhau%20Coimbra","🍽 Solar do Bacalhau")</f>
        <v>🍽 Solar do Bacalhau</v>
      </c>
    </row>
    <row r="74" spans="1:11" ht="85" customHeight="1" x14ac:dyDescent="0.35">
      <c r="A74" s="358">
        <v>23</v>
      </c>
      <c r="B74" s="259" t="s">
        <v>11222</v>
      </c>
      <c r="C74" s="259" t="s">
        <v>11223</v>
      </c>
      <c r="D74" s="260" t="s">
        <v>836</v>
      </c>
      <c r="E74" s="259" t="s">
        <v>11224</v>
      </c>
      <c r="F74" s="259" t="s">
        <v>11225</v>
      </c>
      <c r="G74" s="259" t="s">
        <v>10874</v>
      </c>
      <c r="H74" s="259" t="s">
        <v>5497</v>
      </c>
      <c r="I74" s="259" t="s">
        <v>11226</v>
      </c>
      <c r="J74" s="309" t="s">
        <v>11227</v>
      </c>
      <c r="K74" s="606" t="str">
        <f>HYPERLINK("https://maps.google.com/?q=Dux%20Petiscos%20e%20Vinhos%20Coimbra","🍽 Dux Petiscos e Vinhos")</f>
        <v>🍽 Dux Petiscos e Vinhos</v>
      </c>
    </row>
    <row r="75" spans="1:11" ht="85" customHeight="1" x14ac:dyDescent="0.35">
      <c r="A75" s="352">
        <v>24</v>
      </c>
      <c r="B75" s="262" t="s">
        <v>11228</v>
      </c>
      <c r="C75" s="262" t="s">
        <v>10836</v>
      </c>
      <c r="D75" s="263" t="s">
        <v>836</v>
      </c>
      <c r="E75" s="262" t="s">
        <v>11229</v>
      </c>
      <c r="F75" s="262" t="s">
        <v>11230</v>
      </c>
      <c r="G75" s="262" t="s">
        <v>11231</v>
      </c>
      <c r="H75" s="262" t="s">
        <v>950</v>
      </c>
      <c r="I75" s="262" t="s">
        <v>11232</v>
      </c>
      <c r="J75" s="310" t="s">
        <v>11233</v>
      </c>
      <c r="K75" s="607" t="str">
        <f>HYPERLINK("https://maps.google.com/?q=O%20Hil%C3%A1rio%20Viseu","🍽 O Hilário")</f>
        <v>🍽 O Hilário</v>
      </c>
    </row>
    <row r="76" spans="1:11" ht="85" customHeight="1" x14ac:dyDescent="0.35">
      <c r="A76" s="358">
        <v>25</v>
      </c>
      <c r="B76" s="259" t="s">
        <v>11234</v>
      </c>
      <c r="C76" s="259" t="s">
        <v>3156</v>
      </c>
      <c r="D76" s="260" t="s">
        <v>836</v>
      </c>
      <c r="E76" s="259" t="s">
        <v>3450</v>
      </c>
      <c r="F76" s="259" t="s">
        <v>11235</v>
      </c>
      <c r="G76" s="259" t="s">
        <v>10909</v>
      </c>
      <c r="H76" s="259" t="s">
        <v>1113</v>
      </c>
      <c r="I76" s="259" t="s">
        <v>11236</v>
      </c>
      <c r="J76" s="309" t="s">
        <v>11237</v>
      </c>
      <c r="K76" s="606" t="str">
        <f>HYPERLINK("https://maps.google.com/?q=Adega%20do%20Albertino%20%C3%93bidos","🍽 Adega do Albertino")</f>
        <v>🍽 Adega do Albertino</v>
      </c>
    </row>
    <row r="77" spans="1:11" ht="85" customHeight="1" x14ac:dyDescent="0.35">
      <c r="A77" s="352">
        <v>26</v>
      </c>
      <c r="B77" s="262" t="s">
        <v>11238</v>
      </c>
      <c r="C77" s="262" t="s">
        <v>11239</v>
      </c>
      <c r="D77" s="263" t="s">
        <v>836</v>
      </c>
      <c r="E77" s="262" t="s">
        <v>11240</v>
      </c>
      <c r="F77" s="262" t="s">
        <v>11241</v>
      </c>
      <c r="G77" s="262" t="s">
        <v>10832</v>
      </c>
      <c r="H77" s="262" t="s">
        <v>11242</v>
      </c>
      <c r="I77" s="262" t="s">
        <v>11243</v>
      </c>
      <c r="J77" s="310" t="s">
        <v>11244</v>
      </c>
      <c r="K77" s="607" t="str">
        <f>HYPERLINK("https://maps.google.com/?q=Restaurante%20Dom%20Jos%C3%A9%20Bombarral","🍽 Restaurante Dom José")</f>
        <v>🍽 Restaurante Dom José</v>
      </c>
    </row>
    <row r="78" spans="1:11" ht="85" customHeight="1" x14ac:dyDescent="0.35">
      <c r="A78" s="358">
        <v>27</v>
      </c>
      <c r="B78" s="259" t="s">
        <v>11245</v>
      </c>
      <c r="C78" s="259" t="s">
        <v>11052</v>
      </c>
      <c r="D78" s="260" t="s">
        <v>836</v>
      </c>
      <c r="E78" s="259" t="s">
        <v>11246</v>
      </c>
      <c r="F78" s="259" t="s">
        <v>11247</v>
      </c>
      <c r="G78" s="259" t="s">
        <v>10874</v>
      </c>
      <c r="H78" s="259" t="s">
        <v>1363</v>
      </c>
      <c r="I78" s="259" t="s">
        <v>11248</v>
      </c>
      <c r="J78" s="309" t="s">
        <v>11249</v>
      </c>
      <c r="K78" s="606" t="str">
        <f>HYPERLINK("https://maps.google.com/?q=O%20Bairro%20Aveiro","🍽 O Bairro")</f>
        <v>🍽 O Bairro</v>
      </c>
    </row>
    <row r="79" spans="1:11" ht="85" customHeight="1" x14ac:dyDescent="0.35">
      <c r="A79" s="352">
        <v>28</v>
      </c>
      <c r="B79" s="262" t="s">
        <v>11250</v>
      </c>
      <c r="C79" s="262" t="s">
        <v>1066</v>
      </c>
      <c r="D79" s="263" t="s">
        <v>836</v>
      </c>
      <c r="E79" s="262" t="s">
        <v>11251</v>
      </c>
      <c r="F79" s="262" t="s">
        <v>11252</v>
      </c>
      <c r="G79" s="262" t="s">
        <v>10839</v>
      </c>
      <c r="H79" s="262" t="s">
        <v>5488</v>
      </c>
      <c r="I79" s="262" t="s">
        <v>11253</v>
      </c>
      <c r="J79" s="310" t="s">
        <v>11254</v>
      </c>
      <c r="K79" s="607" t="str">
        <f>HYPERLINK("https://maps.google.com/?q=Adega%20T%C3%ADpica%20da%20Lous%C3%A3%20Lous%C3%A3","🍽 Adega Típica da Lousã")</f>
        <v>🍽 Adega Típica da Lousã</v>
      </c>
    </row>
    <row r="80" spans="1:11" ht="85" customHeight="1" x14ac:dyDescent="0.35">
      <c r="A80" s="358">
        <v>29</v>
      </c>
      <c r="B80" s="259" t="s">
        <v>11255</v>
      </c>
      <c r="C80" s="259" t="s">
        <v>11256</v>
      </c>
      <c r="D80" s="260" t="s">
        <v>836</v>
      </c>
      <c r="E80" s="259" t="s">
        <v>11257</v>
      </c>
      <c r="F80" s="259" t="s">
        <v>11258</v>
      </c>
      <c r="G80" s="259" t="s">
        <v>10839</v>
      </c>
      <c r="H80" s="259" t="s">
        <v>9870</v>
      </c>
      <c r="I80" s="259" t="s">
        <v>11259</v>
      </c>
      <c r="J80" s="309" t="s">
        <v>11260</v>
      </c>
      <c r="K80" s="606" t="str">
        <f>HYPERLINK("https://maps.google.com/?q=A%20Gordinha%20Nazar%C3%A9","🍽 A Gordinha")</f>
        <v>🍽 A Gordinha</v>
      </c>
    </row>
    <row r="81" spans="1:11" ht="85" customHeight="1" x14ac:dyDescent="0.35">
      <c r="A81" s="352">
        <v>30</v>
      </c>
      <c r="B81" s="262" t="s">
        <v>11261</v>
      </c>
      <c r="C81" s="262" t="s">
        <v>1757</v>
      </c>
      <c r="D81" s="263" t="s">
        <v>836</v>
      </c>
      <c r="E81" s="262" t="s">
        <v>11262</v>
      </c>
      <c r="F81" s="262" t="s">
        <v>11263</v>
      </c>
      <c r="G81" s="262" t="s">
        <v>11264</v>
      </c>
      <c r="H81" s="262" t="s">
        <v>5488</v>
      </c>
      <c r="I81" s="262" t="s">
        <v>11265</v>
      </c>
      <c r="J81" s="310" t="s">
        <v>11266</v>
      </c>
      <c r="K81" s="607" t="str">
        <f>HYPERLINK("https://maps.google.com/?q=O%20Talasnal%20Lous%C3%A3","🍽 O Talasnal")</f>
        <v>🍽 O Talasnal</v>
      </c>
    </row>
    <row r="82" spans="1:11" ht="85" customHeight="1" x14ac:dyDescent="0.35">
      <c r="A82" s="358">
        <v>31</v>
      </c>
      <c r="B82" s="259" t="s">
        <v>11267</v>
      </c>
      <c r="C82" s="259" t="s">
        <v>11268</v>
      </c>
      <c r="D82" s="260" t="s">
        <v>836</v>
      </c>
      <c r="E82" s="259" t="s">
        <v>11269</v>
      </c>
      <c r="F82" s="259" t="s">
        <v>11270</v>
      </c>
      <c r="G82" s="259" t="s">
        <v>10304</v>
      </c>
      <c r="H82" s="259" t="s">
        <v>1363</v>
      </c>
      <c r="I82" s="259" t="s">
        <v>11271</v>
      </c>
      <c r="J82" s="309" t="s">
        <v>11272</v>
      </c>
      <c r="K82" s="606" t="str">
        <f>HYPERLINK("https://maps.google.com/?q=Restaurante%20o%20Telheiro%20Aveiro","🍽 Restaurante o Telheiro")</f>
        <v>🍽 Restaurante o Telheiro</v>
      </c>
    </row>
    <row r="83" spans="1:11" ht="85" customHeight="1" x14ac:dyDescent="0.35">
      <c r="A83" s="352">
        <v>32</v>
      </c>
      <c r="B83" s="262" t="s">
        <v>11273</v>
      </c>
      <c r="C83" s="262" t="s">
        <v>11274</v>
      </c>
      <c r="D83" s="263" t="s">
        <v>836</v>
      </c>
      <c r="E83" s="262" t="s">
        <v>11275</v>
      </c>
      <c r="F83" s="262" t="s">
        <v>11276</v>
      </c>
      <c r="G83" s="262" t="s">
        <v>10874</v>
      </c>
      <c r="H83" s="262" t="s">
        <v>7331</v>
      </c>
      <c r="I83" s="262" t="s">
        <v>11277</v>
      </c>
      <c r="J83" s="310" t="s">
        <v>11278</v>
      </c>
      <c r="K83" s="607" t="str">
        <f>HYPERLINK("https://maps.google.com/?q=Adega%20Machado%20Figueira%20da%20Foz","🍽 Adega Machado")</f>
        <v>🍽 Adega Machado</v>
      </c>
    </row>
    <row r="84" spans="1:11" ht="85" customHeight="1" x14ac:dyDescent="0.35">
      <c r="A84" s="358">
        <v>33</v>
      </c>
      <c r="B84" s="259" t="s">
        <v>11279</v>
      </c>
      <c r="C84" s="259" t="s">
        <v>3156</v>
      </c>
      <c r="D84" s="260" t="s">
        <v>836</v>
      </c>
      <c r="E84" s="259" t="s">
        <v>11280</v>
      </c>
      <c r="F84" s="259" t="s">
        <v>11281</v>
      </c>
      <c r="G84" s="259" t="s">
        <v>10961</v>
      </c>
      <c r="H84" s="259" t="s">
        <v>950</v>
      </c>
      <c r="I84" s="259" t="s">
        <v>11282</v>
      </c>
      <c r="J84" s="309" t="s">
        <v>11283</v>
      </c>
      <c r="K84" s="606" t="str">
        <f>HYPERLINK("https://maps.google.com/?q=O%20Paparico%20Viseu","🍽 O Paparico")</f>
        <v>🍽 O Paparico</v>
      </c>
    </row>
    <row r="85" spans="1:11" ht="85" customHeight="1" x14ac:dyDescent="0.35">
      <c r="A85" s="352">
        <v>34</v>
      </c>
      <c r="B85" s="262" t="s">
        <v>11284</v>
      </c>
      <c r="C85" s="262" t="s">
        <v>11285</v>
      </c>
      <c r="D85" s="263" t="s">
        <v>836</v>
      </c>
      <c r="E85" s="262" t="s">
        <v>11286</v>
      </c>
      <c r="F85" s="262" t="s">
        <v>11287</v>
      </c>
      <c r="G85" s="262" t="s">
        <v>10839</v>
      </c>
      <c r="H85" s="262" t="s">
        <v>950</v>
      </c>
      <c r="I85" s="262" t="s">
        <v>11288</v>
      </c>
      <c r="J85" s="310" t="s">
        <v>11289</v>
      </c>
      <c r="K85" s="607" t="str">
        <f>HYPERLINK("https://maps.google.com/?q=Taberna%20A%20L%C3%BAcia%20Viseu","🍽 Taberna A Lúcia")</f>
        <v>🍽 Taberna A Lúcia</v>
      </c>
    </row>
    <row r="86" spans="1:11" ht="85" customHeight="1" x14ac:dyDescent="0.35">
      <c r="A86" s="358">
        <v>35</v>
      </c>
      <c r="B86" s="259" t="s">
        <v>11290</v>
      </c>
      <c r="C86" s="259" t="s">
        <v>11109</v>
      </c>
      <c r="D86" s="260" t="s">
        <v>836</v>
      </c>
      <c r="E86" s="259" t="s">
        <v>11291</v>
      </c>
      <c r="F86" s="259" t="s">
        <v>11292</v>
      </c>
      <c r="G86" s="259" t="s">
        <v>10832</v>
      </c>
      <c r="H86" s="259" t="s">
        <v>1713</v>
      </c>
      <c r="I86" s="259" t="s">
        <v>11293</v>
      </c>
      <c r="J86" s="309" t="s">
        <v>11294</v>
      </c>
      <c r="K86" s="606" t="str">
        <f>HYPERLINK("https://maps.google.com/?q=Restaurante%20Panor%C3%A2mico%20Castelo%20Branco","🍽 Restaurante Panorâmico")</f>
        <v>🍽 Restaurante Panorâmico</v>
      </c>
    </row>
    <row r="87" spans="1:11" ht="85" customHeight="1" x14ac:dyDescent="0.35">
      <c r="A87" s="352">
        <v>36</v>
      </c>
      <c r="B87" s="262" t="s">
        <v>11295</v>
      </c>
      <c r="C87" s="262" t="s">
        <v>3156</v>
      </c>
      <c r="D87" s="263" t="s">
        <v>836</v>
      </c>
      <c r="E87" s="262" t="s">
        <v>11296</v>
      </c>
      <c r="F87" s="262" t="s">
        <v>11297</v>
      </c>
      <c r="G87" s="262" t="s">
        <v>10961</v>
      </c>
      <c r="H87" s="262" t="s">
        <v>2091</v>
      </c>
      <c r="I87" s="262" t="s">
        <v>11298</v>
      </c>
      <c r="J87" s="310" t="s">
        <v>11299</v>
      </c>
      <c r="K87" s="607" t="str">
        <f>HYPERLINK("https://maps.google.com/?q=Solar%20dos%20Presuntos%20Fund%C3%A3o","🍽 Solar dos Presuntos")</f>
        <v>🍽 Solar dos Presuntos</v>
      </c>
    </row>
    <row r="88" spans="1:11" ht="85" customHeight="1" x14ac:dyDescent="0.35">
      <c r="A88" s="358">
        <v>37</v>
      </c>
      <c r="B88" s="259" t="s">
        <v>3851</v>
      </c>
      <c r="C88" s="259" t="s">
        <v>11300</v>
      </c>
      <c r="D88" s="260" t="s">
        <v>836</v>
      </c>
      <c r="E88" s="259" t="s">
        <v>11301</v>
      </c>
      <c r="F88" s="259" t="s">
        <v>11302</v>
      </c>
      <c r="G88" s="259" t="s">
        <v>10961</v>
      </c>
      <c r="H88" s="259" t="s">
        <v>11303</v>
      </c>
      <c r="I88" s="259" t="s">
        <v>11304</v>
      </c>
      <c r="J88" s="309" t="s">
        <v>11305</v>
      </c>
      <c r="K88" s="606" t="str">
        <f>HYPERLINK("https://maps.google.com/?q=Taberna%20do%20Adro%20Vila%20de%20Frades","🍽 Taberna do Adro")</f>
        <v>🍽 Taberna do Adro</v>
      </c>
    </row>
    <row r="89" spans="1:11" ht="85" customHeight="1" x14ac:dyDescent="0.35">
      <c r="A89" s="352">
        <v>38</v>
      </c>
      <c r="B89" s="262" t="s">
        <v>11306</v>
      </c>
      <c r="C89" s="262" t="s">
        <v>3156</v>
      </c>
      <c r="D89" s="263" t="s">
        <v>836</v>
      </c>
      <c r="E89" s="262" t="s">
        <v>11307</v>
      </c>
      <c r="F89" s="262" t="s">
        <v>11308</v>
      </c>
      <c r="G89" s="262" t="s">
        <v>10874</v>
      </c>
      <c r="H89" s="262" t="s">
        <v>2528</v>
      </c>
      <c r="I89" s="262" t="s">
        <v>11309</v>
      </c>
      <c r="J89" s="310" t="s">
        <v>11310</v>
      </c>
      <c r="K89" s="607" t="str">
        <f>HYPERLINK("https://maps.google.com/?q=A%20Estalagem%20Marv%C3%A3o","🍽 A Estalagem")</f>
        <v>🍽 A Estalagem</v>
      </c>
    </row>
    <row r="90" spans="1:11" ht="85" customHeight="1" x14ac:dyDescent="0.35">
      <c r="A90" s="358">
        <v>39</v>
      </c>
      <c r="B90" s="259" t="s">
        <v>11311</v>
      </c>
      <c r="C90" s="259" t="s">
        <v>3156</v>
      </c>
      <c r="D90" s="260" t="s">
        <v>836</v>
      </c>
      <c r="E90" s="259" t="s">
        <v>11312</v>
      </c>
      <c r="F90" s="259" t="s">
        <v>11313</v>
      </c>
      <c r="G90" s="259" t="s">
        <v>10961</v>
      </c>
      <c r="H90" s="259" t="s">
        <v>2528</v>
      </c>
      <c r="I90" s="259" t="s">
        <v>11314</v>
      </c>
      <c r="J90" s="309" t="s">
        <v>11315</v>
      </c>
      <c r="K90" s="606" t="str">
        <f>HYPERLINK("https://maps.google.com/?q=O%20Sever%20Marv%C3%A3o","🍽 O Sever")</f>
        <v>🍽 O Sever</v>
      </c>
    </row>
    <row r="91" spans="1:11" ht="85" customHeight="1" x14ac:dyDescent="0.35">
      <c r="A91" s="352">
        <v>40</v>
      </c>
      <c r="B91" s="262" t="s">
        <v>11316</v>
      </c>
      <c r="C91" s="262" t="s">
        <v>11317</v>
      </c>
      <c r="D91" s="263" t="s">
        <v>836</v>
      </c>
      <c r="E91" s="262" t="s">
        <v>11318</v>
      </c>
      <c r="F91" s="262" t="s">
        <v>11319</v>
      </c>
      <c r="G91" s="262" t="s">
        <v>10961</v>
      </c>
      <c r="H91" s="262" t="s">
        <v>7962</v>
      </c>
      <c r="I91" s="262" t="s">
        <v>11320</v>
      </c>
      <c r="J91" s="310" t="s">
        <v>11321</v>
      </c>
      <c r="K91" s="607" t="str">
        <f>HYPERLINK("https://maps.google.com/?q=Moinho%20de%20Vento%20Aljustrel","🍽 Moinho de Vento")</f>
        <v>🍽 Moinho de Vento</v>
      </c>
    </row>
    <row r="92" spans="1:11" ht="85" customHeight="1" x14ac:dyDescent="0.35">
      <c r="A92" s="358">
        <v>41</v>
      </c>
      <c r="B92" s="259" t="s">
        <v>11322</v>
      </c>
      <c r="C92" s="259" t="s">
        <v>3156</v>
      </c>
      <c r="D92" s="260" t="s">
        <v>836</v>
      </c>
      <c r="E92" s="259" t="s">
        <v>11323</v>
      </c>
      <c r="F92" s="259" t="s">
        <v>11324</v>
      </c>
      <c r="G92" s="259" t="s">
        <v>11067</v>
      </c>
      <c r="H92" s="259" t="s">
        <v>6452</v>
      </c>
      <c r="I92" s="259" t="s">
        <v>11325</v>
      </c>
      <c r="J92" s="309" t="s">
        <v>11326</v>
      </c>
      <c r="K92" s="606" t="str">
        <f>HYPERLINK("https://maps.google.com/?q=A%20Tasca%20do%20Celso%20V.%20N.%20Milfontes","🍽 A Tasca do Celso")</f>
        <v>🍽 A Tasca do Celso</v>
      </c>
    </row>
    <row r="93" spans="1:11" ht="85" customHeight="1" x14ac:dyDescent="0.35">
      <c r="A93" s="352">
        <v>42</v>
      </c>
      <c r="B93" s="262" t="s">
        <v>11327</v>
      </c>
      <c r="C93" s="262" t="s">
        <v>10878</v>
      </c>
      <c r="D93" s="263" t="s">
        <v>836</v>
      </c>
      <c r="E93" s="262" t="s">
        <v>11328</v>
      </c>
      <c r="F93" s="262" t="s">
        <v>11329</v>
      </c>
      <c r="G93" s="262" t="s">
        <v>10961</v>
      </c>
      <c r="H93" s="262" t="s">
        <v>6452</v>
      </c>
      <c r="I93" s="262" t="s">
        <v>11330</v>
      </c>
      <c r="J93" s="310" t="s">
        <v>11331</v>
      </c>
      <c r="K93" s="607" t="str">
        <f>HYPERLINK("https://maps.google.com/?q=O%20Adro%20da%20Igreja%20V.%20N.%20Milfontes","🍽 O Adro da Igreja")</f>
        <v>🍽 O Adro da Igreja</v>
      </c>
    </row>
    <row r="94" spans="1:11" ht="85" customHeight="1" x14ac:dyDescent="0.35">
      <c r="A94" s="358">
        <v>43</v>
      </c>
      <c r="B94" s="259" t="s">
        <v>11332</v>
      </c>
      <c r="C94" s="259" t="s">
        <v>11151</v>
      </c>
      <c r="D94" s="260" t="s">
        <v>836</v>
      </c>
      <c r="E94" s="259" t="s">
        <v>11333</v>
      </c>
      <c r="F94" s="259" t="s">
        <v>11334</v>
      </c>
      <c r="G94" s="259" t="s">
        <v>10832</v>
      </c>
      <c r="H94" s="259" t="s">
        <v>5516</v>
      </c>
      <c r="I94" s="259" t="s">
        <v>11335</v>
      </c>
      <c r="J94" s="309" t="s">
        <v>11336</v>
      </c>
      <c r="K94" s="606" t="str">
        <f>HYPERLINK("https://maps.google.com/?q=Restaurante%20A%20Escola%20Alc%C3%A1cer%20do%20Sal","🍽 Restaurante A Escola")</f>
        <v>🍽 Restaurante A Escola</v>
      </c>
    </row>
    <row r="95" spans="1:11" ht="85" customHeight="1" x14ac:dyDescent="0.35">
      <c r="A95" s="352">
        <v>44</v>
      </c>
      <c r="B95" s="262" t="s">
        <v>11337</v>
      </c>
      <c r="C95" s="262" t="s">
        <v>11338</v>
      </c>
      <c r="D95" s="263" t="s">
        <v>836</v>
      </c>
      <c r="E95" s="262" t="s">
        <v>11339</v>
      </c>
      <c r="F95" s="262" t="s">
        <v>11340</v>
      </c>
      <c r="G95" s="262" t="s">
        <v>11174</v>
      </c>
      <c r="H95" s="262" t="s">
        <v>11341</v>
      </c>
      <c r="I95" s="262" t="s">
        <v>11342</v>
      </c>
      <c r="J95" s="310" t="s">
        <v>11343</v>
      </c>
      <c r="K95" s="607" t="str">
        <f>HYPERLINK("https://maps.google.com/?q=Dona%20Bia%20Comporta","🍽 Dona Bia")</f>
        <v>🍽 Dona Bia</v>
      </c>
    </row>
    <row r="96" spans="1:11" ht="85" customHeight="1" x14ac:dyDescent="0.35">
      <c r="A96" s="358">
        <v>45</v>
      </c>
      <c r="B96" s="259" t="s">
        <v>11344</v>
      </c>
      <c r="C96" s="259" t="s">
        <v>11151</v>
      </c>
      <c r="D96" s="260" t="s">
        <v>836</v>
      </c>
      <c r="E96" s="259" t="s">
        <v>11345</v>
      </c>
      <c r="F96" s="259" t="s">
        <v>11346</v>
      </c>
      <c r="G96" s="259" t="s">
        <v>11000</v>
      </c>
      <c r="H96" s="259" t="s">
        <v>11341</v>
      </c>
      <c r="I96" s="259" t="s">
        <v>11347</v>
      </c>
      <c r="J96" s="309" t="s">
        <v>11348</v>
      </c>
      <c r="K96" s="606" t="str">
        <f>HYPERLINK("https://maps.google.com/?q=Museu%20do%20Arroz%20Comporta","🍽 Museu do Arroz")</f>
        <v>🍽 Museu do Arroz</v>
      </c>
    </row>
    <row r="97" spans="1:11" ht="85" customHeight="1" x14ac:dyDescent="0.35">
      <c r="A97" s="352">
        <v>46</v>
      </c>
      <c r="B97" s="262" t="s">
        <v>11349</v>
      </c>
      <c r="C97" s="262" t="s">
        <v>11350</v>
      </c>
      <c r="D97" s="263" t="s">
        <v>836</v>
      </c>
      <c r="E97" s="262" t="s">
        <v>11351</v>
      </c>
      <c r="F97" s="262" t="s">
        <v>11352</v>
      </c>
      <c r="G97" s="262" t="s">
        <v>11353</v>
      </c>
      <c r="H97" s="262" t="s">
        <v>11341</v>
      </c>
      <c r="I97" s="262" t="s">
        <v>11354</v>
      </c>
      <c r="J97" s="310" t="s">
        <v>11355</v>
      </c>
      <c r="K97" s="607" t="str">
        <f>HYPERLINK("https://maps.google.com/?q=Cavalari%C3%A7a%20Comporta","🍽 Cavalariça")</f>
        <v>🍽 Cavalariça</v>
      </c>
    </row>
    <row r="98" spans="1:11" ht="85" customHeight="1" x14ac:dyDescent="0.35">
      <c r="A98" s="358">
        <v>47</v>
      </c>
      <c r="B98" s="259" t="s">
        <v>11356</v>
      </c>
      <c r="C98" s="259" t="s">
        <v>1228</v>
      </c>
      <c r="D98" s="260" t="s">
        <v>836</v>
      </c>
      <c r="E98" s="259" t="s">
        <v>11357</v>
      </c>
      <c r="F98" s="259" t="s">
        <v>11358</v>
      </c>
      <c r="G98" s="259" t="s">
        <v>11359</v>
      </c>
      <c r="H98" s="259" t="s">
        <v>11360</v>
      </c>
      <c r="I98" s="259" t="s">
        <v>11361</v>
      </c>
      <c r="J98" s="309" t="s">
        <v>11362</v>
      </c>
      <c r="K98" s="606" t="str">
        <f>HYPERLINK("https://maps.google.com/?q=A%20Chamin%C3%A9%20Vendas%20Novas","🍽 A Chaminé")</f>
        <v>🍽 A Chaminé</v>
      </c>
    </row>
    <row r="99" spans="1:11" ht="85" customHeight="1" x14ac:dyDescent="0.35">
      <c r="A99" s="352">
        <v>48</v>
      </c>
      <c r="B99" s="262" t="s">
        <v>11363</v>
      </c>
      <c r="C99" s="262" t="s">
        <v>11364</v>
      </c>
      <c r="D99" s="263" t="s">
        <v>836</v>
      </c>
      <c r="E99" s="262" t="s">
        <v>11365</v>
      </c>
      <c r="F99" s="262" t="s">
        <v>11366</v>
      </c>
      <c r="G99" s="262" t="s">
        <v>10909</v>
      </c>
      <c r="H99" s="262" t="s">
        <v>11367</v>
      </c>
      <c r="I99" s="262" t="s">
        <v>11368</v>
      </c>
      <c r="J99" s="310" t="s">
        <v>11369</v>
      </c>
      <c r="K99" s="607" t="str">
        <f>HYPERLINK("https://maps.google.com/?q=O%20P%C3%A1tio%20dos%20Petiscos%20Montemor","🍽 O Pátio dos Petiscos")</f>
        <v>🍽 O Pátio dos Petiscos</v>
      </c>
    </row>
    <row r="100" spans="1:11" ht="85" customHeight="1" x14ac:dyDescent="0.35">
      <c r="A100" s="358">
        <v>49</v>
      </c>
      <c r="B100" s="259" t="s">
        <v>11370</v>
      </c>
      <c r="C100" s="259" t="s">
        <v>3156</v>
      </c>
      <c r="D100" s="260" t="s">
        <v>836</v>
      </c>
      <c r="E100" s="259" t="s">
        <v>11371</v>
      </c>
      <c r="F100" s="259" t="s">
        <v>11372</v>
      </c>
      <c r="G100" s="259" t="s">
        <v>10839</v>
      </c>
      <c r="H100" s="259" t="s">
        <v>11373</v>
      </c>
      <c r="I100" s="259" t="s">
        <v>11374</v>
      </c>
      <c r="J100" s="309" t="s">
        <v>11375</v>
      </c>
      <c r="K100" s="606" t="str">
        <f>HYPERLINK("https://maps.google.com/?q=P%C3%B4r-do-Sol%20Amareleja","🍽 Pôr-do-Sol")</f>
        <v>🍽 Pôr-do-Sol</v>
      </c>
    </row>
    <row r="101" spans="1:11" ht="85" customHeight="1" x14ac:dyDescent="0.35">
      <c r="A101" s="352">
        <v>50</v>
      </c>
      <c r="B101" s="262" t="s">
        <v>11376</v>
      </c>
      <c r="C101" s="262" t="s">
        <v>11377</v>
      </c>
      <c r="D101" s="263" t="s">
        <v>836</v>
      </c>
      <c r="E101" s="262" t="s">
        <v>11378</v>
      </c>
      <c r="F101" s="262" t="s">
        <v>11379</v>
      </c>
      <c r="G101" s="262" t="s">
        <v>10304</v>
      </c>
      <c r="H101" s="262" t="s">
        <v>7964</v>
      </c>
      <c r="I101" s="262" t="s">
        <v>11380</v>
      </c>
      <c r="J101" s="310" t="s">
        <v>11381</v>
      </c>
      <c r="K101" s="607" t="str">
        <f>HYPERLINK("https://maps.google.com/?q=Taberna%20do%20Javali%20Castelo%20de%20Vide","🍽 Taberna do Javali")</f>
        <v>🍽 Taberna do Javali</v>
      </c>
    </row>
    <row r="102" spans="1:11" ht="85" customHeight="1" x14ac:dyDescent="0.35">
      <c r="A102" s="358">
        <v>51</v>
      </c>
      <c r="B102" s="259" t="s">
        <v>11382</v>
      </c>
      <c r="C102" s="259" t="s">
        <v>3156</v>
      </c>
      <c r="D102" s="260" t="s">
        <v>836</v>
      </c>
      <c r="E102" s="259" t="s">
        <v>11383</v>
      </c>
      <c r="F102" s="259" t="s">
        <v>11384</v>
      </c>
      <c r="G102" s="259" t="s">
        <v>10961</v>
      </c>
      <c r="H102" s="259" t="s">
        <v>7964</v>
      </c>
      <c r="I102" s="259" t="s">
        <v>11385</v>
      </c>
      <c r="J102" s="309" t="s">
        <v>11386</v>
      </c>
      <c r="K102" s="606" t="str">
        <f>HYPERLINK("https://maps.google.com/?q=O%20Paladin%20Castelo%20de%20Vide","🍽 O Paladin")</f>
        <v>🍽 O Paladin</v>
      </c>
    </row>
    <row r="103" spans="1:11" ht="85" customHeight="1" x14ac:dyDescent="0.35">
      <c r="A103" s="352">
        <v>52</v>
      </c>
      <c r="B103" s="262" t="s">
        <v>11387</v>
      </c>
      <c r="C103" s="262" t="s">
        <v>3156</v>
      </c>
      <c r="D103" s="263" t="s">
        <v>836</v>
      </c>
      <c r="E103" s="262" t="s">
        <v>11388</v>
      </c>
      <c r="F103" s="262" t="s">
        <v>11389</v>
      </c>
      <c r="G103" s="262" t="s">
        <v>10961</v>
      </c>
      <c r="H103" s="262" t="s">
        <v>7458</v>
      </c>
      <c r="I103" s="262" t="s">
        <v>11390</v>
      </c>
      <c r="J103" s="310" t="s">
        <v>11391</v>
      </c>
      <c r="K103" s="607" t="str">
        <f>HYPERLINK("https://maps.google.com/?q=P%C3%A1tio%20da%20Ca%C3%A7a%20Arraiolos","🍽 Pátio da Caça")</f>
        <v>🍽 Pátio da Caça</v>
      </c>
    </row>
    <row r="104" spans="1:11" ht="85" customHeight="1" x14ac:dyDescent="0.35">
      <c r="A104" s="358">
        <v>53</v>
      </c>
      <c r="B104" s="259" t="s">
        <v>11392</v>
      </c>
      <c r="C104" s="259" t="s">
        <v>10934</v>
      </c>
      <c r="D104" s="260" t="s">
        <v>836</v>
      </c>
      <c r="E104" s="259" t="s">
        <v>11393</v>
      </c>
      <c r="F104" s="259" t="s">
        <v>11394</v>
      </c>
      <c r="G104" s="259" t="s">
        <v>10874</v>
      </c>
      <c r="H104" s="259" t="s">
        <v>7458</v>
      </c>
      <c r="I104" s="259" t="s">
        <v>11395</v>
      </c>
      <c r="J104" s="309" t="s">
        <v>11396</v>
      </c>
      <c r="K104" s="606" t="str">
        <f>HYPERLINK("https://maps.google.com/?q=O%20Alpendre%20Arraiolos","🍽 O Alpendre")</f>
        <v>🍽 O Alpendre</v>
      </c>
    </row>
    <row r="105" spans="1:11" ht="85" customHeight="1" x14ac:dyDescent="0.35">
      <c r="A105" s="352">
        <v>54</v>
      </c>
      <c r="B105" s="262" t="s">
        <v>11397</v>
      </c>
      <c r="C105" s="262" t="s">
        <v>3156</v>
      </c>
      <c r="D105" s="263" t="s">
        <v>836</v>
      </c>
      <c r="E105" s="262" t="s">
        <v>11398</v>
      </c>
      <c r="F105" s="262" t="s">
        <v>10845</v>
      </c>
      <c r="G105" s="262" t="s">
        <v>10832</v>
      </c>
      <c r="H105" s="262" t="s">
        <v>10846</v>
      </c>
      <c r="I105" s="262" t="s">
        <v>11399</v>
      </c>
      <c r="J105" s="310" t="s">
        <v>11400</v>
      </c>
      <c r="K105" s="607" t="str">
        <f>HYPERLINK("https://maps.google.com/?q=Casa%20do%20Camilo%20V.%20R.%20Sto.%20Ant%C3%B3nio","🍽 Casa do Camilo")</f>
        <v>🍽 Casa do Camilo</v>
      </c>
    </row>
    <row r="106" spans="1:11" ht="85" customHeight="1" x14ac:dyDescent="0.35">
      <c r="A106" s="358">
        <v>55</v>
      </c>
      <c r="B106" s="259" t="s">
        <v>11401</v>
      </c>
      <c r="C106" s="259" t="s">
        <v>3156</v>
      </c>
      <c r="D106" s="260" t="s">
        <v>836</v>
      </c>
      <c r="E106" s="259" t="s">
        <v>11402</v>
      </c>
      <c r="F106" s="259" t="s">
        <v>11403</v>
      </c>
      <c r="G106" s="259" t="s">
        <v>11174</v>
      </c>
      <c r="H106" s="259" t="s">
        <v>5532</v>
      </c>
      <c r="I106" s="259" t="s">
        <v>11404</v>
      </c>
      <c r="J106" s="309" t="s">
        <v>11405</v>
      </c>
      <c r="K106" s="606" t="str">
        <f>HYPERLINK("https://maps.google.com/?q=O%20Infante%20Castro%20Marim","🍽 O Infante")</f>
        <v>🍽 O Infante</v>
      </c>
    </row>
    <row r="107" spans="1:11" ht="85" customHeight="1" x14ac:dyDescent="0.35">
      <c r="A107" s="352">
        <v>56</v>
      </c>
      <c r="B107" s="262" t="s">
        <v>11406</v>
      </c>
      <c r="C107" s="262" t="s">
        <v>11407</v>
      </c>
      <c r="D107" s="263" t="s">
        <v>836</v>
      </c>
      <c r="E107" s="262" t="s">
        <v>11408</v>
      </c>
      <c r="F107" s="262" t="s">
        <v>11409</v>
      </c>
      <c r="G107" s="262" t="s">
        <v>10304</v>
      </c>
      <c r="H107" s="262" t="s">
        <v>11410</v>
      </c>
      <c r="I107" s="262" t="s">
        <v>11411</v>
      </c>
      <c r="J107" s="310" t="s">
        <v>11412</v>
      </c>
      <c r="K107" s="607" t="str">
        <f>HYPERLINK("https://maps.google.com/?q=Adega%20da%20Tila%20Quarteira","🍽 Adega da Tila")</f>
        <v>🍽 Adega da Tila</v>
      </c>
    </row>
    <row r="108" spans="1:11" ht="85" customHeight="1" x14ac:dyDescent="0.35">
      <c r="A108" s="358">
        <v>57</v>
      </c>
      <c r="B108" s="259" t="s">
        <v>11413</v>
      </c>
      <c r="C108" s="259" t="s">
        <v>3156</v>
      </c>
      <c r="D108" s="260" t="s">
        <v>836</v>
      </c>
      <c r="E108" s="259" t="s">
        <v>11414</v>
      </c>
      <c r="F108" s="259" t="s">
        <v>11415</v>
      </c>
      <c r="G108" s="259" t="s">
        <v>10874</v>
      </c>
      <c r="H108" s="259" t="s">
        <v>2164</v>
      </c>
      <c r="I108" s="259" t="s">
        <v>11416</v>
      </c>
      <c r="J108" s="309" t="s">
        <v>11417</v>
      </c>
      <c r="K108" s="606" t="str">
        <f>HYPERLINK("https://maps.google.com/?q=O%20Luar%20da%20F%C3%B3ia%20Monchique","🍽 O Luar da Fóia")</f>
        <v>🍽 O Luar da Fóia</v>
      </c>
    </row>
    <row r="109" spans="1:11" ht="85" customHeight="1" x14ac:dyDescent="0.35">
      <c r="A109" s="352">
        <v>58</v>
      </c>
      <c r="B109" s="262" t="s">
        <v>11418</v>
      </c>
      <c r="C109" s="262" t="s">
        <v>3156</v>
      </c>
      <c r="D109" s="263" t="s">
        <v>836</v>
      </c>
      <c r="E109" s="262" t="s">
        <v>11419</v>
      </c>
      <c r="F109" s="262" t="s">
        <v>11420</v>
      </c>
      <c r="G109" s="262" t="s">
        <v>11421</v>
      </c>
      <c r="H109" s="262" t="s">
        <v>2194</v>
      </c>
      <c r="I109" s="262" t="s">
        <v>11422</v>
      </c>
      <c r="J109" s="310" t="s">
        <v>11423</v>
      </c>
      <c r="K109" s="607" t="str">
        <f>HYPERLINK("https://maps.google.com/?q=O%20Castelo%20Aljezur","🍽 O Castelo")</f>
        <v>🍽 O Castelo</v>
      </c>
    </row>
    <row r="110" spans="1:11" ht="85" customHeight="1" x14ac:dyDescent="0.35">
      <c r="A110" s="358">
        <v>59</v>
      </c>
      <c r="B110" s="259" t="s">
        <v>11424</v>
      </c>
      <c r="C110" s="259" t="s">
        <v>11151</v>
      </c>
      <c r="D110" s="260" t="s">
        <v>836</v>
      </c>
      <c r="E110" s="259" t="s">
        <v>11425</v>
      </c>
      <c r="F110" s="259" t="s">
        <v>11426</v>
      </c>
      <c r="G110" s="259" t="s">
        <v>10832</v>
      </c>
      <c r="H110" s="259" t="s">
        <v>9985</v>
      </c>
      <c r="I110" s="259" t="s">
        <v>11427</v>
      </c>
      <c r="J110" s="309" t="s">
        <v>11428</v>
      </c>
      <c r="K110" s="606" t="str">
        <f>HYPERLINK("https://maps.google.com/?q=Fim%20do%20Mundo%20Vila%20do%20Bispo","🍽 Fim do Mundo")</f>
        <v>🍽 Fim do Mundo</v>
      </c>
    </row>
    <row r="111" spans="1:11" ht="85" customHeight="1" x14ac:dyDescent="0.35">
      <c r="A111" s="352">
        <v>60</v>
      </c>
      <c r="B111" s="262" t="s">
        <v>11429</v>
      </c>
      <c r="C111" s="262" t="s">
        <v>3156</v>
      </c>
      <c r="D111" s="263" t="s">
        <v>836</v>
      </c>
      <c r="E111" s="262" t="s">
        <v>11430</v>
      </c>
      <c r="F111" s="262" t="s">
        <v>11431</v>
      </c>
      <c r="G111" s="262" t="s">
        <v>10874</v>
      </c>
      <c r="H111" s="262" t="s">
        <v>9985</v>
      </c>
      <c r="I111" s="262" t="s">
        <v>11432</v>
      </c>
      <c r="J111" s="310" t="s">
        <v>11433</v>
      </c>
      <c r="K111" s="607" t="str">
        <f>HYPERLINK("https://maps.google.com/?q=Ribeira%20do%20Po%C3%A7o%20Vila%20do%20Bispo","🍽 Ribeira do Poço")</f>
        <v>🍽 Ribeira do Poço</v>
      </c>
    </row>
    <row r="112" spans="1:11" ht="85" customHeight="1" x14ac:dyDescent="0.35">
      <c r="A112" s="358">
        <v>61</v>
      </c>
      <c r="B112" s="259" t="s">
        <v>11434</v>
      </c>
      <c r="C112" s="259" t="s">
        <v>11435</v>
      </c>
      <c r="D112" s="260" t="s">
        <v>836</v>
      </c>
      <c r="E112" s="259" t="s">
        <v>11436</v>
      </c>
      <c r="F112" s="259" t="s">
        <v>11437</v>
      </c>
      <c r="G112" s="259" t="s">
        <v>11231</v>
      </c>
      <c r="H112" s="259" t="s">
        <v>9985</v>
      </c>
      <c r="I112" s="259" t="s">
        <v>11438</v>
      </c>
      <c r="J112" s="309" t="s">
        <v>11439</v>
      </c>
      <c r="K112" s="606" t="str">
        <f>HYPERLINK("https://maps.google.com/?q=Adega%20de%20Vila%20do%20Bispo%20Vila%20do%20Bispo","🍽 Adega de Vila do Bispo")</f>
        <v>🍽 Adega de Vila do Bispo</v>
      </c>
    </row>
    <row r="113" spans="1:11" ht="85" customHeight="1" x14ac:dyDescent="0.35">
      <c r="A113" s="352">
        <v>62</v>
      </c>
      <c r="B113" s="262" t="s">
        <v>11440</v>
      </c>
      <c r="C113" s="262" t="s">
        <v>11441</v>
      </c>
      <c r="D113" s="263" t="s">
        <v>836</v>
      </c>
      <c r="E113" s="262" t="s">
        <v>11442</v>
      </c>
      <c r="F113" s="262" t="s">
        <v>11443</v>
      </c>
      <c r="G113" s="262" t="s">
        <v>10961</v>
      </c>
      <c r="H113" s="262" t="s">
        <v>2164</v>
      </c>
      <c r="I113" s="262" t="s">
        <v>11444</v>
      </c>
      <c r="J113" s="310" t="s">
        <v>11445</v>
      </c>
      <c r="K113" s="607" t="str">
        <f>HYPERLINK("https://maps.google.com/?q=A%20Tasca%20do%20Petrol%20Monchique","🍽 A Tasca do Petrol")</f>
        <v>🍽 A Tasca do Petrol</v>
      </c>
    </row>
    <row r="114" spans="1:11" ht="85" customHeight="1" x14ac:dyDescent="0.35">
      <c r="A114" s="358">
        <v>63</v>
      </c>
      <c r="B114" s="259" t="s">
        <v>11446</v>
      </c>
      <c r="C114" s="259" t="s">
        <v>11447</v>
      </c>
      <c r="D114" s="260" t="s">
        <v>836</v>
      </c>
      <c r="E114" s="259" t="s">
        <v>11448</v>
      </c>
      <c r="F114" s="259" t="s">
        <v>11449</v>
      </c>
      <c r="G114" s="259" t="s">
        <v>10832</v>
      </c>
      <c r="H114" s="259" t="s">
        <v>6440</v>
      </c>
      <c r="I114" s="259" t="s">
        <v>11450</v>
      </c>
      <c r="J114" s="309" t="s">
        <v>11451</v>
      </c>
      <c r="K114" s="606" t="str">
        <f>HYPERLINK("https://maps.google.com/?q=O%20Camane%20Ferragudo","🍽 O Camane")</f>
        <v>🍽 O Camane</v>
      </c>
    </row>
    <row r="115" spans="1:11" ht="85" customHeight="1" x14ac:dyDescent="0.35">
      <c r="A115" s="352">
        <v>64</v>
      </c>
      <c r="B115" s="262" t="s">
        <v>11452</v>
      </c>
      <c r="C115" s="262" t="s">
        <v>11453</v>
      </c>
      <c r="D115" s="263" t="s">
        <v>836</v>
      </c>
      <c r="E115" s="262" t="s">
        <v>11454</v>
      </c>
      <c r="F115" s="262" t="s">
        <v>11455</v>
      </c>
      <c r="G115" s="262" t="s">
        <v>11000</v>
      </c>
      <c r="H115" s="262" t="s">
        <v>6440</v>
      </c>
      <c r="I115" s="262" t="s">
        <v>11456</v>
      </c>
      <c r="J115" s="310" t="s">
        <v>11457</v>
      </c>
      <c r="K115" s="607" t="str">
        <f>HYPERLINK("https://maps.google.com/?q=Sueste%20Ferragudo","🍽 Sueste")</f>
        <v>🍽 Sueste</v>
      </c>
    </row>
    <row r="116" spans="1:11" ht="85" customHeight="1" x14ac:dyDescent="0.35">
      <c r="A116" s="358">
        <v>65</v>
      </c>
      <c r="B116" s="259" t="s">
        <v>11458</v>
      </c>
      <c r="C116" s="259" t="s">
        <v>1757</v>
      </c>
      <c r="D116" s="260" t="s">
        <v>836</v>
      </c>
      <c r="E116" s="259" t="s">
        <v>11459</v>
      </c>
      <c r="F116" s="259" t="s">
        <v>11460</v>
      </c>
      <c r="G116" s="259" t="s">
        <v>10874</v>
      </c>
      <c r="H116" s="259" t="s">
        <v>11461</v>
      </c>
      <c r="I116" s="259" t="s">
        <v>11462</v>
      </c>
      <c r="J116" s="309" t="s">
        <v>11463</v>
      </c>
      <c r="K116" s="606" t="str">
        <f>HYPERLINK("https://maps.google.com/?q=O%20Abrigo%20do%20Pastor%20Camacha","🍽 O Abrigo do Pastor")</f>
        <v>🍽 O Abrigo do Pastor</v>
      </c>
    </row>
    <row r="117" spans="1:11" ht="85" customHeight="1" x14ac:dyDescent="0.35">
      <c r="A117" s="352">
        <v>66</v>
      </c>
      <c r="B117" s="262" t="s">
        <v>11464</v>
      </c>
      <c r="C117" s="262" t="s">
        <v>10850</v>
      </c>
      <c r="D117" s="263" t="s">
        <v>836</v>
      </c>
      <c r="E117" s="262" t="s">
        <v>11465</v>
      </c>
      <c r="F117" s="262" t="s">
        <v>11466</v>
      </c>
      <c r="G117" s="262" t="s">
        <v>10961</v>
      </c>
      <c r="H117" s="262" t="s">
        <v>8728</v>
      </c>
      <c r="I117" s="262" t="s">
        <v>11467</v>
      </c>
      <c r="J117" s="310" t="s">
        <v>11468</v>
      </c>
      <c r="K117" s="607" t="str">
        <f>HYPERLINK("https://maps.google.com/?q=A%20Filha%20do%20Mar%20S%C3%A3o%20Vicente","🍽 A Filha do Mar")</f>
        <v>🍽 A Filha do Mar</v>
      </c>
    </row>
    <row r="118" spans="1:11" ht="85" customHeight="1" x14ac:dyDescent="0.35">
      <c r="A118" s="358">
        <v>67</v>
      </c>
      <c r="B118" s="259" t="s">
        <v>11469</v>
      </c>
      <c r="C118" s="259" t="s">
        <v>3156</v>
      </c>
      <c r="D118" s="260" t="s">
        <v>836</v>
      </c>
      <c r="E118" s="259" t="s">
        <v>11470</v>
      </c>
      <c r="F118" s="259" t="s">
        <v>11471</v>
      </c>
      <c r="G118" s="259" t="s">
        <v>10839</v>
      </c>
      <c r="H118" s="259" t="s">
        <v>8728</v>
      </c>
      <c r="I118" s="259" t="s">
        <v>11472</v>
      </c>
      <c r="J118" s="309" t="s">
        <v>11473</v>
      </c>
      <c r="K118" s="606" t="str">
        <f>HYPERLINK("https://maps.google.com/?q=Orchard%20(O%20Pomar)%20S%C3%A3o%20Vicente","🍽 Orchard (O Pomar)")</f>
        <v>🍽 Orchard (O Pomar)</v>
      </c>
    </row>
    <row r="119" spans="1:11" ht="85" customHeight="1" x14ac:dyDescent="0.35">
      <c r="A119" s="352">
        <v>68</v>
      </c>
      <c r="B119" s="262" t="s">
        <v>11474</v>
      </c>
      <c r="C119" s="262" t="s">
        <v>11475</v>
      </c>
      <c r="D119" s="263" t="s">
        <v>836</v>
      </c>
      <c r="E119" s="262" t="s">
        <v>11476</v>
      </c>
      <c r="F119" s="262" t="s">
        <v>11477</v>
      </c>
      <c r="G119" s="262" t="s">
        <v>10839</v>
      </c>
      <c r="H119" s="262" t="s">
        <v>8648</v>
      </c>
      <c r="I119" s="262" t="s">
        <v>11478</v>
      </c>
      <c r="J119" s="310" t="s">
        <v>11479</v>
      </c>
      <c r="K119" s="607" t="str">
        <f>HYPERLINK("https://maps.google.com/?q=Casa%20de%20Pasto%20Justiniano%20Seixal","🍽 Casa de Pasto Justiniano")</f>
        <v>🍽 Casa de Pasto Justiniano</v>
      </c>
    </row>
    <row r="120" spans="1:11" ht="85" customHeight="1" x14ac:dyDescent="0.35">
      <c r="A120" s="358">
        <v>69</v>
      </c>
      <c r="B120" s="259" t="s">
        <v>11480</v>
      </c>
      <c r="C120" s="259" t="s">
        <v>11171</v>
      </c>
      <c r="D120" s="260" t="s">
        <v>836</v>
      </c>
      <c r="E120" s="259" t="s">
        <v>11481</v>
      </c>
      <c r="F120" s="259" t="s">
        <v>11482</v>
      </c>
      <c r="G120" s="259" t="s">
        <v>10961</v>
      </c>
      <c r="H120" s="259" t="s">
        <v>7921</v>
      </c>
      <c r="I120" s="259" t="s">
        <v>11483</v>
      </c>
      <c r="J120" s="309" t="s">
        <v>11484</v>
      </c>
      <c r="K120" s="606" t="str">
        <f>HYPERLINK("https://maps.google.com/?q=Adega%20da%20Ponta%20do%20Sol%20Ponta%20do%20Sol","🍽 Adega da Ponta do Sol")</f>
        <v>🍽 Adega da Ponta do Sol</v>
      </c>
    </row>
    <row r="121" spans="1:11" ht="85" customHeight="1" x14ac:dyDescent="0.35">
      <c r="A121" s="352">
        <v>70</v>
      </c>
      <c r="B121" s="262" t="s">
        <v>11485</v>
      </c>
      <c r="C121" s="262" t="s">
        <v>3156</v>
      </c>
      <c r="D121" s="263" t="s">
        <v>836</v>
      </c>
      <c r="E121" s="262" t="s">
        <v>11486</v>
      </c>
      <c r="F121" s="262" t="s">
        <v>11487</v>
      </c>
      <c r="G121" s="262" t="s">
        <v>10839</v>
      </c>
      <c r="H121" s="262" t="s">
        <v>11488</v>
      </c>
      <c r="I121" s="262" t="s">
        <v>11489</v>
      </c>
      <c r="J121" s="310" t="s">
        <v>11490</v>
      </c>
      <c r="K121" s="607" t="str">
        <f>HYPERLINK("https://maps.google.com/?q=O%20Forno%20Ponta%20do%20Pargo","🍽 O Forno")</f>
        <v>🍽 O Forno</v>
      </c>
    </row>
    <row r="122" spans="1:11" ht="85" customHeight="1" x14ac:dyDescent="0.35">
      <c r="A122" s="358">
        <v>71</v>
      </c>
      <c r="B122" s="259" t="s">
        <v>11491</v>
      </c>
      <c r="C122" s="259" t="s">
        <v>11492</v>
      </c>
      <c r="D122" s="260" t="s">
        <v>836</v>
      </c>
      <c r="E122" s="259" t="s">
        <v>11493</v>
      </c>
      <c r="F122" s="259" t="s">
        <v>11494</v>
      </c>
      <c r="G122" s="259" t="s">
        <v>10961</v>
      </c>
      <c r="H122" s="259" t="s">
        <v>8165</v>
      </c>
      <c r="I122" s="259" t="s">
        <v>11495</v>
      </c>
      <c r="J122" s="309" t="s">
        <v>11496</v>
      </c>
      <c r="K122" s="606" t="str">
        <f>HYPERLINK("https://maps.google.com/?q=New%20Wave%20Paul%20do%20Mar","🍽 New Wave")</f>
        <v>🍽 New Wave</v>
      </c>
    </row>
    <row r="123" spans="1:11" ht="85" customHeight="1" x14ac:dyDescent="0.35">
      <c r="A123" s="352">
        <v>72</v>
      </c>
      <c r="B123" s="262" t="s">
        <v>11497</v>
      </c>
      <c r="C123" s="262" t="s">
        <v>11498</v>
      </c>
      <c r="D123" s="263" t="s">
        <v>836</v>
      </c>
      <c r="E123" s="262" t="s">
        <v>11499</v>
      </c>
      <c r="F123" s="262" t="s">
        <v>11500</v>
      </c>
      <c r="G123" s="262" t="s">
        <v>10839</v>
      </c>
      <c r="H123" s="262" t="s">
        <v>6690</v>
      </c>
      <c r="I123" s="262" t="s">
        <v>11501</v>
      </c>
      <c r="J123" s="310" t="s">
        <v>11502</v>
      </c>
      <c r="K123" s="607" t="str">
        <f>HYPERLINK("https://maps.google.com/?q=Papo%20Cheio%20Santa%20Cruz","🍽 Papo Cheio")</f>
        <v>🍽 Papo Cheio</v>
      </c>
    </row>
    <row r="124" spans="1:11" ht="85" customHeight="1" x14ac:dyDescent="0.35">
      <c r="A124" s="358">
        <v>73</v>
      </c>
      <c r="B124" s="259" t="s">
        <v>11503</v>
      </c>
      <c r="C124" s="259" t="s">
        <v>11504</v>
      </c>
      <c r="D124" s="260" t="s">
        <v>836</v>
      </c>
      <c r="E124" s="259" t="s">
        <v>11505</v>
      </c>
      <c r="F124" s="259" t="s">
        <v>11506</v>
      </c>
      <c r="G124" s="259" t="s">
        <v>10961</v>
      </c>
      <c r="H124" s="259" t="s">
        <v>11461</v>
      </c>
      <c r="I124" s="259" t="s">
        <v>11507</v>
      </c>
      <c r="J124" s="309" t="s">
        <v>11508</v>
      </c>
      <c r="K124" s="606" t="str">
        <f>HYPERLINK("https://maps.google.com/?q=Adega%20do%20Pomar%20Camacha","🍽 Adega do Pomar")</f>
        <v>🍽 Adega do Pomar</v>
      </c>
    </row>
    <row r="125" spans="1:11" ht="85" customHeight="1" x14ac:dyDescent="0.35">
      <c r="A125" s="352">
        <v>74</v>
      </c>
      <c r="B125" s="262" t="s">
        <v>11509</v>
      </c>
      <c r="C125" s="262" t="s">
        <v>10856</v>
      </c>
      <c r="D125" s="263" t="s">
        <v>836</v>
      </c>
      <c r="E125" s="262" t="s">
        <v>11510</v>
      </c>
      <c r="F125" s="262" t="s">
        <v>11511</v>
      </c>
      <c r="G125" s="262" t="s">
        <v>10874</v>
      </c>
      <c r="H125" s="262" t="s">
        <v>2848</v>
      </c>
      <c r="I125" s="262" t="s">
        <v>11512</v>
      </c>
      <c r="J125" s="310" t="s">
        <v>11513</v>
      </c>
      <c r="K125" s="607" t="str">
        <f>HYPERLINK("https://maps.google.com/?q=O%20Amaro%20S%C3%A3o%20Jorge","🍽 O Amaro")</f>
        <v>🍽 O Amaro</v>
      </c>
    </row>
    <row r="126" spans="1:11" ht="85" customHeight="1" x14ac:dyDescent="0.35">
      <c r="A126" s="358">
        <v>75</v>
      </c>
      <c r="B126" s="259" t="s">
        <v>11514</v>
      </c>
      <c r="C126" s="259" t="s">
        <v>11515</v>
      </c>
      <c r="D126" s="260" t="s">
        <v>836</v>
      </c>
      <c r="E126" s="259" t="s">
        <v>11516</v>
      </c>
      <c r="F126" s="259" t="s">
        <v>11517</v>
      </c>
      <c r="G126" s="259" t="s">
        <v>10304</v>
      </c>
      <c r="H126" s="259" t="s">
        <v>2848</v>
      </c>
      <c r="I126" s="259" t="s">
        <v>11518</v>
      </c>
      <c r="J126" s="309" t="s">
        <v>11519</v>
      </c>
      <c r="K126" s="606" t="str">
        <f>HYPERLINK("https://maps.google.com/?q=Sabores%20da%20Ilha%20S%C3%A3o%20Jorge","🍽 Sabores da Ilha")</f>
        <v>🍽 Sabores da Ilha</v>
      </c>
    </row>
    <row r="127" spans="1:11" ht="85" customHeight="1" x14ac:dyDescent="0.35">
      <c r="A127" s="352">
        <v>76</v>
      </c>
      <c r="B127" s="262" t="s">
        <v>11520</v>
      </c>
      <c r="C127" s="262" t="s">
        <v>11521</v>
      </c>
      <c r="D127" s="263" t="s">
        <v>836</v>
      </c>
      <c r="E127" s="262" t="s">
        <v>11522</v>
      </c>
      <c r="F127" s="262" t="s">
        <v>11523</v>
      </c>
      <c r="G127" s="262" t="s">
        <v>11231</v>
      </c>
      <c r="H127" s="262" t="s">
        <v>2850</v>
      </c>
      <c r="I127" s="262" t="s">
        <v>11524</v>
      </c>
      <c r="J127" s="310" t="s">
        <v>11525</v>
      </c>
      <c r="K127" s="607" t="str">
        <f>HYPERLINK("https://maps.google.com/?q=Central%20Pub%20Santa%20Maria","🍽 Central Pub")</f>
        <v>🍽 Central Pub</v>
      </c>
    </row>
    <row r="128" spans="1:11" ht="85" customHeight="1" x14ac:dyDescent="0.35">
      <c r="A128" s="358">
        <v>77</v>
      </c>
      <c r="B128" s="259" t="s">
        <v>3987</v>
      </c>
      <c r="C128" s="259" t="s">
        <v>11526</v>
      </c>
      <c r="D128" s="260" t="s">
        <v>836</v>
      </c>
      <c r="E128" s="259" t="s">
        <v>11527</v>
      </c>
      <c r="F128" s="259" t="s">
        <v>11528</v>
      </c>
      <c r="G128" s="259" t="s">
        <v>11105</v>
      </c>
      <c r="H128" s="259" t="s">
        <v>11529</v>
      </c>
      <c r="I128" s="259" t="s">
        <v>11530</v>
      </c>
      <c r="J128" s="309" t="s">
        <v>11531</v>
      </c>
      <c r="K128" s="606" t="str">
        <f>HYPERLINK("https://maps.google.com/?q=O%20Abel%20Gimonde","🍽 O Abel")</f>
        <v>🍽 O Abel</v>
      </c>
    </row>
    <row r="129" spans="1:11" ht="85" customHeight="1" x14ac:dyDescent="0.35">
      <c r="A129" s="352">
        <v>78</v>
      </c>
      <c r="B129" s="262" t="s">
        <v>3785</v>
      </c>
      <c r="C129" s="262" t="s">
        <v>10856</v>
      </c>
      <c r="D129" s="263" t="s">
        <v>836</v>
      </c>
      <c r="E129" s="262" t="s">
        <v>11532</v>
      </c>
      <c r="F129" s="262" t="s">
        <v>11533</v>
      </c>
      <c r="G129" s="262" t="s">
        <v>11534</v>
      </c>
      <c r="H129" s="262" t="s">
        <v>1773</v>
      </c>
      <c r="I129" s="262" t="s">
        <v>11535</v>
      </c>
      <c r="J129" s="310" t="s">
        <v>11536</v>
      </c>
      <c r="K129" s="607" t="str">
        <f>HYPERLINK("https://maps.google.com/?q=O%20Gaveto%20Matosinhos","🍽 O Gaveto")</f>
        <v>🍽 O Gaveto</v>
      </c>
    </row>
    <row r="130" spans="1:11" ht="85" customHeight="1" x14ac:dyDescent="0.35">
      <c r="A130" s="358">
        <v>79</v>
      </c>
      <c r="B130" s="259" t="s">
        <v>11537</v>
      </c>
      <c r="C130" s="259" t="s">
        <v>11538</v>
      </c>
      <c r="D130" s="260" t="s">
        <v>836</v>
      </c>
      <c r="E130" s="259" t="s">
        <v>11539</v>
      </c>
      <c r="F130" s="259" t="s">
        <v>11540</v>
      </c>
      <c r="G130" s="259" t="s">
        <v>10839</v>
      </c>
      <c r="H130" s="259" t="s">
        <v>1985</v>
      </c>
      <c r="I130" s="259" t="s">
        <v>11541</v>
      </c>
      <c r="J130" s="309" t="s">
        <v>11542</v>
      </c>
      <c r="K130" s="606" t="str">
        <f>HYPERLINK("https://maps.google.com/?q=Adega%20Ponte%20de%20Lima%20Ponte%20de%20Lima","🍽 Adega Ponte de Lima")</f>
        <v>🍽 Adega Ponte de Lima</v>
      </c>
    </row>
    <row r="131" spans="1:11" ht="85" customHeight="1" x14ac:dyDescent="0.35">
      <c r="A131" s="352">
        <v>80</v>
      </c>
      <c r="B131" s="262" t="s">
        <v>3894</v>
      </c>
      <c r="C131" s="262" t="s">
        <v>3156</v>
      </c>
      <c r="D131" s="263" t="s">
        <v>836</v>
      </c>
      <c r="E131" s="262" t="s">
        <v>11543</v>
      </c>
      <c r="F131" s="262" t="s">
        <v>11544</v>
      </c>
      <c r="G131" s="262" t="s">
        <v>10832</v>
      </c>
      <c r="H131" s="262" t="s">
        <v>5857</v>
      </c>
      <c r="I131" s="262" t="s">
        <v>11545</v>
      </c>
      <c r="J131" s="310" t="s">
        <v>11546</v>
      </c>
      <c r="K131" s="607" t="str">
        <f>HYPERLINK("https://maps.google.com/?q=Adega%20do%20Sossego%20Melga%C3%A7o","🍽 Adega do Sossego")</f>
        <v>🍽 Adega do Sossego</v>
      </c>
    </row>
    <row r="132" spans="1:11" ht="85" customHeight="1" x14ac:dyDescent="0.35">
      <c r="A132" s="358">
        <v>81</v>
      </c>
      <c r="B132" s="259" t="s">
        <v>11547</v>
      </c>
      <c r="C132" s="259" t="s">
        <v>11548</v>
      </c>
      <c r="D132" s="260" t="s">
        <v>836</v>
      </c>
      <c r="E132" s="259" t="s">
        <v>11549</v>
      </c>
      <c r="F132" s="259" t="s">
        <v>11550</v>
      </c>
      <c r="G132" s="259" t="s">
        <v>10874</v>
      </c>
      <c r="H132" s="259" t="s">
        <v>2023</v>
      </c>
      <c r="I132" s="259" t="s">
        <v>11551</v>
      </c>
      <c r="J132" s="309" t="s">
        <v>11552</v>
      </c>
      <c r="K132" s="606" t="str">
        <f>HYPERLINK("https://maps.google.com/?q=O%20Careto%20Vinhais","🍽 O Careto")</f>
        <v>🍽 O Careto</v>
      </c>
    </row>
    <row r="133" spans="1:11" ht="85" customHeight="1" x14ac:dyDescent="0.35">
      <c r="A133" s="352">
        <v>82</v>
      </c>
      <c r="B133" s="262" t="s">
        <v>11553</v>
      </c>
      <c r="C133" s="262" t="s">
        <v>11554</v>
      </c>
      <c r="D133" s="263" t="s">
        <v>836</v>
      </c>
      <c r="E133" s="262" t="s">
        <v>11555</v>
      </c>
      <c r="F133" s="262" t="s">
        <v>11556</v>
      </c>
      <c r="G133" s="262" t="s">
        <v>10839</v>
      </c>
      <c r="H133" s="262" t="s">
        <v>9798</v>
      </c>
      <c r="I133" s="262" t="s">
        <v>11557</v>
      </c>
      <c r="J133" s="310" t="s">
        <v>11558</v>
      </c>
      <c r="K133" s="607" t="str">
        <f>HYPERLINK("https://maps.google.com/?q=Casa%20Pasto%20O%20Cardoso%20Ger%C3%AAs","🍽 Casa Pasto O Cardoso")</f>
        <v>🍽 Casa Pasto O Cardoso</v>
      </c>
    </row>
    <row r="134" spans="1:11" ht="85" customHeight="1" x14ac:dyDescent="0.35">
      <c r="A134" s="358">
        <v>83</v>
      </c>
      <c r="B134" s="259" t="s">
        <v>11559</v>
      </c>
      <c r="C134" s="259" t="s">
        <v>1757</v>
      </c>
      <c r="D134" s="260" t="s">
        <v>836</v>
      </c>
      <c r="E134" s="259" t="s">
        <v>11560</v>
      </c>
      <c r="F134" s="259" t="s">
        <v>11561</v>
      </c>
      <c r="G134" s="259" t="s">
        <v>10304</v>
      </c>
      <c r="H134" s="259" t="s">
        <v>11562</v>
      </c>
      <c r="I134" s="259" t="s">
        <v>11563</v>
      </c>
      <c r="J134" s="309" t="s">
        <v>11564</v>
      </c>
      <c r="K134" s="606" t="str">
        <f>HYPERLINK("https://maps.google.com/?q=Lurdes%20Capela%20Vila%20do%20Ger%C3%AAs","🍽 Lurdes Capela")</f>
        <v>🍽 Lurdes Capela</v>
      </c>
    </row>
    <row r="135" spans="1:11" ht="85" customHeight="1" x14ac:dyDescent="0.35">
      <c r="A135" s="352">
        <v>84</v>
      </c>
      <c r="B135" s="262" t="s">
        <v>11565</v>
      </c>
      <c r="C135" s="262" t="s">
        <v>10850</v>
      </c>
      <c r="D135" s="263" t="s">
        <v>836</v>
      </c>
      <c r="E135" s="262" t="s">
        <v>11566</v>
      </c>
      <c r="F135" s="262" t="s">
        <v>11567</v>
      </c>
      <c r="G135" s="262" t="s">
        <v>10825</v>
      </c>
      <c r="H135" s="262" t="s">
        <v>1911</v>
      </c>
      <c r="I135" s="262" t="s">
        <v>11568</v>
      </c>
      <c r="J135" s="310" t="s">
        <v>11569</v>
      </c>
      <c r="K135" s="607" t="str">
        <f>HYPERLINK("https://maps.google.com/?q=O%20Aqu%C3%A1rio%20Esposende","🍽 O Aquário")</f>
        <v>🍽 O Aquário</v>
      </c>
    </row>
    <row r="136" spans="1:11" ht="85" customHeight="1" x14ac:dyDescent="0.35">
      <c r="A136" s="358">
        <v>85</v>
      </c>
      <c r="B136" s="259" t="s">
        <v>11570</v>
      </c>
      <c r="C136" s="259" t="s">
        <v>11571</v>
      </c>
      <c r="D136" s="260" t="s">
        <v>836</v>
      </c>
      <c r="E136" s="259" t="s">
        <v>11572</v>
      </c>
      <c r="F136" s="259" t="s">
        <v>11573</v>
      </c>
      <c r="G136" s="259" t="s">
        <v>10961</v>
      </c>
      <c r="H136" s="259" t="s">
        <v>11574</v>
      </c>
      <c r="I136" s="259" t="s">
        <v>11575</v>
      </c>
      <c r="J136" s="309" t="s">
        <v>11576</v>
      </c>
      <c r="K136" s="606" t="str">
        <f>HYPERLINK("https://maps.google.com/?q=Adega%20Reg.%20Bairrada%20Vila%20Nova%20Gaia","🍽 Adega Reg. Bairrada")</f>
        <v>🍽 Adega Reg. Bairrada</v>
      </c>
    </row>
    <row r="137" spans="1:11" ht="85" customHeight="1" x14ac:dyDescent="0.35">
      <c r="A137" s="352">
        <v>86</v>
      </c>
      <c r="B137" s="262" t="s">
        <v>11577</v>
      </c>
      <c r="C137" s="262" t="s">
        <v>1228</v>
      </c>
      <c r="D137" s="263" t="s">
        <v>836</v>
      </c>
      <c r="E137" s="262" t="s">
        <v>11578</v>
      </c>
      <c r="F137" s="262" t="s">
        <v>11579</v>
      </c>
      <c r="G137" s="262" t="s">
        <v>10839</v>
      </c>
      <c r="H137" s="262" t="s">
        <v>7973</v>
      </c>
      <c r="I137" s="262" t="s">
        <v>11580</v>
      </c>
      <c r="J137" s="310" t="s">
        <v>11581</v>
      </c>
      <c r="K137" s="607" t="str">
        <f>HYPERLINK("https://maps.google.com/?q=O%20Toucinho%20Almeirim","🍽 O Toucinho")</f>
        <v>🍽 O Toucinho</v>
      </c>
    </row>
    <row r="138" spans="1:11" ht="85" customHeight="1" x14ac:dyDescent="0.35">
      <c r="A138" s="358">
        <v>87</v>
      </c>
      <c r="B138" s="259" t="s">
        <v>11582</v>
      </c>
      <c r="C138" s="259" t="s">
        <v>3156</v>
      </c>
      <c r="D138" s="260" t="s">
        <v>836</v>
      </c>
      <c r="E138" s="259" t="s">
        <v>11583</v>
      </c>
      <c r="F138" s="259" t="s">
        <v>11584</v>
      </c>
      <c r="G138" s="259" t="s">
        <v>10839</v>
      </c>
      <c r="H138" s="259" t="s">
        <v>5501</v>
      </c>
      <c r="I138" s="259" t="s">
        <v>11585</v>
      </c>
      <c r="J138" s="309" t="s">
        <v>11586</v>
      </c>
      <c r="K138" s="606" t="str">
        <f>HYPERLINK("https://maps.google.com/?q=Taberna%20do%20Quinzico%20Santar%C3%A9m","🍽 Taberna do Quinzico")</f>
        <v>🍽 Taberna do Quinzico</v>
      </c>
    </row>
    <row r="139" spans="1:11" ht="85" customHeight="1" x14ac:dyDescent="0.35">
      <c r="A139" s="352">
        <v>88</v>
      </c>
      <c r="B139" s="262" t="s">
        <v>11587</v>
      </c>
      <c r="C139" s="262" t="s">
        <v>8437</v>
      </c>
      <c r="D139" s="263" t="s">
        <v>836</v>
      </c>
      <c r="E139" s="262" t="s">
        <v>11588</v>
      </c>
      <c r="F139" s="262" t="s">
        <v>11589</v>
      </c>
      <c r="G139" s="262" t="s">
        <v>10961</v>
      </c>
      <c r="H139" s="262" t="s">
        <v>11590</v>
      </c>
      <c r="I139" s="262" t="s">
        <v>11591</v>
      </c>
      <c r="J139" s="310" t="s">
        <v>11592</v>
      </c>
      <c r="K139" s="607" t="str">
        <f>HYPERLINK("https://maps.google.com/?q=Casa%20das%20Enguias%20Salvaterra","🍽 Casa das Enguias")</f>
        <v>🍽 Casa das Enguias</v>
      </c>
    </row>
    <row r="140" spans="1:11" ht="85" customHeight="1" x14ac:dyDescent="0.35">
      <c r="A140" s="358">
        <v>89</v>
      </c>
      <c r="B140" s="259" t="s">
        <v>11593</v>
      </c>
      <c r="C140" s="259" t="s">
        <v>3156</v>
      </c>
      <c r="D140" s="260" t="s">
        <v>836</v>
      </c>
      <c r="E140" s="259" t="s">
        <v>11594</v>
      </c>
      <c r="F140" s="259" t="s">
        <v>11595</v>
      </c>
      <c r="G140" s="259" t="s">
        <v>10304</v>
      </c>
      <c r="H140" s="259" t="s">
        <v>2555</v>
      </c>
      <c r="I140" s="259" t="s">
        <v>11596</v>
      </c>
      <c r="J140" s="309" t="s">
        <v>11597</v>
      </c>
      <c r="K140" s="606" t="str">
        <f>HYPERLINK("https://maps.google.com/?q=O%20Galego%20Abrantes","🍽 O Galego")</f>
        <v>🍽 O Galego</v>
      </c>
    </row>
    <row r="141" spans="1:11" ht="85" customHeight="1" x14ac:dyDescent="0.35">
      <c r="A141" s="352">
        <v>90</v>
      </c>
      <c r="B141" s="262" t="s">
        <v>11598</v>
      </c>
      <c r="C141" s="262" t="s">
        <v>10856</v>
      </c>
      <c r="D141" s="263" t="s">
        <v>836</v>
      </c>
      <c r="E141" s="262" t="s">
        <v>11599</v>
      </c>
      <c r="F141" s="262" t="s">
        <v>11600</v>
      </c>
      <c r="G141" s="262" t="s">
        <v>10825</v>
      </c>
      <c r="H141" s="262" t="s">
        <v>11601</v>
      </c>
      <c r="I141" s="262" t="s">
        <v>11602</v>
      </c>
      <c r="J141" s="310" t="s">
        <v>11603</v>
      </c>
      <c r="K141" s="607" t="str">
        <f>HYPERLINK("https://maps.google.com/?q=Eduardo%20das%20Conquilhas%20Parede","🍽 Eduardo das Conquilhas")</f>
        <v>🍽 Eduardo das Conquilhas</v>
      </c>
    </row>
    <row r="142" spans="1:11" ht="85" customHeight="1" x14ac:dyDescent="0.35">
      <c r="A142" s="358">
        <v>91</v>
      </c>
      <c r="B142" s="259" t="s">
        <v>11604</v>
      </c>
      <c r="C142" s="259" t="s">
        <v>11605</v>
      </c>
      <c r="D142" s="260" t="s">
        <v>836</v>
      </c>
      <c r="E142" s="259" t="s">
        <v>11606</v>
      </c>
      <c r="F142" s="259" t="s">
        <v>11589</v>
      </c>
      <c r="G142" s="259" t="s">
        <v>10874</v>
      </c>
      <c r="H142" s="259" t="s">
        <v>11590</v>
      </c>
      <c r="I142" s="259" t="s">
        <v>11607</v>
      </c>
      <c r="J142" s="309" t="s">
        <v>11608</v>
      </c>
      <c r="K142" s="606" t="str">
        <f>HYPERLINK("https://maps.google.com/?q=O%20Escaroupim%20Salvaterra","🍽 O Escaroupim")</f>
        <v>🍽 O Escaroupim</v>
      </c>
    </row>
    <row r="143" spans="1:11" ht="85" customHeight="1" x14ac:dyDescent="0.35">
      <c r="A143" s="352">
        <v>92</v>
      </c>
      <c r="B143" s="262" t="s">
        <v>11609</v>
      </c>
      <c r="C143" s="262" t="s">
        <v>11610</v>
      </c>
      <c r="D143" s="263" t="s">
        <v>836</v>
      </c>
      <c r="E143" s="262" t="s">
        <v>11611</v>
      </c>
      <c r="F143" s="262" t="s">
        <v>11612</v>
      </c>
      <c r="G143" s="262" t="s">
        <v>10961</v>
      </c>
      <c r="H143" s="262" t="s">
        <v>11613</v>
      </c>
      <c r="I143" s="262" t="s">
        <v>11614</v>
      </c>
      <c r="J143" s="310" t="s">
        <v>11615</v>
      </c>
      <c r="K143" s="607" t="str">
        <f>HYPERLINK("https://maps.google.com/?q=O%20Salero%20V.%20F.%20Xira","🍽 O Salero")</f>
        <v>🍽 O Salero</v>
      </c>
    </row>
    <row r="144" spans="1:11" ht="85" customHeight="1" x14ac:dyDescent="0.35">
      <c r="A144" s="358">
        <v>93</v>
      </c>
      <c r="B144" s="259" t="s">
        <v>11070</v>
      </c>
      <c r="C144" s="259" t="s">
        <v>3156</v>
      </c>
      <c r="D144" s="260" t="s">
        <v>836</v>
      </c>
      <c r="E144" s="259" t="s">
        <v>11616</v>
      </c>
      <c r="F144" s="259" t="s">
        <v>11617</v>
      </c>
      <c r="G144" s="259" t="s">
        <v>10304</v>
      </c>
      <c r="H144" s="259" t="s">
        <v>11613</v>
      </c>
      <c r="I144" s="259" t="s">
        <v>11618</v>
      </c>
      <c r="J144" s="309" t="s">
        <v>11619</v>
      </c>
      <c r="K144" s="606" t="str">
        <f>HYPERLINK("https://maps.google.com/?q=Taberna%20do%20Largo%20V.%20F.%20Xira","🍽 Taberna do Largo")</f>
        <v>🍽 Taberna do Largo</v>
      </c>
    </row>
    <row r="145" spans="1:11" ht="85" customHeight="1" x14ac:dyDescent="0.35">
      <c r="A145" s="352">
        <v>94</v>
      </c>
      <c r="B145" s="262" t="s">
        <v>11620</v>
      </c>
      <c r="C145" s="262" t="s">
        <v>10934</v>
      </c>
      <c r="D145" s="263" t="s">
        <v>836</v>
      </c>
      <c r="E145" s="262" t="s">
        <v>11240</v>
      </c>
      <c r="F145" s="262" t="s">
        <v>11241</v>
      </c>
      <c r="G145" s="262" t="s">
        <v>10832</v>
      </c>
      <c r="H145" s="262" t="s">
        <v>11242</v>
      </c>
      <c r="I145" s="262" t="s">
        <v>11621</v>
      </c>
      <c r="J145" s="310" t="s">
        <v>11622</v>
      </c>
      <c r="K145" s="607" t="str">
        <f>HYPERLINK("https://maps.google.com/?q=Dom%20Jos%C3%A9%20Bombarral","🍽 Dom José")</f>
        <v>🍽 Dom José</v>
      </c>
    </row>
    <row r="146" spans="1:11" ht="85" customHeight="1" x14ac:dyDescent="0.35">
      <c r="A146" s="358">
        <v>95</v>
      </c>
      <c r="B146" s="259" t="s">
        <v>11234</v>
      </c>
      <c r="C146" s="259" t="s">
        <v>11623</v>
      </c>
      <c r="D146" s="260" t="s">
        <v>836</v>
      </c>
      <c r="E146" s="259" t="s">
        <v>4859</v>
      </c>
      <c r="F146" s="259" t="s">
        <v>11235</v>
      </c>
      <c r="G146" s="259" t="s">
        <v>10304</v>
      </c>
      <c r="H146" s="259" t="s">
        <v>1113</v>
      </c>
      <c r="I146" s="259" t="s">
        <v>11624</v>
      </c>
      <c r="J146" s="309" t="s">
        <v>11625</v>
      </c>
      <c r="K146" s="606" t="str">
        <f>HYPERLINK("https://maps.google.com/?q=Adega%20do%20Albertino%20%C3%93bidos","🍽 Adega do Albertino")</f>
        <v>🍽 Adega do Albertino</v>
      </c>
    </row>
    <row r="147" spans="1:11" ht="85" customHeight="1" x14ac:dyDescent="0.35">
      <c r="A147" s="352">
        <v>96</v>
      </c>
      <c r="B147" s="262" t="s">
        <v>11626</v>
      </c>
      <c r="C147" s="262" t="s">
        <v>11627</v>
      </c>
      <c r="D147" s="263" t="s">
        <v>836</v>
      </c>
      <c r="E147" s="262" t="s">
        <v>11628</v>
      </c>
      <c r="F147" s="262" t="s">
        <v>11629</v>
      </c>
      <c r="G147" s="262" t="s">
        <v>10839</v>
      </c>
      <c r="H147" s="262" t="s">
        <v>11613</v>
      </c>
      <c r="I147" s="262" t="s">
        <v>11630</v>
      </c>
      <c r="J147" s="310" t="s">
        <v>11631</v>
      </c>
      <c r="K147" s="607" t="str">
        <f>HYPERLINK("https://maps.google.com/?q=Sabores%20da%20Lez%C3%ADria%20V.%20F.%20Xira","🍽 Sabores da Lezíria")</f>
        <v>🍽 Sabores da Lezíria</v>
      </c>
    </row>
    <row r="148" spans="1:11" ht="85" customHeight="1" x14ac:dyDescent="0.35">
      <c r="A148" s="358">
        <v>97</v>
      </c>
      <c r="B148" s="259" t="s">
        <v>11632</v>
      </c>
      <c r="C148" s="259" t="s">
        <v>10856</v>
      </c>
      <c r="D148" s="260" t="s">
        <v>836</v>
      </c>
      <c r="E148" s="259" t="s">
        <v>11633</v>
      </c>
      <c r="F148" s="259" t="s">
        <v>11634</v>
      </c>
      <c r="G148" s="259" t="s">
        <v>10825</v>
      </c>
      <c r="H148" s="259" t="s">
        <v>8122</v>
      </c>
      <c r="I148" s="259" t="s">
        <v>11635</v>
      </c>
      <c r="J148" s="309" t="s">
        <v>11636</v>
      </c>
      <c r="K148" s="606" t="str">
        <f>HYPERLINK("https://maps.google.com/?q=Eduardo%20Conquilhas%20II%20Carcavelos","🍽 Eduardo Conquilhas II")</f>
        <v>🍽 Eduardo Conquilhas II</v>
      </c>
    </row>
    <row r="149" spans="1:11" ht="85" customHeight="1" x14ac:dyDescent="0.35">
      <c r="A149" s="352">
        <v>98</v>
      </c>
      <c r="B149" s="262" t="s">
        <v>3851</v>
      </c>
      <c r="C149" s="262" t="s">
        <v>3156</v>
      </c>
      <c r="D149" s="263" t="s">
        <v>836</v>
      </c>
      <c r="E149" s="262" t="s">
        <v>11637</v>
      </c>
      <c r="F149" s="262" t="s">
        <v>11638</v>
      </c>
      <c r="G149" s="262" t="s">
        <v>10839</v>
      </c>
      <c r="H149" s="262" t="s">
        <v>1113</v>
      </c>
      <c r="I149" s="262" t="s">
        <v>11639</v>
      </c>
      <c r="J149" s="310" t="s">
        <v>11640</v>
      </c>
      <c r="K149" s="607" t="str">
        <f>HYPERLINK("https://maps.google.com/?q=Taberna%20do%20Adro%20%C3%93bidos","🍽 Taberna do Adro")</f>
        <v>🍽 Taberna do Adro</v>
      </c>
    </row>
    <row r="150" spans="1:11" ht="22" customHeight="1" x14ac:dyDescent="0.35">
      <c r="A150" s="1480" t="s">
        <v>11641</v>
      </c>
      <c r="B150" s="1313"/>
      <c r="C150" s="1313"/>
      <c r="D150" s="1313"/>
      <c r="E150" s="1313"/>
      <c r="F150" s="1313"/>
      <c r="G150" s="1313"/>
      <c r="H150" s="1313"/>
      <c r="I150" s="1313"/>
      <c r="J150" s="1313"/>
    </row>
    <row r="151" spans="1:11" ht="85" customHeight="1" x14ac:dyDescent="0.35">
      <c r="A151" s="360">
        <v>1</v>
      </c>
      <c r="B151" s="245" t="s">
        <v>11642</v>
      </c>
      <c r="C151" s="245" t="s">
        <v>11643</v>
      </c>
      <c r="D151" s="246" t="s">
        <v>913</v>
      </c>
      <c r="E151" s="245" t="s">
        <v>11644</v>
      </c>
      <c r="F151" s="245" t="s">
        <v>11645</v>
      </c>
      <c r="G151" s="245" t="s">
        <v>10839</v>
      </c>
      <c r="H151" s="245" t="s">
        <v>6555</v>
      </c>
      <c r="I151" s="245" t="s">
        <v>11646</v>
      </c>
      <c r="J151" s="311" t="s">
        <v>11647</v>
      </c>
      <c r="K151" s="608" t="str">
        <f>HYPERLINK("https://maps.google.com/?q=Adega%20do%20Isaias%20Torres%20Vedras","🍽 Adega do Isaias")</f>
        <v>🍽 Adega do Isaias</v>
      </c>
    </row>
    <row r="152" spans="1:11" ht="85" customHeight="1" x14ac:dyDescent="0.35">
      <c r="A152" s="340">
        <v>2</v>
      </c>
      <c r="B152" s="248" t="s">
        <v>11648</v>
      </c>
      <c r="C152" s="248" t="s">
        <v>10836</v>
      </c>
      <c r="D152" s="249" t="s">
        <v>913</v>
      </c>
      <c r="E152" s="248" t="s">
        <v>11649</v>
      </c>
      <c r="F152" s="248" t="s">
        <v>11650</v>
      </c>
      <c r="G152" s="248" t="s">
        <v>11651</v>
      </c>
      <c r="H152" s="248" t="s">
        <v>2567</v>
      </c>
      <c r="I152" s="248" t="s">
        <v>11652</v>
      </c>
      <c r="J152" s="312" t="s">
        <v>11653</v>
      </c>
      <c r="K152" s="609" t="str">
        <f>HYPERLINK("https://maps.google.com/?q=Culto%20da%20Tasca%20Sintra","🍽 Culto da Tasca")</f>
        <v>🍽 Culto da Tasca</v>
      </c>
    </row>
    <row r="153" spans="1:11" ht="85" customHeight="1" x14ac:dyDescent="0.35">
      <c r="A153" s="360">
        <v>3</v>
      </c>
      <c r="B153" s="245" t="s">
        <v>11654</v>
      </c>
      <c r="C153" s="245" t="s">
        <v>11285</v>
      </c>
      <c r="D153" s="246" t="s">
        <v>913</v>
      </c>
      <c r="E153" s="245" t="s">
        <v>11655</v>
      </c>
      <c r="F153" s="245" t="s">
        <v>11656</v>
      </c>
      <c r="G153" s="245" t="s">
        <v>10304</v>
      </c>
      <c r="H153" s="245" t="s">
        <v>11303</v>
      </c>
      <c r="I153" s="245" t="s">
        <v>11657</v>
      </c>
      <c r="J153" s="311" t="s">
        <v>11658</v>
      </c>
      <c r="K153" s="608" t="str">
        <f>HYPERLINK("https://maps.google.com/?q=Pa%C3%ADs%20das%20Uvas%20Vila%20de%20Frades","🍽 País das Uvas")</f>
        <v>🍽 País das Uvas</v>
      </c>
    </row>
    <row r="154" spans="1:11" ht="85" customHeight="1" x14ac:dyDescent="0.35">
      <c r="A154" s="340">
        <v>4</v>
      </c>
      <c r="B154" s="248" t="s">
        <v>3962</v>
      </c>
      <c r="C154" s="248" t="s">
        <v>11659</v>
      </c>
      <c r="D154" s="249" t="s">
        <v>913</v>
      </c>
      <c r="E154" s="248" t="s">
        <v>11660</v>
      </c>
      <c r="F154" s="248" t="s">
        <v>11661</v>
      </c>
      <c r="G154" s="248" t="s">
        <v>11231</v>
      </c>
      <c r="H154" s="248" t="s">
        <v>1776</v>
      </c>
      <c r="I154" s="248" t="s">
        <v>11662</v>
      </c>
      <c r="J154" s="312" t="s">
        <v>11663</v>
      </c>
      <c r="K154" s="609" t="str">
        <f>HYPERLINK("https://maps.google.com/?q=Taberna%20do%20Jeco%20Mirandela","🍽 Taberna do Jeco")</f>
        <v>🍽 Taberna do Jeco</v>
      </c>
    </row>
    <row r="155" spans="1:11" ht="85" customHeight="1" x14ac:dyDescent="0.35">
      <c r="A155" s="360">
        <v>5</v>
      </c>
      <c r="B155" s="245" t="s">
        <v>11664</v>
      </c>
      <c r="C155" s="245" t="s">
        <v>1114</v>
      </c>
      <c r="D155" s="246" t="s">
        <v>913</v>
      </c>
      <c r="E155" s="245" t="s">
        <v>11665</v>
      </c>
      <c r="F155" s="245" t="s">
        <v>11666</v>
      </c>
      <c r="G155" s="245" t="s">
        <v>10839</v>
      </c>
      <c r="H155" s="245" t="s">
        <v>913</v>
      </c>
      <c r="I155" s="245" t="s">
        <v>11667</v>
      </c>
      <c r="J155" s="311" t="s">
        <v>11668</v>
      </c>
      <c r="K155" s="608" t="str">
        <f>HYPERLINK("https://maps.google.com/?q=A%20Licorista%20e%20Bacalhoeiro%20Lisboa","🍽 A Licorista e Bacalhoeiro")</f>
        <v>🍽 A Licorista e Bacalhoeiro</v>
      </c>
    </row>
    <row r="156" spans="1:11" ht="85" customHeight="1" x14ac:dyDescent="0.35">
      <c r="A156" s="340">
        <v>6</v>
      </c>
      <c r="B156" s="248" t="s">
        <v>11669</v>
      </c>
      <c r="C156" s="248" t="s">
        <v>11670</v>
      </c>
      <c r="D156" s="249" t="s">
        <v>913</v>
      </c>
      <c r="E156" s="248" t="s">
        <v>11671</v>
      </c>
      <c r="F156" s="248" t="s">
        <v>11672</v>
      </c>
      <c r="G156" s="248" t="s">
        <v>11231</v>
      </c>
      <c r="H156" s="248" t="s">
        <v>913</v>
      </c>
      <c r="I156" s="248" t="s">
        <v>11673</v>
      </c>
      <c r="J156" s="312" t="s">
        <v>11674</v>
      </c>
      <c r="K156" s="609" t="str">
        <f>HYPERLINK("https://maps.google.com/?q=O%20Trigueirinho%20Lisboa","🍽 O Trigueirinho")</f>
        <v>🍽 O Trigueirinho</v>
      </c>
    </row>
    <row r="157" spans="1:11" ht="85" customHeight="1" x14ac:dyDescent="0.35">
      <c r="A157" s="360">
        <v>7</v>
      </c>
      <c r="B157" s="245" t="s">
        <v>11675</v>
      </c>
      <c r="C157" s="245" t="s">
        <v>11676</v>
      </c>
      <c r="D157" s="246" t="s">
        <v>913</v>
      </c>
      <c r="E157" s="245" t="s">
        <v>11677</v>
      </c>
      <c r="F157" s="245" t="s">
        <v>11678</v>
      </c>
      <c r="G157" s="245" t="s">
        <v>11679</v>
      </c>
      <c r="H157" s="245" t="s">
        <v>913</v>
      </c>
      <c r="I157" s="245" t="s">
        <v>11680</v>
      </c>
      <c r="J157" s="311" t="s">
        <v>11681</v>
      </c>
      <c r="K157" s="608" t="str">
        <f>HYPERLINK("https://maps.google.com/?q=Tasca%20do%20Jaime%20Lisboa","🍽 Tasca do Jaime")</f>
        <v>🍽 Tasca do Jaime</v>
      </c>
    </row>
    <row r="158" spans="1:11" ht="85" customHeight="1" x14ac:dyDescent="0.35">
      <c r="A158" s="340">
        <v>8</v>
      </c>
      <c r="B158" s="248" t="s">
        <v>11682</v>
      </c>
      <c r="C158" s="248" t="s">
        <v>11683</v>
      </c>
      <c r="D158" s="249" t="s">
        <v>913</v>
      </c>
      <c r="E158" s="248" t="s">
        <v>11684</v>
      </c>
      <c r="F158" s="248" t="s">
        <v>11685</v>
      </c>
      <c r="G158" s="248" t="s">
        <v>10961</v>
      </c>
      <c r="H158" s="248" t="s">
        <v>913</v>
      </c>
      <c r="I158" s="248" t="s">
        <v>11686</v>
      </c>
      <c r="J158" s="312" t="s">
        <v>11687</v>
      </c>
      <c r="K158" s="609" t="str">
        <f>HYPERLINK("https://maps.google.com/?q=Adega%20das%20Gravatas%20Lisboa","🍽 Adega das Gravatas")</f>
        <v>🍽 Adega das Gravatas</v>
      </c>
    </row>
    <row r="159" spans="1:11" ht="85" customHeight="1" x14ac:dyDescent="0.35">
      <c r="A159" s="360">
        <v>9</v>
      </c>
      <c r="B159" s="245" t="s">
        <v>11688</v>
      </c>
      <c r="C159" s="245" t="s">
        <v>11274</v>
      </c>
      <c r="D159" s="246" t="s">
        <v>913</v>
      </c>
      <c r="E159" s="245" t="s">
        <v>11689</v>
      </c>
      <c r="F159" s="245" t="s">
        <v>11690</v>
      </c>
      <c r="G159" s="245" t="s">
        <v>11691</v>
      </c>
      <c r="H159" s="245" t="s">
        <v>913</v>
      </c>
      <c r="I159" s="245" t="s">
        <v>11692</v>
      </c>
      <c r="J159" s="311" t="s">
        <v>11693</v>
      </c>
      <c r="K159" s="608" t="str">
        <f>HYPERLINK("https://maps.google.com/?q=Cervejaria%20Ramiro%20Lisboa","🍽 Cervejaria Ramiro")</f>
        <v>🍽 Cervejaria Ramiro</v>
      </c>
    </row>
    <row r="160" spans="1:11" ht="85" customHeight="1" x14ac:dyDescent="0.35">
      <c r="A160" s="340">
        <v>10</v>
      </c>
      <c r="B160" s="248" t="s">
        <v>11694</v>
      </c>
      <c r="C160" s="248" t="s">
        <v>10850</v>
      </c>
      <c r="D160" s="249" t="s">
        <v>913</v>
      </c>
      <c r="E160" s="248" t="s">
        <v>11695</v>
      </c>
      <c r="F160" s="248" t="s">
        <v>11696</v>
      </c>
      <c r="G160" s="248" t="s">
        <v>10839</v>
      </c>
      <c r="H160" s="248" t="s">
        <v>1347</v>
      </c>
      <c r="I160" s="248" t="s">
        <v>11697</v>
      </c>
      <c r="J160" s="312" t="s">
        <v>11698</v>
      </c>
      <c r="K160" s="609" t="str">
        <f>HYPERLINK("https://maps.google.com/?q=O%20Ribas%20Set%C3%BAbal","🍽 O Ribas")</f>
        <v>🍽 O Ribas</v>
      </c>
    </row>
    <row r="161" spans="1:11" ht="85" customHeight="1" x14ac:dyDescent="0.35">
      <c r="A161" s="360">
        <v>11</v>
      </c>
      <c r="B161" s="245" t="s">
        <v>11699</v>
      </c>
      <c r="C161" s="245" t="s">
        <v>11447</v>
      </c>
      <c r="D161" s="246" t="s">
        <v>913</v>
      </c>
      <c r="E161" s="245" t="s">
        <v>11700</v>
      </c>
      <c r="F161" s="245" t="s">
        <v>11701</v>
      </c>
      <c r="G161" s="245" t="s">
        <v>10832</v>
      </c>
      <c r="H161" s="245" t="s">
        <v>1259</v>
      </c>
      <c r="I161" s="245" t="s">
        <v>11702</v>
      </c>
      <c r="J161" s="311" t="s">
        <v>11703</v>
      </c>
      <c r="K161" s="608" t="str">
        <f>HYPERLINK("https://maps.google.com/?q=Ponto%20Final%20Almada","🍽 Ponto Final")</f>
        <v>🍽 Ponto Final</v>
      </c>
    </row>
    <row r="162" spans="1:11" ht="85" customHeight="1" x14ac:dyDescent="0.35">
      <c r="A162" s="340">
        <v>12</v>
      </c>
      <c r="B162" s="248" t="s">
        <v>11642</v>
      </c>
      <c r="C162" s="248" t="s">
        <v>2637</v>
      </c>
      <c r="D162" s="249" t="s">
        <v>913</v>
      </c>
      <c r="E162" s="248" t="s">
        <v>11644</v>
      </c>
      <c r="F162" s="248" t="s">
        <v>11645</v>
      </c>
      <c r="G162" s="248" t="s">
        <v>10839</v>
      </c>
      <c r="H162" s="248" t="s">
        <v>6555</v>
      </c>
      <c r="I162" s="248" t="s">
        <v>11704</v>
      </c>
      <c r="J162" s="312" t="s">
        <v>11705</v>
      </c>
      <c r="K162" s="609" t="str">
        <f>HYPERLINK("https://maps.google.com/?q=Adega%20do%20Isaias%20Torres%20Vedras","🍽 Adega do Isaias")</f>
        <v>🍽 Adega do Isaias</v>
      </c>
    </row>
    <row r="163" spans="1:11" ht="85" customHeight="1" x14ac:dyDescent="0.35">
      <c r="A163" s="360">
        <v>13</v>
      </c>
      <c r="B163" s="245" t="s">
        <v>11295</v>
      </c>
      <c r="C163" s="245" t="s">
        <v>11706</v>
      </c>
      <c r="D163" s="246" t="s">
        <v>913</v>
      </c>
      <c r="E163" s="245" t="s">
        <v>4307</v>
      </c>
      <c r="F163" s="245" t="s">
        <v>11707</v>
      </c>
      <c r="G163" s="245" t="s">
        <v>11181</v>
      </c>
      <c r="H163" s="245" t="s">
        <v>913</v>
      </c>
      <c r="I163" s="245" t="s">
        <v>11708</v>
      </c>
      <c r="J163" s="311" t="s">
        <v>11709</v>
      </c>
      <c r="K163" s="608" t="str">
        <f>HYPERLINK("https://maps.google.com/?q=Solar%20dos%20Presuntos%20Lisboa","🍽 Solar dos Presuntos")</f>
        <v>🍽 Solar dos Presuntos</v>
      </c>
    </row>
    <row r="164" spans="1:11" ht="85" customHeight="1" x14ac:dyDescent="0.35">
      <c r="A164" s="340">
        <v>14</v>
      </c>
      <c r="B164" s="248" t="s">
        <v>11710</v>
      </c>
      <c r="C164" s="248" t="s">
        <v>11711</v>
      </c>
      <c r="D164" s="249" t="s">
        <v>913</v>
      </c>
      <c r="E164" s="248" t="s">
        <v>11712</v>
      </c>
      <c r="F164" s="248" t="s">
        <v>11713</v>
      </c>
      <c r="G164" s="248" t="s">
        <v>10961</v>
      </c>
      <c r="H164" s="248" t="s">
        <v>913</v>
      </c>
      <c r="I164" s="248" t="s">
        <v>11714</v>
      </c>
      <c r="J164" s="312" t="s">
        <v>11715</v>
      </c>
      <c r="K164" s="609" t="str">
        <f>HYPERLINK("https://maps.google.com/?q=O%20Velho%20Eurico%20Lisboa","🍽 O Velho Eurico")</f>
        <v>🍽 O Velho Eurico</v>
      </c>
    </row>
    <row r="165" spans="1:11" ht="85" customHeight="1" x14ac:dyDescent="0.35">
      <c r="A165" s="360">
        <v>15</v>
      </c>
      <c r="B165" s="245" t="s">
        <v>11716</v>
      </c>
      <c r="C165" s="245" t="s">
        <v>11717</v>
      </c>
      <c r="D165" s="246" t="s">
        <v>913</v>
      </c>
      <c r="E165" s="245" t="s">
        <v>11718</v>
      </c>
      <c r="F165" s="245" t="s">
        <v>11719</v>
      </c>
      <c r="G165" s="245" t="s">
        <v>11720</v>
      </c>
      <c r="H165" s="245" t="s">
        <v>913</v>
      </c>
      <c r="I165" s="245" t="s">
        <v>11721</v>
      </c>
      <c r="J165" s="311" t="s">
        <v>11722</v>
      </c>
      <c r="K165" s="608" t="str">
        <f>HYPERLINK("https://maps.google.com/?q=Adega%20Tia%20Matilde%20Lisboa","🍽 Adega Tia Matilde")</f>
        <v>🍽 Adega Tia Matilde</v>
      </c>
    </row>
    <row r="166" spans="1:11" ht="85" customHeight="1" x14ac:dyDescent="0.35">
      <c r="A166" s="340">
        <v>16</v>
      </c>
      <c r="B166" s="248" t="s">
        <v>11723</v>
      </c>
      <c r="C166" s="248" t="s">
        <v>3156</v>
      </c>
      <c r="D166" s="249" t="s">
        <v>913</v>
      </c>
      <c r="E166" s="248" t="s">
        <v>11724</v>
      </c>
      <c r="F166" s="248" t="s">
        <v>11725</v>
      </c>
      <c r="G166" s="248" t="s">
        <v>10832</v>
      </c>
      <c r="H166" s="248" t="s">
        <v>913</v>
      </c>
      <c r="I166" s="248" t="s">
        <v>11726</v>
      </c>
      <c r="J166" s="312" t="s">
        <v>11727</v>
      </c>
      <c r="K166" s="609" t="str">
        <f>HYPERLINK("https://maps.google.com/?q=O%20Poleiro%20Lisboa","🍽 O Poleiro")</f>
        <v>🍽 O Poleiro</v>
      </c>
    </row>
    <row r="167" spans="1:11" ht="85" customHeight="1" x14ac:dyDescent="0.35">
      <c r="A167" s="360">
        <v>17</v>
      </c>
      <c r="B167" s="245" t="s">
        <v>11728</v>
      </c>
      <c r="C167" s="245" t="s">
        <v>11729</v>
      </c>
      <c r="D167" s="246" t="s">
        <v>913</v>
      </c>
      <c r="E167" s="245" t="s">
        <v>11730</v>
      </c>
      <c r="F167" s="245" t="s">
        <v>11731</v>
      </c>
      <c r="G167" s="245" t="s">
        <v>10832</v>
      </c>
      <c r="H167" s="245" t="s">
        <v>913</v>
      </c>
      <c r="I167" s="245" t="s">
        <v>11732</v>
      </c>
      <c r="J167" s="311" t="s">
        <v>11733</v>
      </c>
      <c r="K167" s="608" t="str">
        <f>HYPERLINK("https://maps.google.com/?q=Cervejaria%20Trindade%20Lisboa","🍽 Cervejaria Trindade")</f>
        <v>🍽 Cervejaria Trindade</v>
      </c>
    </row>
    <row r="168" spans="1:11" ht="85" customHeight="1" x14ac:dyDescent="0.35">
      <c r="A168" s="340">
        <v>18</v>
      </c>
      <c r="B168" s="248" t="s">
        <v>11734</v>
      </c>
      <c r="C168" s="248" t="s">
        <v>3156</v>
      </c>
      <c r="D168" s="249" t="s">
        <v>913</v>
      </c>
      <c r="E168" s="248" t="s">
        <v>11735</v>
      </c>
      <c r="F168" s="248" t="s">
        <v>11736</v>
      </c>
      <c r="G168" s="248" t="s">
        <v>10832</v>
      </c>
      <c r="H168" s="248" t="s">
        <v>2567</v>
      </c>
      <c r="I168" s="248" t="s">
        <v>11737</v>
      </c>
      <c r="J168" s="312" t="s">
        <v>11738</v>
      </c>
      <c r="K168" s="609" t="str">
        <f>HYPERLINK("https://maps.google.com/?q=Curral%20dos%20Caprinos%20Sintra","🍽 Curral dos Caprinos")</f>
        <v>🍽 Curral dos Caprinos</v>
      </c>
    </row>
    <row r="169" spans="1:11" ht="85" customHeight="1" x14ac:dyDescent="0.35">
      <c r="A169" s="360">
        <v>19</v>
      </c>
      <c r="B169" s="245" t="s">
        <v>11739</v>
      </c>
      <c r="C169" s="245" t="s">
        <v>10850</v>
      </c>
      <c r="D169" s="246" t="s">
        <v>913</v>
      </c>
      <c r="E169" s="245" t="s">
        <v>11740</v>
      </c>
      <c r="F169" s="245" t="s">
        <v>11741</v>
      </c>
      <c r="G169" s="245" t="s">
        <v>11691</v>
      </c>
      <c r="H169" s="245" t="s">
        <v>1077</v>
      </c>
      <c r="I169" s="245" t="s">
        <v>11742</v>
      </c>
      <c r="J169" s="311" t="s">
        <v>11743</v>
      </c>
      <c r="K169" s="608" t="str">
        <f>HYPERLINK("https://maps.google.com/?q=O%20Faroleiro%20Cascais","🍽 O Faroleiro")</f>
        <v>🍽 O Faroleiro</v>
      </c>
    </row>
    <row r="170" spans="1:11" ht="85" customHeight="1" x14ac:dyDescent="0.35">
      <c r="A170" s="340">
        <v>20</v>
      </c>
      <c r="B170" s="248" t="s">
        <v>11744</v>
      </c>
      <c r="C170" s="248" t="s">
        <v>11745</v>
      </c>
      <c r="D170" s="249" t="s">
        <v>913</v>
      </c>
      <c r="E170" s="248" t="s">
        <v>11746</v>
      </c>
      <c r="F170" s="248" t="s">
        <v>11747</v>
      </c>
      <c r="G170" s="248" t="s">
        <v>10839</v>
      </c>
      <c r="H170" s="248" t="s">
        <v>1347</v>
      </c>
      <c r="I170" s="248" t="s">
        <v>11748</v>
      </c>
      <c r="J170" s="312" t="s">
        <v>11749</v>
      </c>
      <c r="K170" s="609" t="str">
        <f>HYPERLINK("https://maps.google.com/?q=Dona%20Ad%C3%A9lia%20Set%C3%BAbal","🍽 Dona Adélia")</f>
        <v>🍽 Dona Adélia</v>
      </c>
    </row>
    <row r="171" spans="1:11" ht="85" customHeight="1" x14ac:dyDescent="0.35">
      <c r="A171" s="360">
        <v>21</v>
      </c>
      <c r="B171" s="245" t="s">
        <v>11750</v>
      </c>
      <c r="C171" s="245" t="s">
        <v>11751</v>
      </c>
      <c r="D171" s="246" t="s">
        <v>913</v>
      </c>
      <c r="E171" s="245" t="s">
        <v>11752</v>
      </c>
      <c r="F171" s="245" t="s">
        <v>11753</v>
      </c>
      <c r="G171" s="245" t="s">
        <v>10961</v>
      </c>
      <c r="H171" s="245" t="s">
        <v>9892</v>
      </c>
      <c r="I171" s="245" t="s">
        <v>11754</v>
      </c>
      <c r="J171" s="311" t="s">
        <v>11755</v>
      </c>
      <c r="K171" s="608" t="str">
        <f>HYPERLINK("https://maps.google.com/?q=Adega%20do%20Z%C3%A9%20Grelha%20Ericeira","🍽 Adega do Zé Grelha")</f>
        <v>🍽 Adega do Zé Grelha</v>
      </c>
    </row>
    <row r="172" spans="1:11" ht="85" customHeight="1" x14ac:dyDescent="0.35">
      <c r="A172" s="340">
        <v>22</v>
      </c>
      <c r="B172" s="248" t="s">
        <v>11756</v>
      </c>
      <c r="C172" s="248" t="s">
        <v>11757</v>
      </c>
      <c r="D172" s="249" t="s">
        <v>913</v>
      </c>
      <c r="E172" s="248" t="s">
        <v>11758</v>
      </c>
      <c r="F172" s="248" t="s">
        <v>11759</v>
      </c>
      <c r="G172" s="248" t="s">
        <v>11174</v>
      </c>
      <c r="H172" s="248" t="s">
        <v>913</v>
      </c>
      <c r="I172" s="248" t="s">
        <v>11760</v>
      </c>
      <c r="J172" s="312" t="s">
        <v>11761</v>
      </c>
      <c r="K172" s="609" t="str">
        <f>HYPERLINK("https://maps.google.com/?q=O%20Galito%20Lisboa","🍽 O Galito")</f>
        <v>🍽 O Galito</v>
      </c>
    </row>
    <row r="173" spans="1:11" ht="85" customHeight="1" x14ac:dyDescent="0.35">
      <c r="A173" s="360">
        <v>23</v>
      </c>
      <c r="B173" s="245" t="s">
        <v>11762</v>
      </c>
      <c r="C173" s="245" t="s">
        <v>11763</v>
      </c>
      <c r="D173" s="246" t="s">
        <v>913</v>
      </c>
      <c r="E173" s="245" t="s">
        <v>11764</v>
      </c>
      <c r="F173" s="245" t="s">
        <v>11765</v>
      </c>
      <c r="G173" s="245" t="s">
        <v>10874</v>
      </c>
      <c r="H173" s="245" t="s">
        <v>913</v>
      </c>
      <c r="I173" s="245" t="s">
        <v>11766</v>
      </c>
      <c r="J173" s="311" t="s">
        <v>11767</v>
      </c>
      <c r="K173" s="608" t="str">
        <f>HYPERLINK("https://maps.google.com/?q=Adega%20Solar%20Vinho%20Porto%20Lisboa","🍽 Adega Solar Vinho Porto")</f>
        <v>🍽 Adega Solar Vinho Porto</v>
      </c>
    </row>
    <row r="174" spans="1:11" ht="85" customHeight="1" x14ac:dyDescent="0.35">
      <c r="A174" s="340">
        <v>24</v>
      </c>
      <c r="B174" s="248" t="s">
        <v>4282</v>
      </c>
      <c r="C174" s="248" t="s">
        <v>11768</v>
      </c>
      <c r="D174" s="249" t="s">
        <v>913</v>
      </c>
      <c r="E174" s="248" t="s">
        <v>11769</v>
      </c>
      <c r="F174" s="248" t="s">
        <v>11770</v>
      </c>
      <c r="G174" s="248" t="s">
        <v>11359</v>
      </c>
      <c r="H174" s="248" t="s">
        <v>913</v>
      </c>
      <c r="I174" s="248" t="s">
        <v>11771</v>
      </c>
      <c r="J174" s="312" t="s">
        <v>11772</v>
      </c>
      <c r="K174" s="609" t="str">
        <f>HYPERLINK("https://maps.google.com/?q=Tasca%20do%20Chico%20Lisboa","🍽 Tasca do Chico")</f>
        <v>🍽 Tasca do Chico</v>
      </c>
    </row>
    <row r="175" spans="1:11" ht="85" customHeight="1" x14ac:dyDescent="0.35">
      <c r="A175" s="360">
        <v>25</v>
      </c>
      <c r="B175" s="245" t="s">
        <v>11773</v>
      </c>
      <c r="C175" s="245" t="s">
        <v>11774</v>
      </c>
      <c r="D175" s="246" t="s">
        <v>913</v>
      </c>
      <c r="E175" s="245" t="s">
        <v>11775</v>
      </c>
      <c r="F175" s="245" t="s">
        <v>11776</v>
      </c>
      <c r="G175" s="245" t="s">
        <v>10839</v>
      </c>
      <c r="H175" s="245" t="s">
        <v>2567</v>
      </c>
      <c r="I175" s="245" t="s">
        <v>11777</v>
      </c>
      <c r="J175" s="311" t="s">
        <v>11778</v>
      </c>
      <c r="K175" s="608" t="str">
        <f>HYPERLINK("https://maps.google.com/?q=A%20Taberna%20Sintra","🍽 A Taberna")</f>
        <v>🍽 A Taberna</v>
      </c>
    </row>
    <row r="176" spans="1:11" ht="85" customHeight="1" x14ac:dyDescent="0.35">
      <c r="A176" s="340">
        <v>26</v>
      </c>
      <c r="B176" s="248" t="s">
        <v>11779</v>
      </c>
      <c r="C176" s="248" t="s">
        <v>11364</v>
      </c>
      <c r="D176" s="249" t="s">
        <v>913</v>
      </c>
      <c r="E176" s="248" t="s">
        <v>11780</v>
      </c>
      <c r="F176" s="248" t="s">
        <v>11781</v>
      </c>
      <c r="G176" s="248" t="s">
        <v>10961</v>
      </c>
      <c r="H176" s="248" t="s">
        <v>1077</v>
      </c>
      <c r="I176" s="248" t="s">
        <v>11782</v>
      </c>
      <c r="J176" s="312" t="s">
        <v>11783</v>
      </c>
      <c r="K176" s="609" t="str">
        <f>HYPERLINK("https://maps.google.com/?q=Tasca%20da%20Linha%20Cascais","🍽 Tasca da Linha")</f>
        <v>🍽 Tasca da Linha</v>
      </c>
    </row>
    <row r="177" spans="1:11" ht="85" customHeight="1" x14ac:dyDescent="0.35">
      <c r="A177" s="360">
        <v>27</v>
      </c>
      <c r="B177" s="245" t="s">
        <v>11784</v>
      </c>
      <c r="C177" s="245" t="s">
        <v>11785</v>
      </c>
      <c r="D177" s="246" t="s">
        <v>913</v>
      </c>
      <c r="E177" s="245" t="s">
        <v>11786</v>
      </c>
      <c r="F177" s="245" t="s">
        <v>11787</v>
      </c>
      <c r="G177" s="245" t="s">
        <v>10909</v>
      </c>
      <c r="H177" s="245" t="s">
        <v>913</v>
      </c>
      <c r="I177" s="245" t="s">
        <v>11788</v>
      </c>
      <c r="J177" s="311" t="s">
        <v>11789</v>
      </c>
      <c r="K177" s="608" t="str">
        <f>HYPERLINK("https://maps.google.com/?q=Taberna%20do%20Guedes%20Lisboa","🍽 Taberna do Guedes")</f>
        <v>🍽 Taberna do Guedes</v>
      </c>
    </row>
    <row r="178" spans="1:11" ht="85" customHeight="1" x14ac:dyDescent="0.35">
      <c r="A178" s="340">
        <v>28</v>
      </c>
      <c r="B178" s="248" t="s">
        <v>11790</v>
      </c>
      <c r="C178" s="248" t="s">
        <v>11791</v>
      </c>
      <c r="D178" s="249" t="s">
        <v>913</v>
      </c>
      <c r="E178" s="248" t="s">
        <v>11792</v>
      </c>
      <c r="F178" s="248" t="s">
        <v>11793</v>
      </c>
      <c r="G178" s="248" t="s">
        <v>11794</v>
      </c>
      <c r="H178" s="248" t="s">
        <v>913</v>
      </c>
      <c r="I178" s="248" t="s">
        <v>11795</v>
      </c>
      <c r="J178" s="312" t="s">
        <v>11796</v>
      </c>
      <c r="K178" s="609" t="str">
        <f>HYPERLINK("https://maps.google.com/?q=O%20Nobre%20Lisboa","🍽 O Nobre")</f>
        <v>🍽 O Nobre</v>
      </c>
    </row>
    <row r="179" spans="1:11" ht="22" customHeight="1" x14ac:dyDescent="0.35">
      <c r="A179" s="1478" t="s">
        <v>11797</v>
      </c>
      <c r="B179" s="1313"/>
      <c r="C179" s="1313"/>
      <c r="D179" s="1313"/>
      <c r="E179" s="1313"/>
      <c r="F179" s="1313"/>
      <c r="G179" s="1313"/>
      <c r="H179" s="1313"/>
      <c r="I179" s="1313"/>
      <c r="J179" s="1313"/>
    </row>
    <row r="180" spans="1:11" ht="85" customHeight="1" x14ac:dyDescent="0.35">
      <c r="A180" s="346">
        <v>1</v>
      </c>
      <c r="B180" s="267" t="s">
        <v>11798</v>
      </c>
      <c r="C180" s="267" t="s">
        <v>11151</v>
      </c>
      <c r="D180" s="268" t="s">
        <v>853</v>
      </c>
      <c r="E180" s="267" t="s">
        <v>11799</v>
      </c>
      <c r="F180" s="267" t="s">
        <v>11800</v>
      </c>
      <c r="G180" s="267" t="s">
        <v>11067</v>
      </c>
      <c r="H180" s="267" t="s">
        <v>1412</v>
      </c>
      <c r="I180" s="267" t="s">
        <v>11801</v>
      </c>
      <c r="J180" s="313" t="s">
        <v>11802</v>
      </c>
      <c r="K180" s="610" t="str">
        <f>HYPERLINK("https://maps.google.com/?q=Quarta-Feira%20%C3%89vora","🍽 Quarta-Feira")</f>
        <v>🍽 Quarta-Feira</v>
      </c>
    </row>
    <row r="181" spans="1:11" ht="85" customHeight="1" x14ac:dyDescent="0.35">
      <c r="A181" s="362">
        <v>2</v>
      </c>
      <c r="B181" s="270" t="s">
        <v>4114</v>
      </c>
      <c r="C181" s="270" t="s">
        <v>10928</v>
      </c>
      <c r="D181" s="271" t="s">
        <v>853</v>
      </c>
      <c r="E181" s="270" t="s">
        <v>11803</v>
      </c>
      <c r="F181" s="270" t="s">
        <v>11800</v>
      </c>
      <c r="G181" s="270" t="s">
        <v>10839</v>
      </c>
      <c r="H181" s="270" t="s">
        <v>1412</v>
      </c>
      <c r="I181" s="270" t="s">
        <v>11804</v>
      </c>
      <c r="J181" s="314" t="s">
        <v>11805</v>
      </c>
      <c r="K181" s="611" t="str">
        <f>HYPERLINK("https://maps.google.com/?q=Taberna%20T%C3%ADpica%20Quarta-Feira%20%C3%89vora","🍽 Taberna Típica Quarta-Feira")</f>
        <v>🍽 Taberna Típica Quarta-Feira</v>
      </c>
    </row>
    <row r="182" spans="1:11" ht="85" customHeight="1" x14ac:dyDescent="0.35">
      <c r="A182" s="346">
        <v>3</v>
      </c>
      <c r="B182" s="267" t="s">
        <v>11806</v>
      </c>
      <c r="C182" s="267" t="s">
        <v>11807</v>
      </c>
      <c r="D182" s="268" t="s">
        <v>853</v>
      </c>
      <c r="E182" s="267" t="s">
        <v>11808</v>
      </c>
      <c r="F182" s="267" t="s">
        <v>11809</v>
      </c>
      <c r="G182" s="267" t="s">
        <v>10832</v>
      </c>
      <c r="H182" s="267" t="s">
        <v>1412</v>
      </c>
      <c r="I182" s="267" t="s">
        <v>11810</v>
      </c>
      <c r="J182" s="313" t="s">
        <v>11811</v>
      </c>
      <c r="K182" s="610" t="str">
        <f>HYPERLINK("https://maps.google.com/?q=Botequim%20da%20Mouraria%20%C3%89vora","🍽 Botequim da Mouraria")</f>
        <v>🍽 Botequim da Mouraria</v>
      </c>
    </row>
    <row r="183" spans="1:11" ht="85" customHeight="1" x14ac:dyDescent="0.35">
      <c r="A183" s="362">
        <v>4</v>
      </c>
      <c r="B183" s="270" t="s">
        <v>11642</v>
      </c>
      <c r="C183" s="270" t="s">
        <v>11498</v>
      </c>
      <c r="D183" s="271" t="s">
        <v>853</v>
      </c>
      <c r="E183" s="270" t="s">
        <v>11812</v>
      </c>
      <c r="F183" s="270" t="s">
        <v>11813</v>
      </c>
      <c r="G183" s="270" t="s">
        <v>10839</v>
      </c>
      <c r="H183" s="270" t="s">
        <v>7808</v>
      </c>
      <c r="I183" s="270" t="s">
        <v>11814</v>
      </c>
      <c r="J183" s="314" t="s">
        <v>11815</v>
      </c>
      <c r="K183" s="611" t="str">
        <f>HYPERLINK("https://maps.google.com/?q=Adega%20do%20Isaias%20Estremoz","🍽 Adega do Isaias")</f>
        <v>🍽 Adega do Isaias</v>
      </c>
    </row>
    <row r="184" spans="1:11" ht="85" customHeight="1" x14ac:dyDescent="0.35">
      <c r="A184" s="346">
        <v>5</v>
      </c>
      <c r="B184" s="267" t="s">
        <v>11816</v>
      </c>
      <c r="C184" s="267" t="s">
        <v>11151</v>
      </c>
      <c r="D184" s="268" t="s">
        <v>853</v>
      </c>
      <c r="E184" s="267" t="s">
        <v>11817</v>
      </c>
      <c r="F184" s="267" t="s">
        <v>11818</v>
      </c>
      <c r="G184" s="267" t="s">
        <v>11174</v>
      </c>
      <c r="H184" s="267" t="s">
        <v>7808</v>
      </c>
      <c r="I184" s="267" t="s">
        <v>11819</v>
      </c>
      <c r="J184" s="313" t="s">
        <v>11820</v>
      </c>
      <c r="K184" s="610" t="str">
        <f>HYPERLINK("https://maps.google.com/?q=A%20Cadeia%20Quinhentista%20Estremoz","🍽 A Cadeia Quinhentista")</f>
        <v>🍽 A Cadeia Quinhentista</v>
      </c>
    </row>
    <row r="185" spans="1:11" ht="85" customHeight="1" x14ac:dyDescent="0.35">
      <c r="A185" s="362">
        <v>6</v>
      </c>
      <c r="B185" s="270" t="s">
        <v>11821</v>
      </c>
      <c r="C185" s="270" t="s">
        <v>11822</v>
      </c>
      <c r="D185" s="271" t="s">
        <v>853</v>
      </c>
      <c r="E185" s="270" t="s">
        <v>11823</v>
      </c>
      <c r="F185" s="270" t="s">
        <v>11824</v>
      </c>
      <c r="G185" s="270" t="s">
        <v>10832</v>
      </c>
      <c r="H185" s="270" t="s">
        <v>7808</v>
      </c>
      <c r="I185" s="270" t="s">
        <v>11825</v>
      </c>
      <c r="J185" s="314" t="s">
        <v>11826</v>
      </c>
      <c r="K185" s="611" t="str">
        <f>HYPERLINK("https://maps.google.com/?q=Gadanha%20Mercearia%20Estremoz","🍽 Gadanha Mercearia")</f>
        <v>🍽 Gadanha Mercearia</v>
      </c>
    </row>
    <row r="186" spans="1:11" ht="85" customHeight="1" x14ac:dyDescent="0.35">
      <c r="A186" s="346">
        <v>7</v>
      </c>
      <c r="B186" s="267" t="s">
        <v>11827</v>
      </c>
      <c r="C186" s="267" t="s">
        <v>10934</v>
      </c>
      <c r="D186" s="268" t="s">
        <v>853</v>
      </c>
      <c r="E186" s="267" t="s">
        <v>11828</v>
      </c>
      <c r="F186" s="267" t="s">
        <v>11829</v>
      </c>
      <c r="G186" s="267" t="s">
        <v>11353</v>
      </c>
      <c r="H186" s="267" t="s">
        <v>1412</v>
      </c>
      <c r="I186" s="267" t="s">
        <v>11830</v>
      </c>
      <c r="J186" s="313" t="s">
        <v>11831</v>
      </c>
      <c r="K186" s="610" t="str">
        <f>HYPERLINK("https://maps.google.com/?q=O%20Fialho%20%C3%89vora","🍽 O Fialho")</f>
        <v>🍽 O Fialho</v>
      </c>
    </row>
    <row r="187" spans="1:11" ht="85" customHeight="1" x14ac:dyDescent="0.35">
      <c r="A187" s="362">
        <v>8</v>
      </c>
      <c r="B187" s="270" t="s">
        <v>11832</v>
      </c>
      <c r="C187" s="270" t="s">
        <v>11377</v>
      </c>
      <c r="D187" s="271" t="s">
        <v>853</v>
      </c>
      <c r="E187" s="270" t="s">
        <v>11833</v>
      </c>
      <c r="F187" s="270" t="s">
        <v>11834</v>
      </c>
      <c r="G187" s="270" t="s">
        <v>11174</v>
      </c>
      <c r="H187" s="270" t="s">
        <v>2538</v>
      </c>
      <c r="I187" s="270" t="s">
        <v>11835</v>
      </c>
      <c r="J187" s="314" t="s">
        <v>11836</v>
      </c>
      <c r="K187" s="611" t="str">
        <f>HYPERLINK("https://maps.google.com/?q=Tomba%20Lobos%20Portalegre","🍽 Tomba Lobos")</f>
        <v>🍽 Tomba Lobos</v>
      </c>
    </row>
    <row r="188" spans="1:11" ht="85" customHeight="1" x14ac:dyDescent="0.35">
      <c r="A188" s="346">
        <v>9</v>
      </c>
      <c r="B188" s="267" t="s">
        <v>11837</v>
      </c>
      <c r="C188" s="267" t="s">
        <v>3156</v>
      </c>
      <c r="D188" s="268" t="s">
        <v>853</v>
      </c>
      <c r="E188" s="267" t="s">
        <v>11838</v>
      </c>
      <c r="F188" s="267" t="s">
        <v>11839</v>
      </c>
      <c r="G188" s="267" t="s">
        <v>10839</v>
      </c>
      <c r="H188" s="267" t="s">
        <v>2538</v>
      </c>
      <c r="I188" s="267" t="s">
        <v>11840</v>
      </c>
      <c r="J188" s="313" t="s">
        <v>11841</v>
      </c>
      <c r="K188" s="610" t="str">
        <f>HYPERLINK("https://maps.google.com/?q=Restaurante%20D.%20Guri%20Portalegre","🍽 Restaurante D. Guri")</f>
        <v>🍽 Restaurante D. Guri</v>
      </c>
    </row>
    <row r="189" spans="1:11" ht="85" customHeight="1" x14ac:dyDescent="0.35">
      <c r="A189" s="362">
        <v>10</v>
      </c>
      <c r="B189" s="270" t="s">
        <v>11842</v>
      </c>
      <c r="C189" s="270" t="s">
        <v>11843</v>
      </c>
      <c r="D189" s="271" t="s">
        <v>853</v>
      </c>
      <c r="E189" s="270" t="s">
        <v>11844</v>
      </c>
      <c r="F189" s="270" t="s">
        <v>11845</v>
      </c>
      <c r="G189" s="270" t="s">
        <v>10839</v>
      </c>
      <c r="H189" s="270" t="s">
        <v>1233</v>
      </c>
      <c r="I189" s="270" t="s">
        <v>11846</v>
      </c>
      <c r="J189" s="314" t="s">
        <v>11847</v>
      </c>
      <c r="K189" s="611" t="str">
        <f>HYPERLINK("https://maps.google.com/?q=Lu%C3%ADs%20da%20Rocha%20Beja","🍽 Luís da Rocha")</f>
        <v>🍽 Luís da Rocha</v>
      </c>
    </row>
    <row r="190" spans="1:11" ht="85" customHeight="1" x14ac:dyDescent="0.35">
      <c r="A190" s="346">
        <v>11</v>
      </c>
      <c r="B190" s="267" t="s">
        <v>11848</v>
      </c>
      <c r="C190" s="267" t="s">
        <v>11849</v>
      </c>
      <c r="D190" s="268" t="s">
        <v>853</v>
      </c>
      <c r="E190" s="267" t="s">
        <v>11850</v>
      </c>
      <c r="F190" s="267" t="s">
        <v>11851</v>
      </c>
      <c r="G190" s="267" t="s">
        <v>11231</v>
      </c>
      <c r="H190" s="267" t="s">
        <v>1233</v>
      </c>
      <c r="I190" s="267" t="s">
        <v>11852</v>
      </c>
      <c r="J190" s="313" t="s">
        <v>11853</v>
      </c>
      <c r="K190" s="610" t="str">
        <f>HYPERLINK("https://maps.google.com/?q=Adega%20T%C3%ADpica%2025%20de%20Abril%20Beja","🍽 Adega Típica 25 de Abril")</f>
        <v>🍽 Adega Típica 25 de Abril</v>
      </c>
    </row>
    <row r="191" spans="1:11" ht="85" customHeight="1" x14ac:dyDescent="0.35">
      <c r="A191" s="362">
        <v>12</v>
      </c>
      <c r="B191" s="270" t="s">
        <v>11854</v>
      </c>
      <c r="C191" s="270" t="s">
        <v>11855</v>
      </c>
      <c r="D191" s="271" t="s">
        <v>853</v>
      </c>
      <c r="E191" s="270" t="s">
        <v>11856</v>
      </c>
      <c r="F191" s="270" t="s">
        <v>11857</v>
      </c>
      <c r="G191" s="270" t="s">
        <v>11154</v>
      </c>
      <c r="H191" s="270" t="s">
        <v>1412</v>
      </c>
      <c r="I191" s="270" t="s">
        <v>11858</v>
      </c>
      <c r="J191" s="314" t="s">
        <v>11859</v>
      </c>
      <c r="K191" s="611" t="str">
        <f>HYPERLINK("https://maps.google.com/?q=Tasquinha%20do%20Oliveira%20%C3%89vora","🍽 Tasquinha do Oliveira")</f>
        <v>🍽 Tasquinha do Oliveira</v>
      </c>
    </row>
    <row r="192" spans="1:11" ht="85" customHeight="1" x14ac:dyDescent="0.35">
      <c r="A192" s="346">
        <v>13</v>
      </c>
      <c r="B192" s="267" t="s">
        <v>11860</v>
      </c>
      <c r="C192" s="267" t="s">
        <v>11643</v>
      </c>
      <c r="D192" s="268" t="s">
        <v>853</v>
      </c>
      <c r="E192" s="267" t="s">
        <v>11861</v>
      </c>
      <c r="F192" s="267" t="s">
        <v>11862</v>
      </c>
      <c r="G192" s="267" t="s">
        <v>10839</v>
      </c>
      <c r="H192" s="267" t="s">
        <v>2135</v>
      </c>
      <c r="I192" s="267" t="s">
        <v>11863</v>
      </c>
      <c r="J192" s="313" t="s">
        <v>11864</v>
      </c>
      <c r="K192" s="610" t="str">
        <f>HYPERLINK("https://maps.google.com/?q=Adega%20Velha%20Moura","🍽 Adega Velha")</f>
        <v>🍽 Adega Velha</v>
      </c>
    </row>
    <row r="193" spans="1:11" ht="85" customHeight="1" x14ac:dyDescent="0.35">
      <c r="A193" s="362">
        <v>14</v>
      </c>
      <c r="B193" s="270" t="s">
        <v>11865</v>
      </c>
      <c r="C193" s="270" t="s">
        <v>11109</v>
      </c>
      <c r="D193" s="271" t="s">
        <v>853</v>
      </c>
      <c r="E193" s="270" t="s">
        <v>11866</v>
      </c>
      <c r="F193" s="270" t="s">
        <v>11867</v>
      </c>
      <c r="G193" s="270" t="s">
        <v>10304</v>
      </c>
      <c r="H193" s="270" t="s">
        <v>2135</v>
      </c>
      <c r="I193" s="270" t="s">
        <v>11868</v>
      </c>
      <c r="J193" s="314" t="s">
        <v>11869</v>
      </c>
      <c r="K193" s="611" t="str">
        <f>HYPERLINK("https://maps.google.com/?q=O%20Tordo%20Moura","🍽 O Tordo")</f>
        <v>🍽 O Tordo</v>
      </c>
    </row>
    <row r="194" spans="1:11" ht="85" customHeight="1" x14ac:dyDescent="0.35">
      <c r="A194" s="346">
        <v>15</v>
      </c>
      <c r="B194" s="267" t="s">
        <v>11870</v>
      </c>
      <c r="C194" s="267" t="s">
        <v>3156</v>
      </c>
      <c r="D194" s="268" t="s">
        <v>853</v>
      </c>
      <c r="E194" s="267" t="s">
        <v>11871</v>
      </c>
      <c r="F194" s="267" t="s">
        <v>11872</v>
      </c>
      <c r="G194" s="267" t="s">
        <v>10304</v>
      </c>
      <c r="H194" s="267" t="s">
        <v>2126</v>
      </c>
      <c r="I194" s="267" t="s">
        <v>11873</v>
      </c>
      <c r="J194" s="313" t="s">
        <v>11874</v>
      </c>
      <c r="K194" s="610" t="str">
        <f>HYPERLINK("https://maps.google.com/?q=O%20Molh%C3%B3%20Bico%20Serpa","🍽 O Molhó Bico")</f>
        <v>🍽 O Molhó Bico</v>
      </c>
    </row>
    <row r="195" spans="1:11" ht="85" customHeight="1" x14ac:dyDescent="0.35">
      <c r="A195" s="362">
        <v>16</v>
      </c>
      <c r="B195" s="270" t="s">
        <v>11875</v>
      </c>
      <c r="C195" s="270" t="s">
        <v>11407</v>
      </c>
      <c r="D195" s="271" t="s">
        <v>853</v>
      </c>
      <c r="E195" s="270" t="s">
        <v>11876</v>
      </c>
      <c r="F195" s="270" t="s">
        <v>11877</v>
      </c>
      <c r="G195" s="270" t="s">
        <v>10839</v>
      </c>
      <c r="H195" s="270" t="s">
        <v>2126</v>
      </c>
      <c r="I195" s="270" t="s">
        <v>11878</v>
      </c>
      <c r="J195" s="314" t="s">
        <v>11879</v>
      </c>
      <c r="K195" s="611" t="str">
        <f>HYPERLINK("https://maps.google.com/?q=Adega%20T%C3%ADpica%20de%20Serpa%20Serpa","🍽 Adega Típica de Serpa")</f>
        <v>🍽 Adega Típica de Serpa</v>
      </c>
    </row>
    <row r="196" spans="1:11" ht="85" customHeight="1" x14ac:dyDescent="0.35">
      <c r="A196" s="346">
        <v>17</v>
      </c>
      <c r="B196" s="267" t="s">
        <v>11880</v>
      </c>
      <c r="C196" s="267" t="s">
        <v>11256</v>
      </c>
      <c r="D196" s="268" t="s">
        <v>853</v>
      </c>
      <c r="E196" s="267" t="s">
        <v>11881</v>
      </c>
      <c r="F196" s="267" t="s">
        <v>11882</v>
      </c>
      <c r="G196" s="267" t="s">
        <v>10961</v>
      </c>
      <c r="H196" s="267" t="s">
        <v>9972</v>
      </c>
      <c r="I196" s="267" t="s">
        <v>11883</v>
      </c>
      <c r="J196" s="313" t="s">
        <v>11884</v>
      </c>
      <c r="K196" s="610" t="str">
        <f>HYPERLINK("https://maps.google.com/?q=Sabores%20de%20Monsaraz%20Monsaraz","🍽 Sabores de Monsaraz")</f>
        <v>🍽 Sabores de Monsaraz</v>
      </c>
    </row>
    <row r="197" spans="1:11" ht="85" customHeight="1" x14ac:dyDescent="0.35">
      <c r="A197" s="362">
        <v>18</v>
      </c>
      <c r="B197" s="270" t="s">
        <v>11885</v>
      </c>
      <c r="C197" s="270" t="s">
        <v>1423</v>
      </c>
      <c r="D197" s="271" t="s">
        <v>853</v>
      </c>
      <c r="E197" s="270" t="s">
        <v>11881</v>
      </c>
      <c r="F197" s="270" t="s">
        <v>11886</v>
      </c>
      <c r="G197" s="270" t="s">
        <v>10874</v>
      </c>
      <c r="H197" s="270" t="s">
        <v>9972</v>
      </c>
      <c r="I197" s="270" t="s">
        <v>11887</v>
      </c>
      <c r="J197" s="314" t="s">
        <v>11888</v>
      </c>
      <c r="K197" s="611" t="str">
        <f>HYPERLINK("https://maps.google.com/?q=O%20Alcaide%20Monsaraz","🍽 O Alcaide")</f>
        <v>🍽 O Alcaide</v>
      </c>
    </row>
    <row r="198" spans="1:11" ht="85" customHeight="1" x14ac:dyDescent="0.35">
      <c r="A198" s="346">
        <v>19</v>
      </c>
      <c r="B198" s="267" t="s">
        <v>11889</v>
      </c>
      <c r="C198" s="267" t="s">
        <v>3156</v>
      </c>
      <c r="D198" s="268" t="s">
        <v>853</v>
      </c>
      <c r="E198" s="267" t="s">
        <v>11890</v>
      </c>
      <c r="F198" s="267" t="s">
        <v>11891</v>
      </c>
      <c r="G198" s="267" t="s">
        <v>10304</v>
      </c>
      <c r="H198" s="267" t="s">
        <v>5758</v>
      </c>
      <c r="I198" s="267" t="s">
        <v>11892</v>
      </c>
      <c r="J198" s="313" t="s">
        <v>11893</v>
      </c>
      <c r="K198" s="610" t="str">
        <f>HYPERLINK("https://maps.google.com/?q=Adega%20T%C3%ADpica%20A%20Moagem%20Reguengos","🍽 Adega Típica A Moagem")</f>
        <v>🍽 Adega Típica A Moagem</v>
      </c>
    </row>
    <row r="199" spans="1:11" ht="85" customHeight="1" x14ac:dyDescent="0.35">
      <c r="A199" s="362">
        <v>20</v>
      </c>
      <c r="B199" s="270" t="s">
        <v>11894</v>
      </c>
      <c r="C199" s="270" t="s">
        <v>11605</v>
      </c>
      <c r="D199" s="271" t="s">
        <v>853</v>
      </c>
      <c r="E199" s="270" t="s">
        <v>11895</v>
      </c>
      <c r="F199" s="270" t="s">
        <v>11896</v>
      </c>
      <c r="G199" s="270" t="s">
        <v>10874</v>
      </c>
      <c r="H199" s="270" t="s">
        <v>6081</v>
      </c>
      <c r="I199" s="270" t="s">
        <v>11897</v>
      </c>
      <c r="J199" s="314" t="s">
        <v>11898</v>
      </c>
      <c r="K199" s="611" t="str">
        <f>HYPERLINK("https://maps.google.com/?q=Azenhas%20do%20Guadiana%20M%C3%A9rtola","🍽 Azenhas do Guadiana")</f>
        <v>🍽 Azenhas do Guadiana</v>
      </c>
    </row>
    <row r="200" spans="1:11" ht="85" customHeight="1" x14ac:dyDescent="0.35">
      <c r="A200" s="346">
        <v>21</v>
      </c>
      <c r="B200" s="267" t="s">
        <v>11899</v>
      </c>
      <c r="C200" s="267" t="s">
        <v>11052</v>
      </c>
      <c r="D200" s="268" t="s">
        <v>853</v>
      </c>
      <c r="E200" s="267" t="s">
        <v>11900</v>
      </c>
      <c r="F200" s="267" t="s">
        <v>11901</v>
      </c>
      <c r="G200" s="267" t="s">
        <v>10839</v>
      </c>
      <c r="H200" s="267" t="s">
        <v>6081</v>
      </c>
      <c r="I200" s="267" t="s">
        <v>11902</v>
      </c>
      <c r="J200" s="313" t="s">
        <v>11903</v>
      </c>
      <c r="K200" s="610" t="str">
        <f>HYPERLINK("https://maps.google.com/?q=Espa%C3%A7o%20Guadiana%20M%C3%A9rtola","🍽 Espaço Guadiana")</f>
        <v>🍽 Espaço Guadiana</v>
      </c>
    </row>
    <row r="201" spans="1:11" ht="85" customHeight="1" x14ac:dyDescent="0.35">
      <c r="A201" s="362">
        <v>22</v>
      </c>
      <c r="B201" s="270" t="s">
        <v>11904</v>
      </c>
      <c r="C201" s="270" t="s">
        <v>1046</v>
      </c>
      <c r="D201" s="271" t="s">
        <v>853</v>
      </c>
      <c r="E201" s="270" t="s">
        <v>11905</v>
      </c>
      <c r="F201" s="270" t="s">
        <v>11906</v>
      </c>
      <c r="G201" s="270" t="s">
        <v>10909</v>
      </c>
      <c r="H201" s="270" t="s">
        <v>11410</v>
      </c>
      <c r="I201" s="270" t="s">
        <v>11907</v>
      </c>
      <c r="J201" s="314" t="s">
        <v>11908</v>
      </c>
      <c r="K201" s="611" t="str">
        <f>HYPERLINK("https://maps.google.com/?q=Marufo%20Quarteira","🍽 Marufo")</f>
        <v>🍽 Marufo</v>
      </c>
    </row>
    <row r="202" spans="1:11" ht="85" customHeight="1" x14ac:dyDescent="0.35">
      <c r="A202" s="346">
        <v>23</v>
      </c>
      <c r="B202" s="267" t="s">
        <v>11909</v>
      </c>
      <c r="C202" s="267" t="s">
        <v>11910</v>
      </c>
      <c r="D202" s="268" t="s">
        <v>853</v>
      </c>
      <c r="E202" s="267" t="s">
        <v>11911</v>
      </c>
      <c r="F202" s="267" t="s">
        <v>11912</v>
      </c>
      <c r="G202" s="267" t="s">
        <v>10839</v>
      </c>
      <c r="H202" s="267" t="s">
        <v>2828</v>
      </c>
      <c r="I202" s="267" t="s">
        <v>11913</v>
      </c>
      <c r="J202" s="313" t="s">
        <v>11914</v>
      </c>
      <c r="K202" s="610" t="str">
        <f>HYPERLINK("https://maps.google.com/?q=Adega%20do%20Verdelho%20Pico","🍽 Adega do Verdelho")</f>
        <v>🍽 Adega do Verdelho</v>
      </c>
    </row>
    <row r="203" spans="1:11" ht="22" customHeight="1" x14ac:dyDescent="0.35">
      <c r="A203" s="1477" t="s">
        <v>11915</v>
      </c>
      <c r="B203" s="1313"/>
      <c r="C203" s="1313"/>
      <c r="D203" s="1313"/>
      <c r="E203" s="1313"/>
      <c r="F203" s="1313"/>
      <c r="G203" s="1313"/>
      <c r="H203" s="1313"/>
      <c r="I203" s="1313"/>
      <c r="J203" s="1313"/>
    </row>
    <row r="204" spans="1:11" ht="85" customHeight="1" x14ac:dyDescent="0.35">
      <c r="A204" s="348">
        <v>1</v>
      </c>
      <c r="B204" s="273" t="s">
        <v>11916</v>
      </c>
      <c r="C204" s="273" t="s">
        <v>11151</v>
      </c>
      <c r="D204" s="274" t="s">
        <v>767</v>
      </c>
      <c r="E204" s="273" t="s">
        <v>11917</v>
      </c>
      <c r="F204" s="273" t="s">
        <v>11918</v>
      </c>
      <c r="G204" s="273" t="s">
        <v>11000</v>
      </c>
      <c r="H204" s="273" t="s">
        <v>11919</v>
      </c>
      <c r="I204" s="273" t="s">
        <v>11920</v>
      </c>
      <c r="J204" s="315" t="s">
        <v>11921</v>
      </c>
      <c r="K204" s="612" t="str">
        <f>HYPERLINK("https://maps.google.com/?q=No%C3%A9lia%20Jer%C3%B3nimo%20Cabanas%20de%20Tavira","🍽 Noélia Jerónimo")</f>
        <v>🍽 Noélia Jerónimo</v>
      </c>
    </row>
    <row r="205" spans="1:11" ht="85" customHeight="1" x14ac:dyDescent="0.35">
      <c r="A205" s="354">
        <v>2</v>
      </c>
      <c r="B205" s="277" t="s">
        <v>11922</v>
      </c>
      <c r="C205" s="277" t="s">
        <v>10906</v>
      </c>
      <c r="D205" s="278" t="s">
        <v>767</v>
      </c>
      <c r="E205" s="277" t="s">
        <v>11923</v>
      </c>
      <c r="F205" s="277" t="s">
        <v>11924</v>
      </c>
      <c r="G205" s="277" t="s">
        <v>10961</v>
      </c>
      <c r="H205" s="277" t="s">
        <v>5764</v>
      </c>
      <c r="I205" s="277" t="s">
        <v>11925</v>
      </c>
      <c r="J205" s="316" t="s">
        <v>11926</v>
      </c>
      <c r="K205" s="613" t="str">
        <f>HYPERLINK("https://maps.google.com/?q=A%20Tasca%20do%20Z%C3%A9%20Belinho%20Tavira","🍽 A Tasca do Zé Belinho")</f>
        <v>🍽 A Tasca do Zé Belinho</v>
      </c>
    </row>
    <row r="206" spans="1:11" ht="85" customHeight="1" x14ac:dyDescent="0.35">
      <c r="A206" s="348">
        <v>3</v>
      </c>
      <c r="B206" s="273" t="s">
        <v>11927</v>
      </c>
      <c r="C206" s="273" t="s">
        <v>1228</v>
      </c>
      <c r="D206" s="274" t="s">
        <v>767</v>
      </c>
      <c r="E206" s="273" t="s">
        <v>11928</v>
      </c>
      <c r="F206" s="273" t="s">
        <v>11929</v>
      </c>
      <c r="G206" s="273" t="s">
        <v>10874</v>
      </c>
      <c r="H206" s="273" t="s">
        <v>2205</v>
      </c>
      <c r="I206" s="273" t="s">
        <v>11930</v>
      </c>
      <c r="J206" s="315" t="s">
        <v>11931</v>
      </c>
      <c r="K206" s="612" t="str">
        <f>HYPERLINK("https://maps.google.com/?q=Taberna%20da%20Mar%C3%A9%20Portim%C3%A3o","🍽 Taberna da Maré")</f>
        <v>🍽 Taberna da Maré</v>
      </c>
    </row>
    <row r="207" spans="1:11" ht="85" customHeight="1" x14ac:dyDescent="0.35">
      <c r="A207" s="354">
        <v>4</v>
      </c>
      <c r="B207" s="277" t="s">
        <v>11932</v>
      </c>
      <c r="C207" s="277" t="s">
        <v>11407</v>
      </c>
      <c r="D207" s="278" t="s">
        <v>767</v>
      </c>
      <c r="E207" s="277" t="s">
        <v>11933</v>
      </c>
      <c r="F207" s="277" t="s">
        <v>11934</v>
      </c>
      <c r="G207" s="277" t="s">
        <v>10304</v>
      </c>
      <c r="H207" s="277" t="s">
        <v>5761</v>
      </c>
      <c r="I207" s="277" t="s">
        <v>11935</v>
      </c>
      <c r="J207" s="316" t="s">
        <v>11936</v>
      </c>
      <c r="K207" s="613" t="str">
        <f>HYPERLINK("https://maps.google.com/?q=Adega%20Nova%20Faro","🍽 Adega Nova")</f>
        <v>🍽 Adega Nova</v>
      </c>
    </row>
    <row r="208" spans="1:11" ht="85" customHeight="1" x14ac:dyDescent="0.35">
      <c r="A208" s="348">
        <v>5</v>
      </c>
      <c r="B208" s="273" t="s">
        <v>11937</v>
      </c>
      <c r="C208" s="273" t="s">
        <v>10836</v>
      </c>
      <c r="D208" s="274" t="s">
        <v>767</v>
      </c>
      <c r="E208" s="273" t="s">
        <v>11938</v>
      </c>
      <c r="F208" s="273" t="s">
        <v>11939</v>
      </c>
      <c r="G208" s="273" t="s">
        <v>10839</v>
      </c>
      <c r="H208" s="273" t="s">
        <v>5761</v>
      </c>
      <c r="I208" s="273" t="s">
        <v>11940</v>
      </c>
      <c r="J208" s="315" t="s">
        <v>11941</v>
      </c>
      <c r="K208" s="612" t="str">
        <f>HYPERLINK("https://maps.google.com/?q=A%20Tasca%20do%20Jo%C3%A3o%20Faro","🍽 A Tasca do João")</f>
        <v>🍽 A Tasca do João</v>
      </c>
    </row>
    <row r="209" spans="1:11" ht="85" customHeight="1" x14ac:dyDescent="0.35">
      <c r="A209" s="354">
        <v>6</v>
      </c>
      <c r="B209" s="277" t="s">
        <v>11942</v>
      </c>
      <c r="C209" s="277" t="s">
        <v>11441</v>
      </c>
      <c r="D209" s="278" t="s">
        <v>767</v>
      </c>
      <c r="E209" s="277" t="s">
        <v>11943</v>
      </c>
      <c r="F209" s="277" t="s">
        <v>11944</v>
      </c>
      <c r="G209" s="277" t="s">
        <v>10961</v>
      </c>
      <c r="H209" s="277" t="s">
        <v>2172</v>
      </c>
      <c r="I209" s="277" t="s">
        <v>11945</v>
      </c>
      <c r="J209" s="316" t="s">
        <v>11946</v>
      </c>
      <c r="K209" s="613" t="str">
        <f>HYPERLINK("https://maps.google.com/?q=O%20Retiro%20do%20Campon%C3%AAs%20Loul%C3%A9","🍽 O Retiro do Camponês")</f>
        <v>🍽 O Retiro do Camponês</v>
      </c>
    </row>
    <row r="210" spans="1:11" ht="85" customHeight="1" x14ac:dyDescent="0.35">
      <c r="A210" s="348">
        <v>7</v>
      </c>
      <c r="B210" s="273" t="s">
        <v>11947</v>
      </c>
      <c r="C210" s="273" t="s">
        <v>11441</v>
      </c>
      <c r="D210" s="274" t="s">
        <v>767</v>
      </c>
      <c r="E210" s="273" t="s">
        <v>11948</v>
      </c>
      <c r="F210" s="273" t="s">
        <v>11949</v>
      </c>
      <c r="G210" s="273" t="s">
        <v>10931</v>
      </c>
      <c r="H210" s="273" t="s">
        <v>2172</v>
      </c>
      <c r="I210" s="273" t="s">
        <v>11950</v>
      </c>
      <c r="J210" s="315" t="s">
        <v>11951</v>
      </c>
      <c r="K210" s="612" t="str">
        <f>HYPERLINK("https://maps.google.com/?q=Caf%C3%A9%20Saudade%20Loul%C3%A9","🍽 Café Saudade")</f>
        <v>🍽 Café Saudade</v>
      </c>
    </row>
    <row r="211" spans="1:11" ht="85" customHeight="1" x14ac:dyDescent="0.35">
      <c r="A211" s="354">
        <v>8</v>
      </c>
      <c r="B211" s="277" t="s">
        <v>11952</v>
      </c>
      <c r="C211" s="277" t="s">
        <v>11953</v>
      </c>
      <c r="D211" s="278" t="s">
        <v>767</v>
      </c>
      <c r="E211" s="277" t="s">
        <v>11954</v>
      </c>
      <c r="F211" s="277" t="s">
        <v>11955</v>
      </c>
      <c r="G211" s="277" t="s">
        <v>10832</v>
      </c>
      <c r="H211" s="277" t="s">
        <v>2201</v>
      </c>
      <c r="I211" s="277" t="s">
        <v>11956</v>
      </c>
      <c r="J211" s="316" t="s">
        <v>11957</v>
      </c>
      <c r="K211" s="613" t="str">
        <f>HYPERLINK("https://maps.google.com/?q=A%20Tasca%20do%20Kiko%20Lagos","🍽 A Tasca do Kiko")</f>
        <v>🍽 A Tasca do Kiko</v>
      </c>
    </row>
    <row r="212" spans="1:11" ht="85" customHeight="1" x14ac:dyDescent="0.35">
      <c r="A212" s="348">
        <v>9</v>
      </c>
      <c r="B212" s="273" t="s">
        <v>11958</v>
      </c>
      <c r="C212" s="273" t="s">
        <v>3156</v>
      </c>
      <c r="D212" s="274" t="s">
        <v>767</v>
      </c>
      <c r="E212" s="273" t="s">
        <v>11959</v>
      </c>
      <c r="F212" s="273" t="s">
        <v>11960</v>
      </c>
      <c r="G212" s="273" t="s">
        <v>10825</v>
      </c>
      <c r="H212" s="273" t="s">
        <v>5964</v>
      </c>
      <c r="I212" s="273" t="s">
        <v>11961</v>
      </c>
      <c r="J212" s="315" t="s">
        <v>11962</v>
      </c>
      <c r="K212" s="612" t="str">
        <f>HYPERLINK("https://maps.google.com/?q=Vila%20Velha%20Sagres","🍽 Vila Velha")</f>
        <v>🍽 Vila Velha</v>
      </c>
    </row>
    <row r="213" spans="1:11" ht="85" customHeight="1" x14ac:dyDescent="0.35">
      <c r="A213" s="354">
        <v>10</v>
      </c>
      <c r="B213" s="277" t="s">
        <v>11963</v>
      </c>
      <c r="C213" s="277" t="s">
        <v>11407</v>
      </c>
      <c r="D213" s="278" t="s">
        <v>767</v>
      </c>
      <c r="E213" s="277" t="s">
        <v>6376</v>
      </c>
      <c r="F213" s="277" t="s">
        <v>11964</v>
      </c>
      <c r="G213" s="277" t="s">
        <v>10839</v>
      </c>
      <c r="H213" s="277" t="s">
        <v>2186</v>
      </c>
      <c r="I213" s="277" t="s">
        <v>11965</v>
      </c>
      <c r="J213" s="316" t="s">
        <v>11966</v>
      </c>
      <c r="K213" s="613" t="str">
        <f>HYPERLINK("https://maps.google.com/?q=Adega%20das%20Levadas%20Albufeira","🍽 Adega das Levadas")</f>
        <v>🍽 Adega das Levadas</v>
      </c>
    </row>
    <row r="214" spans="1:11" ht="85" customHeight="1" x14ac:dyDescent="0.35">
      <c r="A214" s="348">
        <v>11</v>
      </c>
      <c r="B214" s="273" t="s">
        <v>11967</v>
      </c>
      <c r="C214" s="273" t="s">
        <v>11968</v>
      </c>
      <c r="D214" s="274" t="s">
        <v>767</v>
      </c>
      <c r="E214" s="273" t="s">
        <v>11969</v>
      </c>
      <c r="F214" s="273" t="s">
        <v>11970</v>
      </c>
      <c r="G214" s="273" t="s">
        <v>10961</v>
      </c>
      <c r="H214" s="273" t="s">
        <v>2205</v>
      </c>
      <c r="I214" s="273" t="s">
        <v>11971</v>
      </c>
      <c r="J214" s="315" t="s">
        <v>11972</v>
      </c>
      <c r="K214" s="612" t="str">
        <f>HYPERLINK("https://maps.google.com/?q=Solar%20do%20Farelo%20Portim%C3%A3o","🍽 Solar do Farelo")</f>
        <v>🍽 Solar do Farelo</v>
      </c>
    </row>
    <row r="215" spans="1:11" ht="85" customHeight="1" x14ac:dyDescent="0.35">
      <c r="A215" s="354">
        <v>12</v>
      </c>
      <c r="B215" s="277" t="s">
        <v>11973</v>
      </c>
      <c r="C215" s="277" t="s">
        <v>11974</v>
      </c>
      <c r="D215" s="278" t="s">
        <v>767</v>
      </c>
      <c r="E215" s="277" t="s">
        <v>11975</v>
      </c>
      <c r="F215" s="277" t="s">
        <v>11976</v>
      </c>
      <c r="G215" s="277" t="s">
        <v>10832</v>
      </c>
      <c r="H215" s="277" t="s">
        <v>2205</v>
      </c>
      <c r="I215" s="277" t="s">
        <v>11977</v>
      </c>
      <c r="J215" s="316" t="s">
        <v>11978</v>
      </c>
      <c r="K215" s="613" t="str">
        <f>HYPERLINK("https://maps.google.com/?q=O%20Cansado%20Portim%C3%A3o","🍽 O Cansado")</f>
        <v>🍽 O Cansado</v>
      </c>
    </row>
    <row r="216" spans="1:11" ht="85" customHeight="1" x14ac:dyDescent="0.35">
      <c r="A216" s="348">
        <v>13</v>
      </c>
      <c r="B216" s="273" t="s">
        <v>11979</v>
      </c>
      <c r="C216" s="273" t="s">
        <v>11364</v>
      </c>
      <c r="D216" s="274" t="s">
        <v>767</v>
      </c>
      <c r="E216" s="273" t="s">
        <v>11980</v>
      </c>
      <c r="F216" s="273" t="s">
        <v>11981</v>
      </c>
      <c r="G216" s="273" t="s">
        <v>10304</v>
      </c>
      <c r="H216" s="273" t="s">
        <v>2205</v>
      </c>
      <c r="I216" s="273" t="s">
        <v>11982</v>
      </c>
      <c r="J216" s="315" t="s">
        <v>11983</v>
      </c>
      <c r="K216" s="612" t="str">
        <f>HYPERLINK("https://maps.google.com/?q=Dona%20Barca%20Portim%C3%A3o","🍽 Dona Barca")</f>
        <v>🍽 Dona Barca</v>
      </c>
    </row>
    <row r="217" spans="1:11" ht="85" customHeight="1" x14ac:dyDescent="0.35">
      <c r="A217" s="354">
        <v>14</v>
      </c>
      <c r="B217" s="277" t="s">
        <v>11984</v>
      </c>
      <c r="C217" s="277" t="s">
        <v>11985</v>
      </c>
      <c r="D217" s="278" t="s">
        <v>767</v>
      </c>
      <c r="E217" s="277" t="s">
        <v>11986</v>
      </c>
      <c r="F217" s="277" t="s">
        <v>11987</v>
      </c>
      <c r="G217" s="277" t="s">
        <v>11691</v>
      </c>
      <c r="H217" s="277" t="s">
        <v>2186</v>
      </c>
      <c r="I217" s="277" t="s">
        <v>11988</v>
      </c>
      <c r="J217" s="316" t="s">
        <v>11989</v>
      </c>
      <c r="K217" s="613" t="str">
        <f>HYPERLINK("https://maps.google.com/?q=Veneza%20Albufeira","🍽 Veneza")</f>
        <v>🍽 Veneza</v>
      </c>
    </row>
    <row r="218" spans="1:11" ht="85" customHeight="1" x14ac:dyDescent="0.35">
      <c r="A218" s="348">
        <v>15</v>
      </c>
      <c r="B218" s="273" t="s">
        <v>11990</v>
      </c>
      <c r="C218" s="273" t="s">
        <v>11274</v>
      </c>
      <c r="D218" s="274" t="s">
        <v>767</v>
      </c>
      <c r="E218" s="273" t="s">
        <v>11991</v>
      </c>
      <c r="F218" s="273" t="s">
        <v>11992</v>
      </c>
      <c r="G218" s="273" t="s">
        <v>11534</v>
      </c>
      <c r="H218" s="273" t="s">
        <v>2180</v>
      </c>
      <c r="I218" s="273" t="s">
        <v>11993</v>
      </c>
      <c r="J218" s="315" t="s">
        <v>11994</v>
      </c>
      <c r="K218" s="612" t="str">
        <f>HYPERLINK("https://maps.google.com/?q=Marisqueira%20Rui%20Silves","🍽 Marisqueira Rui")</f>
        <v>🍽 Marisqueira Rui</v>
      </c>
    </row>
    <row r="219" spans="1:11" ht="85" customHeight="1" x14ac:dyDescent="0.35">
      <c r="A219" s="354">
        <v>16</v>
      </c>
      <c r="B219" s="277" t="s">
        <v>11995</v>
      </c>
      <c r="C219" s="277" t="s">
        <v>11996</v>
      </c>
      <c r="D219" s="278" t="s">
        <v>767</v>
      </c>
      <c r="E219" s="277" t="s">
        <v>11997</v>
      </c>
      <c r="F219" s="277" t="s">
        <v>11998</v>
      </c>
      <c r="G219" s="277" t="s">
        <v>10909</v>
      </c>
      <c r="H219" s="277" t="s">
        <v>2186</v>
      </c>
      <c r="I219" s="277" t="s">
        <v>11999</v>
      </c>
      <c r="J219" s="316" t="s">
        <v>12000</v>
      </c>
      <c r="K219" s="613" t="str">
        <f>HYPERLINK("https://maps.google.com/?q=O%20Teod%C3%B3sio%20Albufeira","🍽 O Teodósio")</f>
        <v>🍽 O Teodósio</v>
      </c>
    </row>
    <row r="220" spans="1:11" ht="85" customHeight="1" x14ac:dyDescent="0.35">
      <c r="A220" s="348">
        <v>17</v>
      </c>
      <c r="B220" s="273" t="s">
        <v>12001</v>
      </c>
      <c r="C220" s="273" t="s">
        <v>1114</v>
      </c>
      <c r="D220" s="274" t="s">
        <v>767</v>
      </c>
      <c r="E220" s="273" t="s">
        <v>12002</v>
      </c>
      <c r="F220" s="273" t="s">
        <v>12003</v>
      </c>
      <c r="G220" s="273" t="s">
        <v>10839</v>
      </c>
      <c r="H220" s="273" t="s">
        <v>2186</v>
      </c>
      <c r="I220" s="273" t="s">
        <v>12004</v>
      </c>
      <c r="J220" s="315" t="s">
        <v>12005</v>
      </c>
      <c r="K220" s="612" t="str">
        <f>HYPERLINK("https://maps.google.com/?q=Taberna%20dos%20Arcos%20Albufeira","🍽 Taberna dos Arcos")</f>
        <v>🍽 Taberna dos Arcos</v>
      </c>
    </row>
    <row r="221" spans="1:11" ht="85" customHeight="1" x14ac:dyDescent="0.35">
      <c r="A221" s="354">
        <v>18</v>
      </c>
      <c r="B221" s="277" t="s">
        <v>12006</v>
      </c>
      <c r="C221" s="277" t="s">
        <v>12007</v>
      </c>
      <c r="D221" s="278" t="s">
        <v>767</v>
      </c>
      <c r="E221" s="277" t="s">
        <v>12008</v>
      </c>
      <c r="F221" s="277" t="s">
        <v>12009</v>
      </c>
      <c r="G221" s="277" t="s">
        <v>10961</v>
      </c>
      <c r="H221" s="277" t="s">
        <v>5761</v>
      </c>
      <c r="I221" s="277" t="s">
        <v>12010</v>
      </c>
      <c r="J221" s="316" t="s">
        <v>12011</v>
      </c>
      <c r="K221" s="613" t="str">
        <f>HYPERLINK("https://maps.google.com/?q=Taberna%20Modesto%20Faro","🍽 Taberna Modesto")</f>
        <v>🍽 Taberna Modesto</v>
      </c>
    </row>
    <row r="222" spans="1:11" ht="85" customHeight="1" x14ac:dyDescent="0.35">
      <c r="A222" s="348">
        <v>19</v>
      </c>
      <c r="B222" s="273" t="s">
        <v>12012</v>
      </c>
      <c r="C222" s="273" t="s">
        <v>10856</v>
      </c>
      <c r="D222" s="274" t="s">
        <v>767</v>
      </c>
      <c r="E222" s="273" t="s">
        <v>12013</v>
      </c>
      <c r="F222" s="273" t="s">
        <v>12014</v>
      </c>
      <c r="G222" s="273" t="s">
        <v>10825</v>
      </c>
      <c r="H222" s="273" t="s">
        <v>5527</v>
      </c>
      <c r="I222" s="273" t="s">
        <v>12015</v>
      </c>
      <c r="J222" s="315" t="s">
        <v>12016</v>
      </c>
      <c r="K222" s="612" t="str">
        <f>HYPERLINK("https://maps.google.com/?q=A%20do%20Jo%C3%A3o%20Olh%C3%A3o","🍽 A do João")</f>
        <v>🍽 A do João</v>
      </c>
    </row>
    <row r="223" spans="1:11" ht="85" customHeight="1" x14ac:dyDescent="0.35">
      <c r="A223" s="354">
        <v>20</v>
      </c>
      <c r="B223" s="277" t="s">
        <v>12017</v>
      </c>
      <c r="C223" s="277" t="s">
        <v>11498</v>
      </c>
      <c r="D223" s="278" t="s">
        <v>767</v>
      </c>
      <c r="E223" s="277" t="s">
        <v>12018</v>
      </c>
      <c r="F223" s="277" t="s">
        <v>12019</v>
      </c>
      <c r="G223" s="277" t="s">
        <v>10839</v>
      </c>
      <c r="H223" s="277" t="s">
        <v>5764</v>
      </c>
      <c r="I223" s="277" t="s">
        <v>12020</v>
      </c>
      <c r="J223" s="316" t="s">
        <v>12021</v>
      </c>
      <c r="K223" s="613" t="str">
        <f>HYPERLINK("https://maps.google.com/?q=O%20Chico%20Tavira","🍽 O Chico")</f>
        <v>🍽 O Chico</v>
      </c>
    </row>
    <row r="224" spans="1:11" ht="85" customHeight="1" x14ac:dyDescent="0.35">
      <c r="A224" s="348">
        <v>21</v>
      </c>
      <c r="B224" s="273" t="s">
        <v>12022</v>
      </c>
      <c r="C224" s="273" t="s">
        <v>3698</v>
      </c>
      <c r="D224" s="274" t="s">
        <v>767</v>
      </c>
      <c r="E224" s="273" t="s">
        <v>12023</v>
      </c>
      <c r="F224" s="273" t="s">
        <v>12024</v>
      </c>
      <c r="G224" s="273" t="s">
        <v>10874</v>
      </c>
      <c r="H224" s="273" t="s">
        <v>5764</v>
      </c>
      <c r="I224" s="273" t="s">
        <v>12025</v>
      </c>
      <c r="J224" s="315" t="s">
        <v>12026</v>
      </c>
      <c r="K224" s="612" t="str">
        <f>HYPERLINK("https://maps.google.com/?q=Polvo%20%26%20Companhia%20Tavira","🍽 Polvo &amp; Companhia")</f>
        <v>🍽 Polvo &amp; Companhia</v>
      </c>
    </row>
    <row r="225" spans="1:11" ht="85" customHeight="1" x14ac:dyDescent="0.35">
      <c r="A225" s="354">
        <v>22</v>
      </c>
      <c r="B225" s="277" t="s">
        <v>12027</v>
      </c>
      <c r="C225" s="277" t="s">
        <v>11076</v>
      </c>
      <c r="D225" s="278" t="s">
        <v>767</v>
      </c>
      <c r="E225" s="277" t="s">
        <v>12028</v>
      </c>
      <c r="F225" s="277" t="s">
        <v>12029</v>
      </c>
      <c r="G225" s="277" t="s">
        <v>10839</v>
      </c>
      <c r="H225" s="277" t="s">
        <v>2180</v>
      </c>
      <c r="I225" s="277" t="s">
        <v>12030</v>
      </c>
      <c r="J225" s="316" t="s">
        <v>12031</v>
      </c>
      <c r="K225" s="613" t="str">
        <f>HYPERLINK("https://maps.google.com/?q=Adega%20de%20Silves%20Silves","🍽 Adega de Silves")</f>
        <v>🍽 Adega de Silves</v>
      </c>
    </row>
    <row r="226" spans="1:11" ht="85" customHeight="1" x14ac:dyDescent="0.35">
      <c r="A226" s="348">
        <v>23</v>
      </c>
      <c r="B226" s="273" t="s">
        <v>12032</v>
      </c>
      <c r="C226" s="273" t="s">
        <v>3156</v>
      </c>
      <c r="D226" s="274" t="s">
        <v>767</v>
      </c>
      <c r="E226" s="273" t="s">
        <v>12033</v>
      </c>
      <c r="F226" s="273" t="s">
        <v>12034</v>
      </c>
      <c r="G226" s="273" t="s">
        <v>10874</v>
      </c>
      <c r="H226" s="273" t="s">
        <v>2172</v>
      </c>
      <c r="I226" s="273" t="s">
        <v>12035</v>
      </c>
      <c r="J226" s="315" t="s">
        <v>12036</v>
      </c>
      <c r="K226" s="612" t="str">
        <f>HYPERLINK("https://maps.google.com/?q=O%20Retiro%20Loul%C3%A9","🍽 O Retiro")</f>
        <v>🍽 O Retiro</v>
      </c>
    </row>
    <row r="227" spans="1:11" ht="22" customHeight="1" x14ac:dyDescent="0.35">
      <c r="A227" s="1369" t="s">
        <v>12037</v>
      </c>
      <c r="B227" s="1313"/>
      <c r="C227" s="1313"/>
      <c r="D227" s="1313"/>
      <c r="E227" s="1313"/>
      <c r="F227" s="1313"/>
      <c r="G227" s="1313"/>
      <c r="H227" s="1313"/>
      <c r="I227" s="1313"/>
      <c r="J227" s="1313"/>
    </row>
    <row r="228" spans="1:11" ht="85" customHeight="1" x14ac:dyDescent="0.35">
      <c r="A228" s="344">
        <v>1</v>
      </c>
      <c r="B228" s="281" t="s">
        <v>12038</v>
      </c>
      <c r="C228" s="281" t="s">
        <v>12039</v>
      </c>
      <c r="D228" s="282" t="s">
        <v>522</v>
      </c>
      <c r="E228" s="281" t="s">
        <v>3666</v>
      </c>
      <c r="F228" s="281" t="s">
        <v>12040</v>
      </c>
      <c r="G228" s="281" t="s">
        <v>12041</v>
      </c>
      <c r="H228" s="281" t="s">
        <v>12042</v>
      </c>
      <c r="I228" s="281" t="s">
        <v>12043</v>
      </c>
      <c r="J228" s="317" t="s">
        <v>12044</v>
      </c>
      <c r="K228" s="614" t="str">
        <f>HYPERLINK("https://maps.google.com/?q=Casa%20da%20Igreja%20Cacela%20Velha","🍽 Casa da Igreja")</f>
        <v>🍽 Casa da Igreja</v>
      </c>
    </row>
    <row r="229" spans="1:11" ht="85" customHeight="1" x14ac:dyDescent="0.35">
      <c r="A229" s="342">
        <v>2</v>
      </c>
      <c r="B229" s="284" t="s">
        <v>12045</v>
      </c>
      <c r="C229" s="284" t="s">
        <v>12046</v>
      </c>
      <c r="D229" s="367" t="s">
        <v>522</v>
      </c>
      <c r="E229" s="284" t="s">
        <v>12047</v>
      </c>
      <c r="F229" s="284" t="s">
        <v>12048</v>
      </c>
      <c r="G229" s="284" t="s">
        <v>10948</v>
      </c>
      <c r="H229" s="284" t="s">
        <v>2219</v>
      </c>
      <c r="I229" s="284" t="s">
        <v>12049</v>
      </c>
      <c r="J229" s="318" t="s">
        <v>12050</v>
      </c>
      <c r="K229" s="615" t="str">
        <f>HYPERLINK("https://maps.google.com/?q=Casa%20do%20Bolo%20do%20Caco%20Funchal","🍽 Casa do Bolo do Caco")</f>
        <v>🍽 Casa do Bolo do Caco</v>
      </c>
    </row>
    <row r="230" spans="1:11" ht="85" customHeight="1" x14ac:dyDescent="0.35">
      <c r="A230" s="344">
        <v>3</v>
      </c>
      <c r="B230" s="281" t="s">
        <v>12051</v>
      </c>
      <c r="C230" s="281" t="s">
        <v>11076</v>
      </c>
      <c r="D230" s="282" t="s">
        <v>522</v>
      </c>
      <c r="E230" s="281" t="s">
        <v>12052</v>
      </c>
      <c r="F230" s="281" t="s">
        <v>12053</v>
      </c>
      <c r="G230" s="281" t="s">
        <v>10909</v>
      </c>
      <c r="H230" s="281" t="s">
        <v>11461</v>
      </c>
      <c r="I230" s="281" t="s">
        <v>12054</v>
      </c>
      <c r="J230" s="317" t="s">
        <v>12055</v>
      </c>
      <c r="K230" s="614" t="str">
        <f>HYPERLINK("https://maps.google.com/?q=Casa%20de%20Pasto%20Abel%20Camacha","🍽 Casa de Pasto Abel")</f>
        <v>🍽 Casa de Pasto Abel</v>
      </c>
    </row>
    <row r="231" spans="1:11" ht="85" customHeight="1" x14ac:dyDescent="0.35">
      <c r="A231" s="342">
        <v>4</v>
      </c>
      <c r="B231" s="284" t="s">
        <v>12056</v>
      </c>
      <c r="C231" s="284" t="s">
        <v>10850</v>
      </c>
      <c r="D231" s="367" t="s">
        <v>522</v>
      </c>
      <c r="E231" s="284" t="s">
        <v>12057</v>
      </c>
      <c r="F231" s="284" t="s">
        <v>12058</v>
      </c>
      <c r="G231" s="284" t="s">
        <v>10961</v>
      </c>
      <c r="H231" s="284" t="s">
        <v>8728</v>
      </c>
      <c r="I231" s="284" t="s">
        <v>12059</v>
      </c>
      <c r="J231" s="318" t="s">
        <v>12060</v>
      </c>
      <c r="K231" s="615" t="str">
        <f>HYPERLINK("https://maps.google.com/?q=O%20Virgilio%20S%C3%A3o%20Vicente","🍽 O Virgilio")</f>
        <v>🍽 O Virgilio</v>
      </c>
    </row>
    <row r="232" spans="1:11" ht="85" customHeight="1" x14ac:dyDescent="0.35">
      <c r="A232" s="344">
        <v>5</v>
      </c>
      <c r="B232" s="281" t="s">
        <v>12061</v>
      </c>
      <c r="C232" s="281" t="s">
        <v>12062</v>
      </c>
      <c r="D232" s="282" t="s">
        <v>522</v>
      </c>
      <c r="E232" s="281" t="s">
        <v>12063</v>
      </c>
      <c r="F232" s="281" t="s">
        <v>12064</v>
      </c>
      <c r="G232" s="281" t="s">
        <v>10961</v>
      </c>
      <c r="H232" s="281" t="s">
        <v>2815</v>
      </c>
      <c r="I232" s="281" t="s">
        <v>12065</v>
      </c>
      <c r="J232" s="317" t="s">
        <v>12066</v>
      </c>
      <c r="K232" s="614" t="str">
        <f>HYPERLINK("https://maps.google.com/?q=Tonys%20S%C3%A3o%20Miguel","🍽 Tony's")</f>
        <v>🍽 Tony's</v>
      </c>
    </row>
    <row r="233" spans="1:11" ht="85" customHeight="1" x14ac:dyDescent="0.35">
      <c r="A233" s="342">
        <v>6</v>
      </c>
      <c r="B233" s="284" t="s">
        <v>12067</v>
      </c>
      <c r="C233" s="284" t="s">
        <v>11171</v>
      </c>
      <c r="D233" s="367" t="s">
        <v>522</v>
      </c>
      <c r="E233" s="284" t="s">
        <v>12068</v>
      </c>
      <c r="F233" s="284" t="s">
        <v>12069</v>
      </c>
      <c r="G233" s="284" t="s">
        <v>10832</v>
      </c>
      <c r="H233" s="284" t="s">
        <v>2815</v>
      </c>
      <c r="I233" s="284" t="s">
        <v>12070</v>
      </c>
      <c r="J233" s="318" t="s">
        <v>12071</v>
      </c>
      <c r="K233" s="615" t="str">
        <f>HYPERLINK("https://maps.google.com/?q=Associa%C3%A7%C3%A3o%20Agr%C3%ADcola%20S%C3%A3o%20Miguel","🍽 Associação Agrícola")</f>
        <v>🍽 Associação Agrícola</v>
      </c>
    </row>
    <row r="234" spans="1:11" ht="85" customHeight="1" x14ac:dyDescent="0.35">
      <c r="A234" s="344">
        <v>7</v>
      </c>
      <c r="B234" s="281" t="s">
        <v>12072</v>
      </c>
      <c r="C234" s="281" t="s">
        <v>11223</v>
      </c>
      <c r="D234" s="282" t="s">
        <v>522</v>
      </c>
      <c r="E234" s="281" t="s">
        <v>12073</v>
      </c>
      <c r="F234" s="281" t="s">
        <v>12074</v>
      </c>
      <c r="G234" s="281" t="s">
        <v>10874</v>
      </c>
      <c r="H234" s="281" t="s">
        <v>2815</v>
      </c>
      <c r="I234" s="281" t="s">
        <v>12075</v>
      </c>
      <c r="J234" s="317" t="s">
        <v>12076</v>
      </c>
      <c r="K234" s="614" t="str">
        <f>HYPERLINK("https://maps.google.com/?q=A%20Tasca%20S%C3%A3o%20Miguel","🍽 A Tasca")</f>
        <v>🍽 A Tasca</v>
      </c>
    </row>
    <row r="235" spans="1:11" ht="85" customHeight="1" x14ac:dyDescent="0.35">
      <c r="A235" s="342">
        <v>8</v>
      </c>
      <c r="B235" s="284" t="s">
        <v>12077</v>
      </c>
      <c r="C235" s="284" t="s">
        <v>10970</v>
      </c>
      <c r="D235" s="367" t="s">
        <v>522</v>
      </c>
      <c r="E235" s="284" t="s">
        <v>12078</v>
      </c>
      <c r="F235" s="284" t="s">
        <v>12079</v>
      </c>
      <c r="G235" s="284" t="s">
        <v>10931</v>
      </c>
      <c r="H235" s="284" t="s">
        <v>2815</v>
      </c>
      <c r="I235" s="284" t="s">
        <v>12080</v>
      </c>
      <c r="J235" s="318" t="s">
        <v>12081</v>
      </c>
      <c r="K235" s="615" t="str">
        <f>HYPERLINK("https://maps.google.com/?q=O%20Cavalo%20Branco%20S%C3%A3o%20Miguel","🍽 O Cavalo Branco")</f>
        <v>🍽 O Cavalo Branco</v>
      </c>
    </row>
    <row r="236" spans="1:11" ht="85" customHeight="1" x14ac:dyDescent="0.35">
      <c r="A236" s="344">
        <v>9</v>
      </c>
      <c r="B236" s="281" t="s">
        <v>12082</v>
      </c>
      <c r="C236" s="281" t="s">
        <v>3156</v>
      </c>
      <c r="D236" s="282" t="s">
        <v>522</v>
      </c>
      <c r="E236" s="281" t="s">
        <v>12083</v>
      </c>
      <c r="F236" s="281" t="s">
        <v>12084</v>
      </c>
      <c r="G236" s="281" t="s">
        <v>10839</v>
      </c>
      <c r="H236" s="281" t="s">
        <v>2841</v>
      </c>
      <c r="I236" s="281" t="s">
        <v>12085</v>
      </c>
      <c r="J236" s="317" t="s">
        <v>12086</v>
      </c>
      <c r="K236" s="614" t="str">
        <f>HYPERLINK("https://maps.google.com/?q=Ti%20Choa%20Terceira","🍽 Ti Choa")</f>
        <v>🍽 Ti Choa</v>
      </c>
    </row>
    <row r="237" spans="1:11" ht="85" customHeight="1" x14ac:dyDescent="0.35">
      <c r="A237" s="342">
        <v>10</v>
      </c>
      <c r="B237" s="284" t="s">
        <v>12087</v>
      </c>
      <c r="C237" s="284" t="s">
        <v>3156</v>
      </c>
      <c r="D237" s="367" t="s">
        <v>522</v>
      </c>
      <c r="E237" s="284" t="s">
        <v>12088</v>
      </c>
      <c r="F237" s="284" t="s">
        <v>12089</v>
      </c>
      <c r="G237" s="284" t="s">
        <v>10961</v>
      </c>
      <c r="H237" s="284" t="s">
        <v>2841</v>
      </c>
      <c r="I237" s="284" t="s">
        <v>12090</v>
      </c>
      <c r="J237" s="318" t="s">
        <v>12091</v>
      </c>
      <c r="K237" s="615" t="str">
        <f>HYPERLINK("https://maps.google.com/?q=Caneta%20Terceira","🍽 Caneta")</f>
        <v>🍽 Caneta</v>
      </c>
    </row>
    <row r="238" spans="1:11" ht="85" customHeight="1" x14ac:dyDescent="0.35">
      <c r="A238" s="344">
        <v>11</v>
      </c>
      <c r="B238" s="281" t="s">
        <v>12092</v>
      </c>
      <c r="C238" s="281" t="s">
        <v>12093</v>
      </c>
      <c r="D238" s="282" t="s">
        <v>522</v>
      </c>
      <c r="E238" s="281" t="s">
        <v>12094</v>
      </c>
      <c r="F238" s="281" t="s">
        <v>12095</v>
      </c>
      <c r="G238" s="281" t="s">
        <v>10839</v>
      </c>
      <c r="H238" s="281" t="s">
        <v>2841</v>
      </c>
      <c r="I238" s="281" t="s">
        <v>12096</v>
      </c>
      <c r="J238" s="317" t="s">
        <v>12097</v>
      </c>
      <c r="K238" s="614" t="str">
        <f>HYPERLINK("https://maps.google.com/?q=Taberna%20Roberto%20Terceira","🍽 Taberna Roberto")</f>
        <v>🍽 Taberna Roberto</v>
      </c>
    </row>
    <row r="239" spans="1:11" ht="85" customHeight="1" x14ac:dyDescent="0.35">
      <c r="A239" s="342">
        <v>12</v>
      </c>
      <c r="B239" s="284" t="s">
        <v>6646</v>
      </c>
      <c r="C239" s="284" t="s">
        <v>12098</v>
      </c>
      <c r="D239" s="367" t="s">
        <v>522</v>
      </c>
      <c r="E239" s="284" t="s">
        <v>12099</v>
      </c>
      <c r="F239" s="284" t="s">
        <v>12100</v>
      </c>
      <c r="G239" s="284" t="s">
        <v>10874</v>
      </c>
      <c r="H239" s="284" t="s">
        <v>2823</v>
      </c>
      <c r="I239" s="284" t="s">
        <v>12101</v>
      </c>
      <c r="J239" s="318" t="s">
        <v>12102</v>
      </c>
      <c r="K239" s="615" t="str">
        <f>HYPERLINK("https://maps.google.com/?q=Peter%20Caf%C3%A9%20Sport%20Faial","🍽 Peter Café Sport")</f>
        <v>🍽 Peter Café Sport</v>
      </c>
    </row>
    <row r="240" spans="1:11" ht="85" customHeight="1" x14ac:dyDescent="0.35">
      <c r="A240" s="344">
        <v>13</v>
      </c>
      <c r="B240" s="281" t="s">
        <v>4217</v>
      </c>
      <c r="C240" s="281" t="s">
        <v>12103</v>
      </c>
      <c r="D240" s="282" t="s">
        <v>522</v>
      </c>
      <c r="E240" s="281" t="s">
        <v>12104</v>
      </c>
      <c r="F240" s="281" t="s">
        <v>12105</v>
      </c>
      <c r="G240" s="281" t="s">
        <v>10961</v>
      </c>
      <c r="H240" s="281" t="s">
        <v>2823</v>
      </c>
      <c r="I240" s="281" t="s">
        <v>10875</v>
      </c>
      <c r="J240" s="317" t="s">
        <v>12106</v>
      </c>
      <c r="K240" s="614" t="str">
        <f>HYPERLINK("https://maps.google.com/?q=Canto%20da%20Doca%20Faial","🍽 Canto da Doca")</f>
        <v>🍽 Canto da Doca</v>
      </c>
    </row>
    <row r="241" spans="1:11" ht="85" customHeight="1" x14ac:dyDescent="0.35">
      <c r="A241" s="342">
        <v>14</v>
      </c>
      <c r="B241" s="284" t="s">
        <v>12107</v>
      </c>
      <c r="C241" s="284" t="s">
        <v>12108</v>
      </c>
      <c r="D241" s="367" t="s">
        <v>522</v>
      </c>
      <c r="E241" s="284" t="s">
        <v>12109</v>
      </c>
      <c r="F241" s="284" t="s">
        <v>12110</v>
      </c>
      <c r="G241" s="284" t="s">
        <v>10832</v>
      </c>
      <c r="H241" s="284" t="s">
        <v>2823</v>
      </c>
      <c r="I241" s="284" t="s">
        <v>12111</v>
      </c>
      <c r="J241" s="318" t="s">
        <v>12112</v>
      </c>
      <c r="K241" s="615" t="str">
        <f>HYPERLINK("https://maps.google.com/?q=Genu%C3%ADno%20Faial","🍽 Genuíno")</f>
        <v>🍽 Genuíno</v>
      </c>
    </row>
    <row r="242" spans="1:11" ht="85" customHeight="1" x14ac:dyDescent="0.35">
      <c r="A242" s="344">
        <v>15</v>
      </c>
      <c r="B242" s="281" t="s">
        <v>12113</v>
      </c>
      <c r="C242" s="281" t="s">
        <v>12114</v>
      </c>
      <c r="D242" s="282" t="s">
        <v>522</v>
      </c>
      <c r="E242" s="281" t="s">
        <v>12115</v>
      </c>
      <c r="F242" s="281" t="s">
        <v>12116</v>
      </c>
      <c r="G242" s="281" t="s">
        <v>12117</v>
      </c>
      <c r="H242" s="281" t="s">
        <v>2815</v>
      </c>
      <c r="I242" s="281" t="s">
        <v>12118</v>
      </c>
      <c r="J242" s="317" t="s">
        <v>12119</v>
      </c>
      <c r="K242" s="614" t="str">
        <f>HYPERLINK("https://maps.google.com/?q=Man%C3%A9%20Cigano%20S%C3%A3o%20Miguel","🍽 Mané Cigano")</f>
        <v>🍽 Mané Cigano</v>
      </c>
    </row>
    <row r="243" spans="1:11" ht="85" customHeight="1" x14ac:dyDescent="0.35">
      <c r="A243" s="342">
        <v>16</v>
      </c>
      <c r="B243" s="284" t="s">
        <v>12120</v>
      </c>
      <c r="C243" s="284" t="s">
        <v>12121</v>
      </c>
      <c r="D243" s="367" t="s">
        <v>522</v>
      </c>
      <c r="E243" s="284" t="s">
        <v>12122</v>
      </c>
      <c r="F243" s="284" t="s">
        <v>12123</v>
      </c>
      <c r="G243" s="284" t="s">
        <v>10961</v>
      </c>
      <c r="H243" s="284" t="s">
        <v>2815</v>
      </c>
      <c r="I243" s="284" t="s">
        <v>12124</v>
      </c>
      <c r="J243" s="318" t="s">
        <v>12125</v>
      </c>
      <c r="K243" s="615" t="str">
        <f>HYPERLINK("https://maps.google.com/?q=O%20Miroma%20S%C3%A3o%20Miguel","🍽 O Miroma")</f>
        <v>🍽 O Miroma</v>
      </c>
    </row>
    <row r="244" spans="1:11" ht="85" customHeight="1" x14ac:dyDescent="0.35">
      <c r="A244" s="344">
        <v>17</v>
      </c>
      <c r="B244" s="281" t="s">
        <v>12126</v>
      </c>
      <c r="C244" s="281" t="s">
        <v>11274</v>
      </c>
      <c r="D244" s="282" t="s">
        <v>522</v>
      </c>
      <c r="E244" s="281" t="s">
        <v>12127</v>
      </c>
      <c r="F244" s="281" t="s">
        <v>12128</v>
      </c>
      <c r="G244" s="281" t="s">
        <v>10825</v>
      </c>
      <c r="H244" s="281" t="s">
        <v>2815</v>
      </c>
      <c r="I244" s="281" t="s">
        <v>12129</v>
      </c>
      <c r="J244" s="317" t="s">
        <v>12130</v>
      </c>
      <c r="K244" s="614" t="str">
        <f>HYPERLINK("https://maps.google.com/?q=Cais%2020%20S%C3%A3o%20Miguel","🍽 Cais 20")</f>
        <v>🍽 Cais 20</v>
      </c>
    </row>
    <row r="245" spans="1:11" ht="85" customHeight="1" x14ac:dyDescent="0.35">
      <c r="A245" s="342">
        <v>18</v>
      </c>
      <c r="B245" s="284" t="s">
        <v>12131</v>
      </c>
      <c r="C245" s="284" t="s">
        <v>12132</v>
      </c>
      <c r="D245" s="367" t="s">
        <v>522</v>
      </c>
      <c r="E245" s="284" t="s">
        <v>12133</v>
      </c>
      <c r="F245" s="284" t="s">
        <v>12134</v>
      </c>
      <c r="G245" s="284" t="s">
        <v>10832</v>
      </c>
      <c r="H245" s="284" t="s">
        <v>2815</v>
      </c>
      <c r="I245" s="284" t="s">
        <v>12135</v>
      </c>
      <c r="J245" s="318" t="s">
        <v>12136</v>
      </c>
      <c r="K245" s="615" t="str">
        <f>HYPERLINK("https://maps.google.com/?q=Boca%20de%20Cena%20S%C3%A3o%20Miguel","🍽 Boca de Cena")</f>
        <v>🍽 Boca de Cena</v>
      </c>
    </row>
    <row r="246" spans="1:11" ht="85" customHeight="1" x14ac:dyDescent="0.35">
      <c r="A246" s="344">
        <v>19</v>
      </c>
      <c r="B246" s="281" t="s">
        <v>12017</v>
      </c>
      <c r="C246" s="281" t="s">
        <v>10836</v>
      </c>
      <c r="D246" s="282" t="s">
        <v>522</v>
      </c>
      <c r="E246" s="281" t="s">
        <v>12137</v>
      </c>
      <c r="F246" s="281" t="s">
        <v>12138</v>
      </c>
      <c r="G246" s="281" t="s">
        <v>11231</v>
      </c>
      <c r="H246" s="281" t="s">
        <v>2815</v>
      </c>
      <c r="I246" s="281" t="s">
        <v>12139</v>
      </c>
      <c r="J246" s="317" t="s">
        <v>12140</v>
      </c>
      <c r="K246" s="614" t="str">
        <f>HYPERLINK("https://maps.google.com/?q=O%20Chico%20S%C3%A3o%20Miguel","🍽 O Chico")</f>
        <v>🍽 O Chico</v>
      </c>
    </row>
    <row r="247" spans="1:11" ht="85" customHeight="1" x14ac:dyDescent="0.35">
      <c r="A247" s="342">
        <v>20</v>
      </c>
      <c r="B247" s="284" t="s">
        <v>6663</v>
      </c>
      <c r="C247" s="284" t="s">
        <v>12141</v>
      </c>
      <c r="D247" s="367" t="s">
        <v>522</v>
      </c>
      <c r="E247" s="284" t="s">
        <v>12142</v>
      </c>
      <c r="F247" s="284" t="s">
        <v>12143</v>
      </c>
      <c r="G247" s="284" t="s">
        <v>10832</v>
      </c>
      <c r="H247" s="284" t="s">
        <v>2828</v>
      </c>
      <c r="I247" s="284" t="s">
        <v>12144</v>
      </c>
      <c r="J247" s="318" t="s">
        <v>12145</v>
      </c>
      <c r="K247" s="615" t="str">
        <f>HYPERLINK("https://maps.google.com/?q=Cella%20Bar%20Pico","🍽 Cella Bar")</f>
        <v>🍽 Cella Bar</v>
      </c>
    </row>
    <row r="248" spans="1:11" ht="85" customHeight="1" x14ac:dyDescent="0.35">
      <c r="A248" s="344">
        <v>21</v>
      </c>
      <c r="B248" s="281" t="s">
        <v>12146</v>
      </c>
      <c r="C248" s="281" t="s">
        <v>11052</v>
      </c>
      <c r="D248" s="282" t="s">
        <v>522</v>
      </c>
      <c r="E248" s="281" t="s">
        <v>12147</v>
      </c>
      <c r="F248" s="281" t="s">
        <v>12148</v>
      </c>
      <c r="G248" s="281" t="s">
        <v>11174</v>
      </c>
      <c r="H248" s="281" t="s">
        <v>2828</v>
      </c>
      <c r="I248" s="281" t="s">
        <v>12149</v>
      </c>
      <c r="J248" s="317" t="s">
        <v>12150</v>
      </c>
      <c r="K248" s="614" t="str">
        <f>HYPERLINK("https://maps.google.com/?q=Magma%20Pico","🍽 Magma")</f>
        <v>🍽 Magma</v>
      </c>
    </row>
    <row r="249" spans="1:11" ht="85" customHeight="1" x14ac:dyDescent="0.35">
      <c r="A249" s="342">
        <v>22</v>
      </c>
      <c r="B249" s="284" t="s">
        <v>12151</v>
      </c>
      <c r="C249" s="284" t="s">
        <v>12152</v>
      </c>
      <c r="D249" s="367" t="s">
        <v>522</v>
      </c>
      <c r="E249" s="284" t="s">
        <v>12153</v>
      </c>
      <c r="F249" s="284" t="s">
        <v>12154</v>
      </c>
      <c r="G249" s="284" t="s">
        <v>10961</v>
      </c>
      <c r="H249" s="284" t="s">
        <v>2833</v>
      </c>
      <c r="I249" s="284" t="s">
        <v>12155</v>
      </c>
      <c r="J249" s="318" t="s">
        <v>12156</v>
      </c>
      <c r="K249" s="615" t="str">
        <f>HYPERLINK("https://maps.google.com/?q=Aldeia%20da%20Cuada%20Flores","🍽 Aldeia da Cuada")</f>
        <v>🍽 Aldeia da Cuada</v>
      </c>
    </row>
    <row r="250" spans="1:11" ht="85" customHeight="1" x14ac:dyDescent="0.35">
      <c r="A250" s="344">
        <v>23</v>
      </c>
      <c r="B250" s="281" t="s">
        <v>12157</v>
      </c>
      <c r="C250" s="281" t="s">
        <v>11171</v>
      </c>
      <c r="D250" s="282" t="s">
        <v>522</v>
      </c>
      <c r="E250" s="281" t="s">
        <v>12158</v>
      </c>
      <c r="F250" s="281" t="s">
        <v>12159</v>
      </c>
      <c r="G250" s="281" t="s">
        <v>10304</v>
      </c>
      <c r="H250" s="281" t="s">
        <v>2833</v>
      </c>
      <c r="I250" s="281" t="s">
        <v>12160</v>
      </c>
      <c r="J250" s="317" t="s">
        <v>12161</v>
      </c>
      <c r="K250" s="614" t="str">
        <f>HYPERLINK("https://maps.google.com/?q=O%20Ferreiro%20Flores","🍽 O Ferreiro")</f>
        <v>🍽 O Ferreiro</v>
      </c>
    </row>
    <row r="251" spans="1:11" ht="85" customHeight="1" x14ac:dyDescent="0.35">
      <c r="A251" s="342">
        <v>24</v>
      </c>
      <c r="B251" s="284" t="s">
        <v>12162</v>
      </c>
      <c r="C251" s="284" t="s">
        <v>3156</v>
      </c>
      <c r="D251" s="367" t="s">
        <v>522</v>
      </c>
      <c r="E251" s="284" t="s">
        <v>12163</v>
      </c>
      <c r="F251" s="284" t="s">
        <v>12164</v>
      </c>
      <c r="G251" s="284" t="s">
        <v>10839</v>
      </c>
      <c r="H251" s="284" t="s">
        <v>2837</v>
      </c>
      <c r="I251" s="284" t="s">
        <v>12165</v>
      </c>
      <c r="J251" s="318" t="s">
        <v>12166</v>
      </c>
      <c r="K251" s="615" t="str">
        <f>HYPERLINK("https://maps.google.com/?q=Os%20Moinhos%20Graciosa","🍽 Os Moinhos")</f>
        <v>🍽 Os Moinhos</v>
      </c>
    </row>
    <row r="252" spans="1:11" ht="85" customHeight="1" x14ac:dyDescent="0.35">
      <c r="A252" s="344">
        <v>25</v>
      </c>
      <c r="B252" s="281" t="s">
        <v>12167</v>
      </c>
      <c r="C252" s="281" t="s">
        <v>12168</v>
      </c>
      <c r="D252" s="282" t="s">
        <v>522</v>
      </c>
      <c r="E252" s="281" t="s">
        <v>12169</v>
      </c>
      <c r="F252" s="281" t="s">
        <v>12095</v>
      </c>
      <c r="G252" s="281" t="s">
        <v>10304</v>
      </c>
      <c r="H252" s="281" t="s">
        <v>2841</v>
      </c>
      <c r="I252" s="281" t="s">
        <v>12170</v>
      </c>
      <c r="J252" s="317" t="s">
        <v>12171</v>
      </c>
      <c r="K252" s="614" t="str">
        <f>HYPERLINK("https://maps.google.com/?q=Adega%20Lusit%C3%A2nia%20Terceira","🍽 Adega Lusitânia")</f>
        <v>🍽 Adega Lusitânia</v>
      </c>
    </row>
    <row r="253" spans="1:11" ht="85" customHeight="1" x14ac:dyDescent="0.35">
      <c r="A253" s="342">
        <v>26</v>
      </c>
      <c r="B253" s="284" t="s">
        <v>4269</v>
      </c>
      <c r="C253" s="284" t="s">
        <v>10884</v>
      </c>
      <c r="D253" s="367" t="s">
        <v>522</v>
      </c>
      <c r="E253" s="284" t="s">
        <v>12172</v>
      </c>
      <c r="F253" s="284" t="s">
        <v>12173</v>
      </c>
      <c r="G253" s="284" t="s">
        <v>10874</v>
      </c>
      <c r="H253" s="284" t="s">
        <v>2841</v>
      </c>
      <c r="I253" s="284" t="s">
        <v>12174</v>
      </c>
      <c r="J253" s="318" t="s">
        <v>12175</v>
      </c>
      <c r="K253" s="615" t="str">
        <f>HYPERLINK("https://maps.google.com/?q=O%20Pescador%20Terceira","🍽 O Pescador")</f>
        <v>🍽 O Pescador</v>
      </c>
    </row>
    <row r="254" spans="1:11" ht="85" customHeight="1" x14ac:dyDescent="0.35">
      <c r="A254" s="344">
        <v>27</v>
      </c>
      <c r="B254" s="281" t="s">
        <v>12176</v>
      </c>
      <c r="C254" s="281" t="s">
        <v>10850</v>
      </c>
      <c r="D254" s="282" t="s">
        <v>522</v>
      </c>
      <c r="E254" s="281" t="s">
        <v>12177</v>
      </c>
      <c r="F254" s="281" t="s">
        <v>12178</v>
      </c>
      <c r="G254" s="281" t="s">
        <v>10839</v>
      </c>
      <c r="H254" s="281" t="s">
        <v>2823</v>
      </c>
      <c r="I254" s="281" t="s">
        <v>12179</v>
      </c>
      <c r="J254" s="317" t="s">
        <v>12180</v>
      </c>
      <c r="K254" s="614" t="str">
        <f>HYPERLINK("https://maps.google.com/?q=O%20Jaime%20Faial","🍽 O Jaime")</f>
        <v>🍽 O Jaime</v>
      </c>
    </row>
    <row r="255" spans="1:11" ht="85" customHeight="1" x14ac:dyDescent="0.35">
      <c r="A255" s="342">
        <v>28</v>
      </c>
      <c r="B255" s="284" t="s">
        <v>12181</v>
      </c>
      <c r="C255" s="284" t="s">
        <v>12182</v>
      </c>
      <c r="D255" s="367" t="s">
        <v>522</v>
      </c>
      <c r="E255" s="284" t="s">
        <v>12183</v>
      </c>
      <c r="F255" s="284" t="s">
        <v>12184</v>
      </c>
      <c r="G255" s="284" t="s">
        <v>12117</v>
      </c>
      <c r="H255" s="284" t="s">
        <v>2815</v>
      </c>
      <c r="I255" s="284" t="s">
        <v>12185</v>
      </c>
      <c r="J255" s="318" t="s">
        <v>12186</v>
      </c>
      <c r="K255" s="615" t="str">
        <f>HYPERLINK("https://maps.google.com/?q=Botequim%20S%C3%A3o%20Miguel","🍽 Botequim")</f>
        <v>🍽 Botequim</v>
      </c>
    </row>
    <row r="256" spans="1:11" ht="85" customHeight="1" x14ac:dyDescent="0.35">
      <c r="A256" s="344">
        <v>29</v>
      </c>
      <c r="B256" s="281" t="s">
        <v>12187</v>
      </c>
      <c r="C256" s="281" t="s">
        <v>12188</v>
      </c>
      <c r="D256" s="282" t="s">
        <v>522</v>
      </c>
      <c r="E256" s="281" t="s">
        <v>12189</v>
      </c>
      <c r="F256" s="281" t="s">
        <v>12095</v>
      </c>
      <c r="G256" s="281" t="s">
        <v>11231</v>
      </c>
      <c r="H256" s="281" t="s">
        <v>2841</v>
      </c>
      <c r="I256" s="281" t="s">
        <v>12190</v>
      </c>
      <c r="J256" s="317" t="s">
        <v>12191</v>
      </c>
      <c r="K256" s="614" t="str">
        <f>HYPERLINK("https://maps.google.com/?q=Quinta%20dos%20A%C3%A7ores%20Terceira","🍽 Quinta dos Açores")</f>
        <v>🍽 Quinta dos Açores</v>
      </c>
    </row>
    <row r="257" spans="1:11" ht="85" customHeight="1" x14ac:dyDescent="0.35">
      <c r="A257" s="342">
        <v>30</v>
      </c>
      <c r="B257" s="284" t="s">
        <v>12192</v>
      </c>
      <c r="C257" s="284" t="s">
        <v>10836</v>
      </c>
      <c r="D257" s="367" t="s">
        <v>522</v>
      </c>
      <c r="E257" s="284" t="s">
        <v>12193</v>
      </c>
      <c r="F257" s="284" t="s">
        <v>12074</v>
      </c>
      <c r="G257" s="284" t="s">
        <v>10839</v>
      </c>
      <c r="H257" s="284" t="s">
        <v>2815</v>
      </c>
      <c r="I257" s="284" t="s">
        <v>12194</v>
      </c>
      <c r="J257" s="318" t="s">
        <v>12195</v>
      </c>
      <c r="K257" s="615" t="str">
        <f>HYPERLINK("https://maps.google.com/?q=Tasca%20do%20Isaias%20S%C3%A3o%20Miguel","🍽 Tasca do Isaias")</f>
        <v>🍽 Tasca do Isaias</v>
      </c>
    </row>
    <row r="258" spans="1:11" ht="85" customHeight="1" x14ac:dyDescent="0.35">
      <c r="A258" s="344">
        <v>31</v>
      </c>
      <c r="B258" s="281" t="s">
        <v>12196</v>
      </c>
      <c r="C258" s="281" t="s">
        <v>3156</v>
      </c>
      <c r="D258" s="282" t="s">
        <v>522</v>
      </c>
      <c r="E258" s="281" t="s">
        <v>12197</v>
      </c>
      <c r="F258" s="281" t="s">
        <v>12198</v>
      </c>
      <c r="G258" s="281" t="s">
        <v>10961</v>
      </c>
      <c r="H258" s="281" t="s">
        <v>12199</v>
      </c>
      <c r="I258" s="281" t="s">
        <v>12200</v>
      </c>
      <c r="J258" s="317" t="s">
        <v>12201</v>
      </c>
      <c r="K258" s="614" t="str">
        <f>HYPERLINK("https://maps.google.com/?q=Cozinha%20do%20Convento%20Torre%20Moncorvo","🍽 Cozinha do Convento")</f>
        <v>🍽 Cozinha do Convento</v>
      </c>
    </row>
    <row r="259" spans="1:11" ht="85" customHeight="1" x14ac:dyDescent="0.35">
      <c r="A259" s="342">
        <v>32</v>
      </c>
      <c r="B259" s="284" t="s">
        <v>12202</v>
      </c>
      <c r="C259" s="284" t="s">
        <v>12203</v>
      </c>
      <c r="D259" s="367" t="s">
        <v>522</v>
      </c>
      <c r="E259" s="284" t="s">
        <v>12204</v>
      </c>
      <c r="F259" s="284" t="s">
        <v>12205</v>
      </c>
      <c r="G259" s="284" t="s">
        <v>12206</v>
      </c>
      <c r="H259" s="284" t="s">
        <v>1065</v>
      </c>
      <c r="I259" s="285" t="s">
        <v>12207</v>
      </c>
      <c r="J259" s="318" t="s">
        <v>12208</v>
      </c>
      <c r="K259" s="615" t="str">
        <f>HYPERLINK("https://maps.google.com/?q=Z%C3%A9%20da%20Picanha%20%E2%80%94%20Angra%20Angra%20do%20Hero%C3%ADsmo","🍽 Zé da Picanha — Angra")</f>
        <v>🍽 Zé da Picanha — Angra</v>
      </c>
    </row>
    <row r="260" spans="1:11" ht="85" customHeight="1" x14ac:dyDescent="0.35">
      <c r="A260" s="344">
        <v>33</v>
      </c>
      <c r="B260" s="281" t="s">
        <v>12209</v>
      </c>
      <c r="C260" s="281" t="s">
        <v>12210</v>
      </c>
      <c r="D260" s="282" t="s">
        <v>522</v>
      </c>
      <c r="E260" s="281" t="s">
        <v>12211</v>
      </c>
      <c r="F260" s="281" t="s">
        <v>12212</v>
      </c>
      <c r="G260" s="281" t="s">
        <v>12213</v>
      </c>
      <c r="H260" s="281" t="s">
        <v>12214</v>
      </c>
      <c r="I260" s="283" t="s">
        <v>12215</v>
      </c>
      <c r="J260" s="317" t="s">
        <v>12216</v>
      </c>
      <c r="K260" s="614" t="str">
        <f>HYPERLINK("https://maps.google.com/?q=Quinta%20das%20Rosas%20%E2%80%94%20Furnas%20Furnas%2C%20S%C3%A3o%20Miguel","🍽 Quinta das Rosas — Furnas")</f>
        <v>🍽 Quinta das Rosas — Furnas</v>
      </c>
    </row>
    <row r="261" spans="1:11" ht="85" customHeight="1" x14ac:dyDescent="0.35">
      <c r="A261" s="342">
        <v>34</v>
      </c>
      <c r="B261" s="284" t="s">
        <v>12217</v>
      </c>
      <c r="C261" s="284" t="s">
        <v>12218</v>
      </c>
      <c r="D261" s="367" t="s">
        <v>522</v>
      </c>
      <c r="E261" s="284" t="s">
        <v>12219</v>
      </c>
      <c r="F261" s="284" t="s">
        <v>12220</v>
      </c>
      <c r="G261" s="284" t="s">
        <v>12221</v>
      </c>
      <c r="H261" s="284" t="s">
        <v>3690</v>
      </c>
      <c r="I261" s="285" t="s">
        <v>12222</v>
      </c>
      <c r="J261" s="318" t="s">
        <v>12223</v>
      </c>
      <c r="K261" s="615" t="str">
        <f>HYPERLINK("https://maps.google.com/?q=Tonys%20Restaurant%20%E2%80%94%20Horta%20Horta%2C%20Faial","🍽 Tony's Restaurant — Horta")</f>
        <v>🍽 Tony's Restaurant — Horta</v>
      </c>
    </row>
    <row r="262" spans="1:11" ht="85" customHeight="1" x14ac:dyDescent="0.35">
      <c r="A262" s="344">
        <v>35</v>
      </c>
      <c r="B262" s="281" t="s">
        <v>12224</v>
      </c>
      <c r="C262" s="281" t="s">
        <v>12225</v>
      </c>
      <c r="D262" s="282" t="s">
        <v>522</v>
      </c>
      <c r="E262" s="281" t="s">
        <v>12226</v>
      </c>
      <c r="F262" s="281" t="s">
        <v>12227</v>
      </c>
      <c r="G262" s="281" t="s">
        <v>12228</v>
      </c>
      <c r="H262" s="281" t="s">
        <v>8741</v>
      </c>
      <c r="I262" s="283" t="s">
        <v>12229</v>
      </c>
      <c r="J262" s="317" t="s">
        <v>12230</v>
      </c>
      <c r="K262" s="614" t="str">
        <f>HYPERLINK("https://maps.google.com/?q=Solar%20da%20Lagoa%20%E2%80%94%20Sete%20Cidades%20Sete%20Cidades%2C%20S%C3%A3o%20Miguel","🍽 Solar da Lagoa — Sete Cidade")</f>
        <v>🍽 Solar da Lagoa — Sete Cidade</v>
      </c>
    </row>
    <row r="263" spans="1:11" ht="85" customHeight="1" x14ac:dyDescent="0.35">
      <c r="A263" s="342">
        <v>36</v>
      </c>
      <c r="B263" s="284" t="s">
        <v>12231</v>
      </c>
      <c r="C263" s="284" t="s">
        <v>12232</v>
      </c>
      <c r="D263" s="367" t="s">
        <v>522</v>
      </c>
      <c r="E263" s="284" t="s">
        <v>12233</v>
      </c>
      <c r="F263" s="284" t="s">
        <v>12205</v>
      </c>
      <c r="G263" s="284" t="s">
        <v>12234</v>
      </c>
      <c r="H263" s="284" t="s">
        <v>1065</v>
      </c>
      <c r="I263" s="285" t="s">
        <v>12235</v>
      </c>
      <c r="J263" s="318" t="s">
        <v>12236</v>
      </c>
      <c r="K263" s="615" t="str">
        <f>HYPERLINK("https://maps.google.com/?q=O%20M%C3%B3naco%20%E2%80%94%20Alcatra%20Real%20Angra%20do%20Hero%C3%ADsmo","🍽 O Mónaco — Alcatra Real")</f>
        <v>🍽 O Mónaco — Alcatra Real</v>
      </c>
    </row>
    <row r="264" spans="1:11" ht="22" customHeight="1" x14ac:dyDescent="0.35">
      <c r="A264" s="1370" t="s">
        <v>12237</v>
      </c>
      <c r="B264" s="1313"/>
      <c r="C264" s="1313"/>
      <c r="D264" s="1313"/>
      <c r="E264" s="1313"/>
      <c r="F264" s="1313"/>
      <c r="G264" s="1313"/>
      <c r="H264" s="1313"/>
      <c r="I264" s="1313"/>
      <c r="J264" s="1313"/>
    </row>
    <row r="265" spans="1:11" ht="85" customHeight="1" x14ac:dyDescent="0.35">
      <c r="A265" s="350">
        <v>1</v>
      </c>
      <c r="B265" s="251" t="s">
        <v>12238</v>
      </c>
      <c r="C265" s="251" t="s">
        <v>10970</v>
      </c>
      <c r="D265" s="252" t="s">
        <v>524</v>
      </c>
      <c r="E265" s="251" t="s">
        <v>12239</v>
      </c>
      <c r="F265" s="251" t="s">
        <v>12240</v>
      </c>
      <c r="G265" s="251" t="s">
        <v>10839</v>
      </c>
      <c r="H265" s="251" t="s">
        <v>2219</v>
      </c>
      <c r="I265" s="251" t="s">
        <v>12241</v>
      </c>
      <c r="J265" s="319" t="s">
        <v>12242</v>
      </c>
      <c r="K265" s="616" t="str">
        <f>HYPERLINK("https://maps.google.com/?q=A%20Bica%20Funchal","🍽 A Bica")</f>
        <v>🍽 A Bica</v>
      </c>
    </row>
    <row r="266" spans="1:11" ht="85" customHeight="1" x14ac:dyDescent="0.35">
      <c r="A266" s="356">
        <v>2</v>
      </c>
      <c r="B266" s="254" t="s">
        <v>12243</v>
      </c>
      <c r="C266" s="254" t="s">
        <v>3156</v>
      </c>
      <c r="D266" s="255" t="s">
        <v>524</v>
      </c>
      <c r="E266" s="254" t="s">
        <v>12244</v>
      </c>
      <c r="F266" s="254" t="s">
        <v>12245</v>
      </c>
      <c r="G266" s="254" t="s">
        <v>10832</v>
      </c>
      <c r="H266" s="254" t="s">
        <v>2219</v>
      </c>
      <c r="I266" s="254" t="s">
        <v>12246</v>
      </c>
      <c r="J266" s="320" t="s">
        <v>12247</v>
      </c>
      <c r="K266" s="617" t="str">
        <f>HYPERLINK("https://maps.google.com/?q=Taberna%20Ruel%20Funchal","🍽 Taberna Ruel")</f>
        <v>🍽 Taberna Ruel</v>
      </c>
    </row>
    <row r="267" spans="1:11" ht="85" customHeight="1" x14ac:dyDescent="0.35">
      <c r="A267" s="350">
        <v>3</v>
      </c>
      <c r="B267" s="251" t="s">
        <v>12248</v>
      </c>
      <c r="C267" s="251" t="s">
        <v>10906</v>
      </c>
      <c r="D267" s="252" t="s">
        <v>524</v>
      </c>
      <c r="E267" s="251" t="s">
        <v>12249</v>
      </c>
      <c r="F267" s="251" t="s">
        <v>12250</v>
      </c>
      <c r="G267" s="251" t="s">
        <v>10909</v>
      </c>
      <c r="H267" s="251" t="s">
        <v>2219</v>
      </c>
      <c r="I267" s="251" t="s">
        <v>12251</v>
      </c>
      <c r="J267" s="319" t="s">
        <v>12252</v>
      </c>
      <c r="K267" s="616" t="str">
        <f>HYPERLINK("https://maps.google.com/?q=Restaurante%20Jaquet%20Funchal","🍽 Restaurante Jaquet")</f>
        <v>🍽 Restaurante Jaquet</v>
      </c>
    </row>
    <row r="268" spans="1:11" ht="85" customHeight="1" x14ac:dyDescent="0.35">
      <c r="A268" s="356">
        <v>4</v>
      </c>
      <c r="B268" s="254" t="s">
        <v>12253</v>
      </c>
      <c r="C268" s="254" t="s">
        <v>3156</v>
      </c>
      <c r="D268" s="255" t="s">
        <v>524</v>
      </c>
      <c r="E268" s="254" t="s">
        <v>12254</v>
      </c>
      <c r="F268" s="254" t="s">
        <v>12255</v>
      </c>
      <c r="G268" s="254" t="s">
        <v>11105</v>
      </c>
      <c r="H268" s="254" t="s">
        <v>2228</v>
      </c>
      <c r="I268" s="254" t="s">
        <v>12256</v>
      </c>
      <c r="J268" s="320" t="s">
        <v>12257</v>
      </c>
      <c r="K268" s="617" t="str">
        <f>HYPERLINK("https://maps.google.com/?q=Adega%20da%20Quinta%20C%C3%A2mara%20de%20Lobos","🍽 Adega da Quinta")</f>
        <v>🍽 Adega da Quinta</v>
      </c>
    </row>
    <row r="269" spans="1:11" ht="85" customHeight="1" x14ac:dyDescent="0.35">
      <c r="A269" s="350">
        <v>5</v>
      </c>
      <c r="B269" s="251" t="s">
        <v>12258</v>
      </c>
      <c r="C269" s="251" t="s">
        <v>12259</v>
      </c>
      <c r="D269" s="252" t="s">
        <v>524</v>
      </c>
      <c r="E269" s="251" t="s">
        <v>12260</v>
      </c>
      <c r="F269" s="251" t="s">
        <v>12261</v>
      </c>
      <c r="G269" s="251" t="s">
        <v>10874</v>
      </c>
      <c r="H269" s="251" t="s">
        <v>2228</v>
      </c>
      <c r="I269" s="251" t="s">
        <v>12262</v>
      </c>
      <c r="J269" s="319" t="s">
        <v>12263</v>
      </c>
      <c r="K269" s="616" t="str">
        <f>HYPERLINK("https://maps.google.com/?q=Vila%20da%20Carne%20C%C3%A2mara%20de%20Lobos","🍽 Vila da Carne")</f>
        <v>🍽 Vila da Carne</v>
      </c>
    </row>
    <row r="270" spans="1:11" ht="85" customHeight="1" x14ac:dyDescent="0.35">
      <c r="A270" s="356">
        <v>6</v>
      </c>
      <c r="B270" s="254" t="s">
        <v>3885</v>
      </c>
      <c r="C270" s="254" t="s">
        <v>3156</v>
      </c>
      <c r="D270" s="255" t="s">
        <v>524</v>
      </c>
      <c r="E270" s="254" t="s">
        <v>12264</v>
      </c>
      <c r="F270" s="254" t="s">
        <v>12265</v>
      </c>
      <c r="G270" s="254" t="s">
        <v>10961</v>
      </c>
      <c r="H270" s="254" t="s">
        <v>2228</v>
      </c>
      <c r="I270" s="254" t="s">
        <v>12266</v>
      </c>
      <c r="J270" s="320" t="s">
        <v>12267</v>
      </c>
      <c r="K270" s="617" t="str">
        <f>HYPERLINK("https://maps.google.com/?q=O%20Lagar%20C%C3%A2mara%20de%20Lobos","🍽 O Lagar")</f>
        <v>🍽 O Lagar</v>
      </c>
    </row>
    <row r="271" spans="1:11" ht="85" customHeight="1" x14ac:dyDescent="0.35">
      <c r="A271" s="350">
        <v>7</v>
      </c>
      <c r="B271" s="251" t="s">
        <v>12268</v>
      </c>
      <c r="C271" s="251" t="s">
        <v>11151</v>
      </c>
      <c r="D271" s="252" t="s">
        <v>524</v>
      </c>
      <c r="E271" s="251" t="s">
        <v>12269</v>
      </c>
      <c r="F271" s="251" t="s">
        <v>12270</v>
      </c>
      <c r="G271" s="251" t="s">
        <v>10304</v>
      </c>
      <c r="H271" s="251" t="s">
        <v>2228</v>
      </c>
      <c r="I271" s="251" t="s">
        <v>12271</v>
      </c>
      <c r="J271" s="319" t="s">
        <v>12272</v>
      </c>
      <c r="K271" s="616" t="str">
        <f>HYPERLINK("https://maps.google.com/?q=As%20Vides%20C%C3%A2mara%20de%20Lobos","🍽 As Vides")</f>
        <v>🍽 As Vides</v>
      </c>
    </row>
    <row r="272" spans="1:11" ht="85" customHeight="1" x14ac:dyDescent="0.35">
      <c r="A272" s="356">
        <v>8</v>
      </c>
      <c r="B272" s="254" t="s">
        <v>12273</v>
      </c>
      <c r="C272" s="254" t="s">
        <v>3156</v>
      </c>
      <c r="D272" s="255" t="s">
        <v>524</v>
      </c>
      <c r="E272" s="254" t="s">
        <v>12274</v>
      </c>
      <c r="F272" s="254" t="s">
        <v>12275</v>
      </c>
      <c r="G272" s="254" t="s">
        <v>11174</v>
      </c>
      <c r="H272" s="254" t="s">
        <v>5988</v>
      </c>
      <c r="I272" s="254" t="s">
        <v>12276</v>
      </c>
      <c r="J272" s="320" t="s">
        <v>12277</v>
      </c>
      <c r="K272" s="617" t="str">
        <f>HYPERLINK("https://maps.google.com/?q=Quinta%20do%20Fur%C3%A3o%20Santana","🍽 Quinta do Furão")</f>
        <v>🍽 Quinta do Furão</v>
      </c>
    </row>
    <row r="273" spans="1:11" ht="85" customHeight="1" x14ac:dyDescent="0.35">
      <c r="A273" s="350">
        <v>9</v>
      </c>
      <c r="B273" s="251" t="s">
        <v>12278</v>
      </c>
      <c r="C273" s="251" t="s">
        <v>3993</v>
      </c>
      <c r="D273" s="252" t="s">
        <v>524</v>
      </c>
      <c r="E273" s="251" t="s">
        <v>12279</v>
      </c>
      <c r="F273" s="251" t="s">
        <v>12280</v>
      </c>
      <c r="G273" s="251" t="s">
        <v>10304</v>
      </c>
      <c r="H273" s="251" t="s">
        <v>2219</v>
      </c>
      <c r="I273" s="251" t="s">
        <v>12281</v>
      </c>
      <c r="J273" s="319" t="s">
        <v>12282</v>
      </c>
      <c r="K273" s="616" t="str">
        <f>HYPERLINK("https://maps.google.com/?q=Kalyptus%20Funchal","🍽 Kalyptus")</f>
        <v>🍽 Kalyptus</v>
      </c>
    </row>
    <row r="274" spans="1:11" ht="85" customHeight="1" x14ac:dyDescent="0.35">
      <c r="A274" s="356">
        <v>10</v>
      </c>
      <c r="B274" s="254" t="s">
        <v>4269</v>
      </c>
      <c r="C274" s="254" t="s">
        <v>10850</v>
      </c>
      <c r="D274" s="255" t="s">
        <v>524</v>
      </c>
      <c r="E274" s="254" t="s">
        <v>12283</v>
      </c>
      <c r="F274" s="254" t="s">
        <v>12284</v>
      </c>
      <c r="G274" s="254" t="s">
        <v>10961</v>
      </c>
      <c r="H274" s="254" t="s">
        <v>2228</v>
      </c>
      <c r="I274" s="254" t="s">
        <v>12285</v>
      </c>
      <c r="J274" s="320" t="s">
        <v>12286</v>
      </c>
      <c r="K274" s="617" t="str">
        <f>HYPERLINK("https://maps.google.com/?q=O%20Pescador%20C%C3%A2mara%20de%20Lobos","🍽 O Pescador")</f>
        <v>🍽 O Pescador</v>
      </c>
    </row>
    <row r="275" spans="1:11" ht="85" customHeight="1" x14ac:dyDescent="0.35">
      <c r="A275" s="350">
        <v>11</v>
      </c>
      <c r="B275" s="251" t="s">
        <v>12287</v>
      </c>
      <c r="C275" s="251" t="s">
        <v>12288</v>
      </c>
      <c r="D275" s="252" t="s">
        <v>524</v>
      </c>
      <c r="E275" s="251" t="s">
        <v>12289</v>
      </c>
      <c r="F275" s="251" t="s">
        <v>12290</v>
      </c>
      <c r="G275" s="251" t="s">
        <v>10874</v>
      </c>
      <c r="H275" s="251" t="s">
        <v>2219</v>
      </c>
      <c r="I275" s="251" t="s">
        <v>12291</v>
      </c>
      <c r="J275" s="319" t="s">
        <v>12292</v>
      </c>
      <c r="K275" s="616" t="str">
        <f>HYPERLINK("https://maps.google.com/?q=Taberna%20do%20Capit%C3%A3o%20Funchal","🍽 Taberna do Capitão")</f>
        <v>🍽 Taberna do Capitão</v>
      </c>
    </row>
    <row r="276" spans="1:11" ht="85" customHeight="1" x14ac:dyDescent="0.35">
      <c r="A276" s="356">
        <v>12</v>
      </c>
      <c r="B276" s="254" t="s">
        <v>12293</v>
      </c>
      <c r="C276" s="254" t="s">
        <v>12294</v>
      </c>
      <c r="D276" s="255" t="s">
        <v>524</v>
      </c>
      <c r="E276" s="254" t="s">
        <v>12295</v>
      </c>
      <c r="F276" s="254" t="s">
        <v>12296</v>
      </c>
      <c r="G276" s="254" t="s">
        <v>11174</v>
      </c>
      <c r="H276" s="254" t="s">
        <v>2219</v>
      </c>
      <c r="I276" s="254" t="s">
        <v>12297</v>
      </c>
      <c r="J276" s="320" t="s">
        <v>12298</v>
      </c>
      <c r="K276" s="617" t="str">
        <f>HYPERLINK("https://maps.google.com/?q=Chalet%20Vicente%20Funchal","🍽 Chalet Vicente")</f>
        <v>🍽 Chalet Vicente</v>
      </c>
    </row>
    <row r="277" spans="1:11" ht="85" customHeight="1" x14ac:dyDescent="0.35">
      <c r="A277" s="350">
        <v>13</v>
      </c>
      <c r="B277" s="251" t="s">
        <v>12299</v>
      </c>
      <c r="C277" s="251" t="s">
        <v>3698</v>
      </c>
      <c r="D277" s="252" t="s">
        <v>524</v>
      </c>
      <c r="E277" s="251" t="s">
        <v>12300</v>
      </c>
      <c r="F277" s="251" t="s">
        <v>12301</v>
      </c>
      <c r="G277" s="251" t="s">
        <v>10839</v>
      </c>
      <c r="H277" s="251" t="s">
        <v>2219</v>
      </c>
      <c r="I277" s="251" t="s">
        <v>12302</v>
      </c>
      <c r="J277" s="319" t="s">
        <v>12303</v>
      </c>
      <c r="K277" s="616" t="str">
        <f>HYPERLINK("https://maps.google.com/?q=Confraria%20das%20Lapas%20Funchal","🍽 Confraria das Lapas")</f>
        <v>🍽 Confraria das Lapas</v>
      </c>
    </row>
    <row r="278" spans="1:11" ht="85" customHeight="1" x14ac:dyDescent="0.35">
      <c r="A278" s="356">
        <v>14</v>
      </c>
      <c r="B278" s="254" t="s">
        <v>12304</v>
      </c>
      <c r="C278" s="254" t="s">
        <v>10871</v>
      </c>
      <c r="D278" s="255" t="s">
        <v>524</v>
      </c>
      <c r="E278" s="254" t="s">
        <v>12305</v>
      </c>
      <c r="F278" s="254" t="s">
        <v>12306</v>
      </c>
      <c r="G278" s="254" t="s">
        <v>11231</v>
      </c>
      <c r="H278" s="254" t="s">
        <v>5988</v>
      </c>
      <c r="I278" s="254" t="s">
        <v>12307</v>
      </c>
      <c r="J278" s="320" t="s">
        <v>12308</v>
      </c>
      <c r="K278" s="617" t="str">
        <f>HYPERLINK("https://maps.google.com/?q=Cantinho%20dos%20Amigos%20Santana","🍽 Cantinho dos Amigos")</f>
        <v>🍽 Cantinho dos Amigos</v>
      </c>
    </row>
    <row r="279" spans="1:11" ht="85" customHeight="1" x14ac:dyDescent="0.35">
      <c r="A279" s="350">
        <v>15</v>
      </c>
      <c r="B279" s="251" t="s">
        <v>12309</v>
      </c>
      <c r="C279" s="251" t="s">
        <v>12310</v>
      </c>
      <c r="D279" s="252" t="s">
        <v>524</v>
      </c>
      <c r="E279" s="251" t="s">
        <v>12311</v>
      </c>
      <c r="F279" s="251" t="s">
        <v>12312</v>
      </c>
      <c r="G279" s="251" t="s">
        <v>11359</v>
      </c>
      <c r="H279" s="251" t="s">
        <v>2219</v>
      </c>
      <c r="I279" s="251" t="s">
        <v>12313</v>
      </c>
      <c r="J279" s="319" t="s">
        <v>12314</v>
      </c>
      <c r="K279" s="616" t="str">
        <f>HYPERLINK("https://maps.google.com/?q=Venda%20Velha%20Funchal","🍽 Venda Velha")</f>
        <v>🍽 Venda Velha</v>
      </c>
    </row>
    <row r="280" spans="1:11" ht="85" customHeight="1" x14ac:dyDescent="0.35">
      <c r="A280" s="356">
        <v>16</v>
      </c>
      <c r="B280" s="254" t="s">
        <v>12315</v>
      </c>
      <c r="C280" s="254" t="s">
        <v>10850</v>
      </c>
      <c r="D280" s="255" t="s">
        <v>524</v>
      </c>
      <c r="E280" s="254" t="s">
        <v>12316</v>
      </c>
      <c r="F280" s="254" t="s">
        <v>12317</v>
      </c>
      <c r="G280" s="254" t="s">
        <v>11174</v>
      </c>
      <c r="H280" s="254" t="s">
        <v>2219</v>
      </c>
      <c r="I280" s="254" t="s">
        <v>12318</v>
      </c>
      <c r="J280" s="320" t="s">
        <v>12319</v>
      </c>
      <c r="K280" s="617" t="str">
        <f>HYPERLINK("https://maps.google.com/?q=O%20Velho%20e%20o%20Mar%20Funchal","🍽 O Velho e o Mar")</f>
        <v>🍽 O Velho e o Mar</v>
      </c>
    </row>
    <row r="281" spans="1:11" ht="85" customHeight="1" x14ac:dyDescent="0.35">
      <c r="A281" s="350">
        <v>17</v>
      </c>
      <c r="B281" s="251" t="s">
        <v>12320</v>
      </c>
      <c r="C281" s="251" t="s">
        <v>12321</v>
      </c>
      <c r="D281" s="252" t="s">
        <v>524</v>
      </c>
      <c r="E281" s="251" t="s">
        <v>12322</v>
      </c>
      <c r="F281" s="251" t="s">
        <v>12323</v>
      </c>
      <c r="G281" s="251" t="s">
        <v>11353</v>
      </c>
      <c r="H281" s="251" t="s">
        <v>2219</v>
      </c>
      <c r="I281" s="251" t="s">
        <v>12324</v>
      </c>
      <c r="J281" s="319" t="s">
        <v>12325</v>
      </c>
      <c r="K281" s="616" t="str">
        <f>HYPERLINK("https://maps.google.com/?q=Restaurante%20do%20Forte%20Funchal","🍽 Restaurante do Forte")</f>
        <v>🍽 Restaurante do Forte</v>
      </c>
    </row>
    <row r="282" spans="1:11" ht="85" customHeight="1" x14ac:dyDescent="0.35">
      <c r="A282" s="356">
        <v>18</v>
      </c>
      <c r="B282" s="254" t="s">
        <v>12326</v>
      </c>
      <c r="C282" s="254" t="s">
        <v>10850</v>
      </c>
      <c r="D282" s="255" t="s">
        <v>524</v>
      </c>
      <c r="E282" s="254" t="s">
        <v>12327</v>
      </c>
      <c r="F282" s="254" t="s">
        <v>12328</v>
      </c>
      <c r="G282" s="254" t="s">
        <v>10961</v>
      </c>
      <c r="H282" s="254" t="s">
        <v>10009</v>
      </c>
      <c r="I282" s="254" t="s">
        <v>12329</v>
      </c>
      <c r="J282" s="320" t="s">
        <v>12330</v>
      </c>
      <c r="K282" s="617" t="str">
        <f>HYPERLINK("https://maps.google.com/?q=Solar%20do%20Peixe%20Machico","🍽 Solar do Peixe")</f>
        <v>🍽 Solar do Peixe</v>
      </c>
    </row>
    <row r="283" spans="1:11" ht="85" customHeight="1" x14ac:dyDescent="0.35">
      <c r="A283" s="350">
        <v>19</v>
      </c>
      <c r="B283" s="251" t="s">
        <v>12331</v>
      </c>
      <c r="C283" s="251" t="s">
        <v>10934</v>
      </c>
      <c r="D283" s="252" t="s">
        <v>524</v>
      </c>
      <c r="E283" s="251" t="s">
        <v>12332</v>
      </c>
      <c r="F283" s="251" t="s">
        <v>12333</v>
      </c>
      <c r="G283" s="251" t="s">
        <v>10304</v>
      </c>
      <c r="H283" s="251" t="s">
        <v>8733</v>
      </c>
      <c r="I283" s="251" t="s">
        <v>12334</v>
      </c>
      <c r="J283" s="319" t="s">
        <v>12335</v>
      </c>
      <c r="K283" s="616" t="str">
        <f>HYPERLINK("https://maps.google.com/?q=Ba%C3%ADa%20do%20Engenho%20Calheta","🍽 Baía do Engenho")</f>
        <v>🍽 Baía do Engenho</v>
      </c>
    </row>
    <row r="284" spans="1:11" ht="85" customHeight="1" x14ac:dyDescent="0.35">
      <c r="A284" s="356">
        <v>20</v>
      </c>
      <c r="B284" s="254" t="s">
        <v>12336</v>
      </c>
      <c r="C284" s="254" t="s">
        <v>12337</v>
      </c>
      <c r="D284" s="255" t="s">
        <v>524</v>
      </c>
      <c r="E284" s="254" t="s">
        <v>12338</v>
      </c>
      <c r="F284" s="254" t="s">
        <v>12339</v>
      </c>
      <c r="G284" s="254" t="s">
        <v>10961</v>
      </c>
      <c r="H284" s="254" t="s">
        <v>2219</v>
      </c>
      <c r="I284" s="254" t="s">
        <v>12340</v>
      </c>
      <c r="J284" s="320" t="s">
        <v>12341</v>
      </c>
      <c r="K284" s="617" t="str">
        <f>HYPERLINK("https://maps.google.com/?q=Lianas%20Funchal","🍽 Liana's")</f>
        <v>🍽 Liana's</v>
      </c>
    </row>
    <row r="285" spans="1:11" ht="85" customHeight="1" x14ac:dyDescent="0.35">
      <c r="A285" s="350">
        <v>21</v>
      </c>
      <c r="B285" s="251" t="s">
        <v>12342</v>
      </c>
      <c r="C285" s="251" t="s">
        <v>10986</v>
      </c>
      <c r="D285" s="252" t="s">
        <v>524</v>
      </c>
      <c r="E285" s="251" t="s">
        <v>12343</v>
      </c>
      <c r="F285" s="251" t="s">
        <v>12344</v>
      </c>
      <c r="G285" s="251" t="s">
        <v>10839</v>
      </c>
      <c r="H285" s="251" t="s">
        <v>2219</v>
      </c>
      <c r="I285" s="251" t="s">
        <v>12345</v>
      </c>
      <c r="J285" s="319" t="s">
        <v>12346</v>
      </c>
      <c r="K285" s="616" t="str">
        <f>HYPERLINK("https://maps.google.com/?q=Pizzaria%20Xaramba%20Funchal","🍽 Pizzaria Xaramba")</f>
        <v>🍽 Pizzaria Xaramba</v>
      </c>
    </row>
    <row r="286" spans="1:11" ht="85" customHeight="1" x14ac:dyDescent="0.35">
      <c r="A286" s="356">
        <v>22</v>
      </c>
      <c r="B286" s="254" t="s">
        <v>12347</v>
      </c>
      <c r="C286" s="254" t="s">
        <v>1114</v>
      </c>
      <c r="D286" s="255" t="s">
        <v>524</v>
      </c>
      <c r="E286" s="254" t="s">
        <v>12348</v>
      </c>
      <c r="F286" s="254" t="s">
        <v>12349</v>
      </c>
      <c r="G286" s="254" t="s">
        <v>10931</v>
      </c>
      <c r="H286" s="254" t="s">
        <v>2219</v>
      </c>
      <c r="I286" s="254" t="s">
        <v>12350</v>
      </c>
      <c r="J286" s="320" t="s">
        <v>12351</v>
      </c>
      <c r="K286" s="617" t="str">
        <f>HYPERLINK("https://maps.google.com/?q=Londres%20Funchal","🍽 Londres")</f>
        <v>🍽 Londres</v>
      </c>
    </row>
    <row r="287" spans="1:11" ht="85" customHeight="1" x14ac:dyDescent="0.35">
      <c r="A287" s="350">
        <v>23</v>
      </c>
      <c r="B287" s="251" t="s">
        <v>12352</v>
      </c>
      <c r="C287" s="251" t="s">
        <v>12353</v>
      </c>
      <c r="D287" s="252" t="s">
        <v>524</v>
      </c>
      <c r="E287" s="251" t="s">
        <v>12354</v>
      </c>
      <c r="F287" s="251" t="s">
        <v>12355</v>
      </c>
      <c r="G287" s="251" t="s">
        <v>10961</v>
      </c>
      <c r="H287" s="251" t="s">
        <v>12356</v>
      </c>
      <c r="I287" s="251" t="s">
        <v>12357</v>
      </c>
      <c r="J287" s="319" t="s">
        <v>12358</v>
      </c>
      <c r="K287" s="616" t="str">
        <f>HYPERLINK("https://maps.google.com/?q=Santo%20Ant%C3%B3nio%20Estreito","🍽 Santo António")</f>
        <v>🍽 Santo António</v>
      </c>
    </row>
    <row r="288" spans="1:11" ht="85" customHeight="1" x14ac:dyDescent="0.35">
      <c r="A288" s="356">
        <v>24</v>
      </c>
      <c r="B288" s="254" t="s">
        <v>12359</v>
      </c>
      <c r="C288" s="254" t="s">
        <v>12360</v>
      </c>
      <c r="D288" s="255" t="s">
        <v>524</v>
      </c>
      <c r="E288" s="254" t="s">
        <v>12361</v>
      </c>
      <c r="F288" s="254" t="s">
        <v>12362</v>
      </c>
      <c r="G288" s="254" t="s">
        <v>10839</v>
      </c>
      <c r="H288" s="254" t="s">
        <v>2848</v>
      </c>
      <c r="I288" s="254" t="s">
        <v>12363</v>
      </c>
      <c r="J288" s="320" t="s">
        <v>12364</v>
      </c>
      <c r="K288" s="617" t="str">
        <f>HYPERLINK("https://maps.google.com/?q=Forjaria%20S%C3%A3o%20Jorge","🍽 Forjaria")</f>
        <v>🍽 Forjaria</v>
      </c>
    </row>
    <row r="289" spans="1:11" ht="85" customHeight="1" x14ac:dyDescent="0.35">
      <c r="A289" s="350">
        <v>25</v>
      </c>
      <c r="B289" s="251" t="s">
        <v>12365</v>
      </c>
      <c r="C289" s="251" t="s">
        <v>12366</v>
      </c>
      <c r="D289" s="252" t="s">
        <v>524</v>
      </c>
      <c r="E289" s="251" t="s">
        <v>12367</v>
      </c>
      <c r="F289" s="251" t="s">
        <v>12368</v>
      </c>
      <c r="G289" s="251" t="s">
        <v>12369</v>
      </c>
      <c r="H289" s="251" t="s">
        <v>2219</v>
      </c>
      <c r="I289" s="253" t="s">
        <v>12370</v>
      </c>
      <c r="J289" s="319" t="s">
        <v>12371</v>
      </c>
      <c r="K289" s="616" t="str">
        <f>HYPERLINK("https://maps.google.com/?q=O%20Tapassol%20Funchal","🍽 O Tapassol")</f>
        <v>🍽 O Tapassol</v>
      </c>
    </row>
    <row r="290" spans="1:11" ht="85" customHeight="1" x14ac:dyDescent="0.35">
      <c r="A290" s="356">
        <v>26</v>
      </c>
      <c r="B290" s="254" t="s">
        <v>12372</v>
      </c>
      <c r="C290" s="254" t="s">
        <v>12373</v>
      </c>
      <c r="D290" s="255" t="s">
        <v>524</v>
      </c>
      <c r="E290" s="254" t="s">
        <v>12374</v>
      </c>
      <c r="F290" s="254" t="s">
        <v>12375</v>
      </c>
      <c r="G290" s="254" t="s">
        <v>12376</v>
      </c>
      <c r="H290" s="254" t="s">
        <v>2219</v>
      </c>
      <c r="I290" s="256" t="s">
        <v>12377</v>
      </c>
      <c r="J290" s="320" t="s">
        <v>12378</v>
      </c>
      <c r="K290" s="617" t="str">
        <f>HYPERLINK("https://maps.google.com/?q=Gavi%C3%A3o%20Novo%20Funchal","🍽 Gavião Novo")</f>
        <v>🍽 Gavião Novo</v>
      </c>
    </row>
    <row r="291" spans="1:11" ht="85" customHeight="1" x14ac:dyDescent="0.35">
      <c r="A291" s="350">
        <v>27</v>
      </c>
      <c r="B291" s="251" t="s">
        <v>12379</v>
      </c>
      <c r="C291" s="251" t="s">
        <v>10843</v>
      </c>
      <c r="D291" s="252" t="s">
        <v>524</v>
      </c>
      <c r="E291" s="251" t="s">
        <v>12380</v>
      </c>
      <c r="F291" s="251" t="s">
        <v>12381</v>
      </c>
      <c r="G291" s="251" t="s">
        <v>12206</v>
      </c>
      <c r="H291" s="251" t="s">
        <v>12382</v>
      </c>
      <c r="I291" s="253" t="s">
        <v>12383</v>
      </c>
      <c r="J291" s="319" t="s">
        <v>12384</v>
      </c>
      <c r="K291" s="616" t="str">
        <f>HYPERLINK("https://maps.google.com/?q=Tasca%20Liter%C3%A1ria%20Funchal%20%E2%80%94%20Zona%20Velha","🍽 Tasca Literária")</f>
        <v>🍽 Tasca Literária</v>
      </c>
    </row>
    <row r="292" spans="1:11" ht="85" customHeight="1" x14ac:dyDescent="0.35">
      <c r="A292" s="356">
        <v>28</v>
      </c>
      <c r="B292" s="254" t="s">
        <v>12385</v>
      </c>
      <c r="C292" s="254" t="s">
        <v>12386</v>
      </c>
      <c r="D292" s="255" t="s">
        <v>524</v>
      </c>
      <c r="E292" s="254" t="s">
        <v>12387</v>
      </c>
      <c r="F292" s="254" t="s">
        <v>12388</v>
      </c>
      <c r="G292" s="254" t="s">
        <v>12389</v>
      </c>
      <c r="H292" s="254" t="s">
        <v>12390</v>
      </c>
      <c r="I292" s="256" t="s">
        <v>12391</v>
      </c>
      <c r="J292" s="320" t="s">
        <v>12392</v>
      </c>
      <c r="K292" s="617" t="str">
        <f>HYPERLINK("https://maps.google.com/?q=Cantinho%20da%20Serra%20Porto%20Moniz%20%E2%80%94%20Achadas%20da%20Cruz","🍽 Cantinho da Serra")</f>
        <v>🍽 Cantinho da Serra</v>
      </c>
    </row>
    <row r="293" spans="1:11" ht="85" customHeight="1" x14ac:dyDescent="0.35">
      <c r="A293" s="350">
        <v>29</v>
      </c>
      <c r="B293" s="251" t="s">
        <v>12393</v>
      </c>
      <c r="C293" s="251" t="s">
        <v>12394</v>
      </c>
      <c r="D293" s="252" t="s">
        <v>524</v>
      </c>
      <c r="E293" s="251" t="s">
        <v>12395</v>
      </c>
      <c r="F293" s="251" t="s">
        <v>12396</v>
      </c>
      <c r="G293" s="251" t="s">
        <v>12397</v>
      </c>
      <c r="H293" s="251" t="s">
        <v>2219</v>
      </c>
      <c r="I293" s="253" t="s">
        <v>12398</v>
      </c>
      <c r="J293" s="319" t="s">
        <v>12399</v>
      </c>
      <c r="K293" s="616" t="str">
        <f>HYPERLINK("https://maps.google.com/?q=Armaz%C3%A9m%20do%20Sal%20Funchal","🍽 Armazém do Sal")</f>
        <v>🍽 Armazém do Sal</v>
      </c>
    </row>
    <row r="295" spans="1:11" x14ac:dyDescent="0.35">
      <c r="A295" s="1353" t="s">
        <v>12400</v>
      </c>
      <c r="B295" s="1354"/>
      <c r="C295" s="1354"/>
      <c r="D295" s="1354"/>
      <c r="E295" s="1354"/>
      <c r="F295" s="1354"/>
      <c r="G295" s="1354"/>
      <c r="H295" s="1354"/>
      <c r="I295" s="1354"/>
      <c r="J295" s="1354"/>
      <c r="K295" s="375" t="str">
        <f>HYPERLINK("https://maps.google.com/?q=","🍽 ")</f>
        <v xml:space="preserve">🍽 </v>
      </c>
    </row>
  </sheetData>
  <mergeCells count="10">
    <mergeCell ref="A203:J203"/>
    <mergeCell ref="A1:J1"/>
    <mergeCell ref="A264:J264"/>
    <mergeCell ref="A295:J295"/>
    <mergeCell ref="A150:J150"/>
    <mergeCell ref="A4:J4"/>
    <mergeCell ref="A227:J227"/>
    <mergeCell ref="A2:J2"/>
    <mergeCell ref="A179:J179"/>
    <mergeCell ref="A51:J5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85"/>
  <sheetViews>
    <sheetView workbookViewId="0">
      <pane ySplit="3" topLeftCell="A28" activePane="bottomLeft" state="frozen"/>
      <selection pane="bottomLeft" activeCell="J29" sqref="J29"/>
    </sheetView>
  </sheetViews>
  <sheetFormatPr defaultRowHeight="14.5" x14ac:dyDescent="0.35"/>
  <cols>
    <col min="1" max="1" width="4" customWidth="1"/>
    <col min="2" max="2" width="36" customWidth="1"/>
    <col min="3" max="3" width="12" customWidth="1"/>
    <col min="4" max="4" width="34" customWidth="1"/>
    <col min="5" max="5" width="14" customWidth="1"/>
    <col min="6" max="6" width="30" customWidth="1"/>
    <col min="7" max="7" width="31.7265625" customWidth="1"/>
    <col min="8" max="8" width="24" customWidth="1"/>
    <col min="9" max="9" width="52" customWidth="1"/>
    <col min="10" max="10" width="58" customWidth="1"/>
  </cols>
  <sheetData>
    <row r="1" spans="1:10" ht="32" customHeight="1" x14ac:dyDescent="0.35">
      <c r="A1" s="1476" t="s">
        <v>9794</v>
      </c>
      <c r="B1" s="1313"/>
      <c r="C1" s="1313"/>
      <c r="D1" s="1313"/>
      <c r="E1" s="1313"/>
      <c r="F1" s="1313"/>
      <c r="G1" s="1313"/>
      <c r="H1" s="1313"/>
      <c r="I1" s="1313"/>
    </row>
    <row r="2" spans="1:10" ht="16" customHeight="1" x14ac:dyDescent="0.35">
      <c r="A2" s="1365" t="s">
        <v>9795</v>
      </c>
      <c r="B2" s="1313"/>
      <c r="C2" s="1313"/>
      <c r="D2" s="1313"/>
      <c r="E2" s="1313"/>
      <c r="F2" s="1313"/>
      <c r="G2" s="1313"/>
      <c r="H2" s="1313"/>
      <c r="I2" s="1313"/>
    </row>
    <row r="3" spans="1:10" ht="24" customHeight="1" x14ac:dyDescent="0.35">
      <c r="A3" s="238" t="s">
        <v>141</v>
      </c>
      <c r="B3" s="238" t="s">
        <v>785</v>
      </c>
      <c r="C3" s="238" t="s">
        <v>619</v>
      </c>
      <c r="D3" s="238" t="s">
        <v>8176</v>
      </c>
      <c r="E3" s="238" t="s">
        <v>1768</v>
      </c>
      <c r="F3" s="238" t="s">
        <v>13178</v>
      </c>
      <c r="G3" s="238" t="s">
        <v>8</v>
      </c>
      <c r="H3" s="238" t="s">
        <v>18441</v>
      </c>
      <c r="I3" s="303" t="s">
        <v>1324</v>
      </c>
      <c r="J3" s="238" t="s">
        <v>789</v>
      </c>
    </row>
    <row r="4" spans="1:10" ht="22" customHeight="1" x14ac:dyDescent="0.35">
      <c r="A4" s="1479" t="s">
        <v>9796</v>
      </c>
      <c r="B4" s="1313"/>
      <c r="C4" s="1313"/>
      <c r="D4" s="1313"/>
      <c r="E4" s="1313"/>
      <c r="F4" s="1313"/>
      <c r="G4" s="1313"/>
      <c r="H4" s="1313"/>
      <c r="I4" s="1313"/>
    </row>
    <row r="5" spans="1:10" ht="110" customHeight="1" x14ac:dyDescent="0.35">
      <c r="A5" s="338">
        <v>1</v>
      </c>
      <c r="B5" s="239" t="s">
        <v>9797</v>
      </c>
      <c r="C5" s="240" t="s">
        <v>792</v>
      </c>
      <c r="D5" s="239" t="s">
        <v>1552</v>
      </c>
      <c r="E5" s="239" t="s">
        <v>5850</v>
      </c>
      <c r="F5" s="239" t="s">
        <v>9798</v>
      </c>
      <c r="G5" s="239" t="s">
        <v>9799</v>
      </c>
      <c r="H5" s="239">
        <v>25</v>
      </c>
      <c r="I5" s="304" t="s">
        <v>9799</v>
      </c>
      <c r="J5" s="552" t="str">
        <f>HYPERLINK("https://maps.google.com/?q=Parque%20Cerdeira%20Ger%C3%AAs","🏕 Parque Cerdeira")</f>
        <v>🏕 Parque Cerdeira</v>
      </c>
    </row>
    <row r="6" spans="1:10" ht="110" customHeight="1" x14ac:dyDescent="0.35">
      <c r="A6" s="336">
        <v>2</v>
      </c>
      <c r="B6" s="242" t="s">
        <v>9800</v>
      </c>
      <c r="C6" s="243" t="s">
        <v>792</v>
      </c>
      <c r="D6" s="242" t="s">
        <v>1773</v>
      </c>
      <c r="E6" s="242" t="s">
        <v>1773</v>
      </c>
      <c r="F6" s="242" t="s">
        <v>9801</v>
      </c>
      <c r="G6" s="242" t="s">
        <v>9802</v>
      </c>
      <c r="H6" s="242">
        <v>22</v>
      </c>
      <c r="I6" s="305" t="s">
        <v>9802</v>
      </c>
      <c r="J6" s="553" t="str">
        <f>HYPERLINK("https://maps.google.com/?q=Orbitur%20Angeiras%20Lavra","🏕 Orbitur Angeiras")</f>
        <v>🏕 Orbitur Angeiras</v>
      </c>
    </row>
    <row r="7" spans="1:10" ht="110" customHeight="1" x14ac:dyDescent="0.35">
      <c r="A7" s="338">
        <v>3</v>
      </c>
      <c r="B7" s="239" t="s">
        <v>9803</v>
      </c>
      <c r="C7" s="240" t="s">
        <v>792</v>
      </c>
      <c r="D7" s="239" t="s">
        <v>1149</v>
      </c>
      <c r="E7" s="239" t="s">
        <v>8280</v>
      </c>
      <c r="F7" s="239" t="s">
        <v>9804</v>
      </c>
      <c r="G7" s="239" t="s">
        <v>9805</v>
      </c>
      <c r="H7" s="239">
        <v>15</v>
      </c>
      <c r="I7" s="304" t="s">
        <v>9805</v>
      </c>
      <c r="J7" s="552" t="str">
        <f>HYPERLINK("https://maps.google.com/?q=Lima%20Escape%20Entre-Ambos-os-Rios","🏕 Lima Escape")</f>
        <v>🏕 Lima Escape</v>
      </c>
    </row>
    <row r="8" spans="1:10" ht="110" customHeight="1" x14ac:dyDescent="0.35">
      <c r="A8" s="336">
        <v>4</v>
      </c>
      <c r="B8" s="242" t="s">
        <v>9806</v>
      </c>
      <c r="C8" s="243" t="s">
        <v>792</v>
      </c>
      <c r="D8" s="242" t="s">
        <v>1552</v>
      </c>
      <c r="E8" s="242" t="s">
        <v>5850</v>
      </c>
      <c r="F8" s="242" t="s">
        <v>9798</v>
      </c>
      <c r="G8" s="242" t="s">
        <v>9807</v>
      </c>
      <c r="H8" s="242">
        <v>14</v>
      </c>
      <c r="I8" s="305" t="s">
        <v>9807</v>
      </c>
      <c r="J8" s="553" t="str">
        <f>HYPERLINK("https://maps.google.com/?q=Ger%C3%AAs%20Vidoeiro%20Camping%20Ger%C3%AAs","🏕 Gerês Vidoeiro Camping")</f>
        <v>🏕 Gerês Vidoeiro Camping</v>
      </c>
    </row>
    <row r="9" spans="1:10" ht="110" customHeight="1" x14ac:dyDescent="0.35">
      <c r="A9" s="338">
        <v>5</v>
      </c>
      <c r="B9" s="239" t="s">
        <v>9808</v>
      </c>
      <c r="C9" s="240" t="s">
        <v>792</v>
      </c>
      <c r="D9" s="239" t="s">
        <v>1149</v>
      </c>
      <c r="E9" s="239" t="s">
        <v>1094</v>
      </c>
      <c r="F9" s="239" t="s">
        <v>1094</v>
      </c>
      <c r="G9" s="239" t="s">
        <v>9809</v>
      </c>
      <c r="H9" s="239">
        <v>20</v>
      </c>
      <c r="I9" s="304" t="s">
        <v>9809</v>
      </c>
      <c r="J9" s="552" t="str">
        <f>HYPERLINK("https://maps.google.com/?q=Orbitur%20Caminha%20Caminha","🏕 Orbitur Caminha")</f>
        <v>🏕 Orbitur Caminha</v>
      </c>
    </row>
    <row r="10" spans="1:10" ht="110" customHeight="1" x14ac:dyDescent="0.35">
      <c r="A10" s="336">
        <v>6</v>
      </c>
      <c r="B10" s="242" t="s">
        <v>9810</v>
      </c>
      <c r="C10" s="243" t="s">
        <v>792</v>
      </c>
      <c r="D10" s="242" t="s">
        <v>950</v>
      </c>
      <c r="E10" s="242" t="s">
        <v>1973</v>
      </c>
      <c r="F10" s="242" t="s">
        <v>1973</v>
      </c>
      <c r="G10" s="242" t="s">
        <v>9811</v>
      </c>
      <c r="H10" s="242">
        <v>12</v>
      </c>
      <c r="I10" s="305" t="s">
        <v>9811</v>
      </c>
      <c r="J10" s="553" t="str">
        <f>HYPERLINK("https://maps.google.com/?q=Parque%20de%20Campismo%20de%20Lamego%20Lamego","🏕 Parque de Campismo de Lamego")</f>
        <v>🏕 Parque de Campismo de Lamego</v>
      </c>
    </row>
    <row r="11" spans="1:10" ht="110" customHeight="1" x14ac:dyDescent="0.35">
      <c r="A11" s="338">
        <v>7</v>
      </c>
      <c r="B11" s="239" t="s">
        <v>9812</v>
      </c>
      <c r="C11" s="240" t="s">
        <v>792</v>
      </c>
      <c r="D11" s="239" t="s">
        <v>1149</v>
      </c>
      <c r="E11" s="239" t="s">
        <v>5857</v>
      </c>
      <c r="F11" s="239" t="s">
        <v>5857</v>
      </c>
      <c r="G11" s="239" t="s">
        <v>9813</v>
      </c>
      <c r="H11" s="239">
        <v>15</v>
      </c>
      <c r="I11" s="321" t="s">
        <v>9814</v>
      </c>
      <c r="J11" s="552" t="str">
        <f>HYPERLINK("https://maps.google.com/?q=Parque%20Termal%20de%20Melga%C3%A7o%20Melga%C3%A7o","🏕 Parque Termal de Melgaço")</f>
        <v>🏕 Parque Termal de Melgaço</v>
      </c>
    </row>
    <row r="12" spans="1:10" ht="110" customHeight="1" x14ac:dyDescent="0.35">
      <c r="A12" s="336">
        <v>8</v>
      </c>
      <c r="B12" s="242" t="s">
        <v>9815</v>
      </c>
      <c r="C12" s="243" t="s">
        <v>792</v>
      </c>
      <c r="D12" s="242" t="s">
        <v>5578</v>
      </c>
      <c r="E12" s="242" t="s">
        <v>5578</v>
      </c>
      <c r="F12" s="242" t="s">
        <v>9816</v>
      </c>
      <c r="G12" s="242" t="s">
        <v>9817</v>
      </c>
      <c r="H12" s="242">
        <v>18</v>
      </c>
      <c r="I12" s="305" t="s">
        <v>9817</v>
      </c>
      <c r="J12" s="553" t="str">
        <f>HYPERLINK("https://maps.google.com/?q=Camping%20Arco%20(Alv%C3%A3o)%20Serra%20do%20Alv%C3%A3o","🏕 Camping Arco (Alvão)")</f>
        <v>🏕 Camping Arco (Alvão)</v>
      </c>
    </row>
    <row r="13" spans="1:10" ht="110" customHeight="1" x14ac:dyDescent="0.35">
      <c r="A13" s="338">
        <v>9</v>
      </c>
      <c r="B13" s="239" t="s">
        <v>9818</v>
      </c>
      <c r="C13" s="240" t="s">
        <v>792</v>
      </c>
      <c r="D13" s="239" t="s">
        <v>3082</v>
      </c>
      <c r="E13" s="239" t="s">
        <v>1184</v>
      </c>
      <c r="F13" s="239" t="s">
        <v>1184</v>
      </c>
      <c r="G13" s="239" t="s">
        <v>9819</v>
      </c>
      <c r="H13" s="239">
        <v>15</v>
      </c>
      <c r="I13" s="321" t="s">
        <v>9820</v>
      </c>
      <c r="J13" s="552" t="str">
        <f>HYPERLINK("https://maps.google.com/?q=Land%20Story%20Amarante","🏕 Land Story")</f>
        <v>🏕 Land Story</v>
      </c>
    </row>
    <row r="14" spans="1:10" ht="110" customHeight="1" x14ac:dyDescent="0.35">
      <c r="A14" s="336">
        <v>10</v>
      </c>
      <c r="B14" s="242" t="s">
        <v>9821</v>
      </c>
      <c r="C14" s="243" t="s">
        <v>792</v>
      </c>
      <c r="D14" s="242" t="s">
        <v>5578</v>
      </c>
      <c r="E14" s="242" t="s">
        <v>5578</v>
      </c>
      <c r="F14" s="242" t="s">
        <v>5578</v>
      </c>
      <c r="G14" s="242" t="s">
        <v>9822</v>
      </c>
      <c r="H14" s="242">
        <v>10</v>
      </c>
      <c r="I14" s="322" t="s">
        <v>9823</v>
      </c>
      <c r="J14" s="553" t="str">
        <f>HYPERLINK("https://maps.google.com/?q=Parque%20de%20Campismo%20de%20Vila%20Real%20Vila%20Real","🏕 Parque de Campismo de Vila R")</f>
        <v>🏕 Parque de Campismo de Vila R</v>
      </c>
    </row>
    <row r="15" spans="1:10" ht="110" customHeight="1" x14ac:dyDescent="0.35">
      <c r="A15" s="338">
        <v>11</v>
      </c>
      <c r="B15" s="239" t="s">
        <v>9824</v>
      </c>
      <c r="C15" s="240" t="s">
        <v>792</v>
      </c>
      <c r="D15" s="239" t="s">
        <v>1552</v>
      </c>
      <c r="E15" s="239" t="s">
        <v>1552</v>
      </c>
      <c r="F15" s="239" t="s">
        <v>1552</v>
      </c>
      <c r="G15" s="239" t="s">
        <v>9825</v>
      </c>
      <c r="H15" s="239">
        <v>15</v>
      </c>
      <c r="I15" s="304" t="s">
        <v>9825</v>
      </c>
      <c r="J15" s="552" t="str">
        <f>HYPERLINK("https://maps.google.com/?q=Parque%20de%20Campismo%20de%20Braga%20Braga","🏕 Parque de Campismo de Braga")</f>
        <v>🏕 Parque de Campismo de Braga</v>
      </c>
    </row>
    <row r="16" spans="1:10" ht="110" customHeight="1" x14ac:dyDescent="0.35">
      <c r="A16" s="336">
        <v>12</v>
      </c>
      <c r="B16" s="242" t="s">
        <v>9826</v>
      </c>
      <c r="C16" s="243" t="s">
        <v>792</v>
      </c>
      <c r="D16" s="242" t="s">
        <v>5578</v>
      </c>
      <c r="E16" s="242" t="s">
        <v>1872</v>
      </c>
      <c r="F16" s="242" t="s">
        <v>1872</v>
      </c>
      <c r="G16" s="242" t="s">
        <v>9827</v>
      </c>
      <c r="H16" s="242">
        <v>12</v>
      </c>
      <c r="I16" s="305" t="s">
        <v>9827</v>
      </c>
      <c r="J16" s="553" t="str">
        <f>HYPERLINK("https://maps.google.com/?q=Parque%20de%20Campismo%20de%20Mondim%20de%20Basto%20Mondim%20de%20Basto","🏕 Parque de Campismo de Mondim")</f>
        <v>🏕 Parque de Campismo de Mondim</v>
      </c>
    </row>
    <row r="17" spans="1:10" ht="110" customHeight="1" x14ac:dyDescent="0.35">
      <c r="A17" s="338">
        <v>13</v>
      </c>
      <c r="B17" s="239" t="s">
        <v>9828</v>
      </c>
      <c r="C17" s="240" t="s">
        <v>792</v>
      </c>
      <c r="D17" s="239" t="s">
        <v>3082</v>
      </c>
      <c r="E17" s="239" t="s">
        <v>4641</v>
      </c>
      <c r="F17" s="239" t="s">
        <v>9829</v>
      </c>
      <c r="G17" s="239" t="s">
        <v>9830</v>
      </c>
      <c r="H17" s="239">
        <v>22</v>
      </c>
      <c r="I17" s="304" t="s">
        <v>9830</v>
      </c>
      <c r="J17" s="552" t="str">
        <f>HYPERLINK("https://maps.google.com/?q=Camping%20Rio%20Alto%20(Estela)%20Estela","🏕 Camping Rio Alto (Estela)")</f>
        <v>🏕 Camping Rio Alto (Estela)</v>
      </c>
    </row>
    <row r="18" spans="1:10" ht="110" customHeight="1" x14ac:dyDescent="0.35">
      <c r="A18" s="336">
        <v>14</v>
      </c>
      <c r="B18" s="242" t="s">
        <v>9831</v>
      </c>
      <c r="C18" s="243" t="s">
        <v>792</v>
      </c>
      <c r="D18" s="242" t="s">
        <v>3082</v>
      </c>
      <c r="E18" s="242" t="s">
        <v>8300</v>
      </c>
      <c r="F18" s="242" t="s">
        <v>9832</v>
      </c>
      <c r="G18" s="242" t="s">
        <v>9833</v>
      </c>
      <c r="H18" s="242">
        <v>20</v>
      </c>
      <c r="I18" s="305" t="s">
        <v>9833</v>
      </c>
      <c r="J18" s="553" t="str">
        <f>HYPERLINK("https://maps.google.com/?q=Orbitur%20Canidelo%20Canidelo","🏕 Orbitur Canidelo")</f>
        <v>🏕 Orbitur Canidelo</v>
      </c>
    </row>
    <row r="19" spans="1:10" ht="110" customHeight="1" x14ac:dyDescent="0.35">
      <c r="A19" s="338">
        <v>15</v>
      </c>
      <c r="B19" s="239" t="s">
        <v>9834</v>
      </c>
      <c r="C19" s="240" t="s">
        <v>792</v>
      </c>
      <c r="D19" s="239" t="s">
        <v>1784</v>
      </c>
      <c r="E19" s="239" t="s">
        <v>5599</v>
      </c>
      <c r="F19" s="239" t="s">
        <v>5599</v>
      </c>
      <c r="G19" s="239" t="s">
        <v>9835</v>
      </c>
      <c r="H19" s="239">
        <v>10</v>
      </c>
      <c r="I19" s="304" t="s">
        <v>9835</v>
      </c>
      <c r="J19" s="552" t="str">
        <f>HYPERLINK("https://maps.google.com/?q=Parque%20de%20Campismo%20de%20Mogadouro%20Mogadouro","🏕 Parque de Campismo de Mogado")</f>
        <v>🏕 Parque de Campismo de Mogado</v>
      </c>
    </row>
    <row r="20" spans="1:10" ht="22" customHeight="1" x14ac:dyDescent="0.35">
      <c r="A20" s="1475" t="s">
        <v>9836</v>
      </c>
      <c r="B20" s="1313"/>
      <c r="C20" s="1313"/>
      <c r="D20" s="1313"/>
      <c r="E20" s="1313"/>
      <c r="F20" s="1313"/>
      <c r="G20" s="1313"/>
      <c r="H20" s="1313"/>
      <c r="I20" s="1313"/>
    </row>
    <row r="21" spans="1:10" ht="110" customHeight="1" x14ac:dyDescent="0.35">
      <c r="A21" s="358">
        <v>1</v>
      </c>
      <c r="B21" s="259" t="s">
        <v>9837</v>
      </c>
      <c r="C21" s="260" t="s">
        <v>836</v>
      </c>
      <c r="D21" s="259" t="s">
        <v>7725</v>
      </c>
      <c r="E21" s="259" t="s">
        <v>5959</v>
      </c>
      <c r="F21" s="259" t="s">
        <v>9838</v>
      </c>
      <c r="G21" s="259" t="s">
        <v>9839</v>
      </c>
      <c r="H21" s="259">
        <v>24</v>
      </c>
      <c r="I21" s="305" t="s">
        <v>9839</v>
      </c>
      <c r="J21" s="554" t="str">
        <f>HYPERLINK("https://maps.google.com/?q=Orbitur%20S.%20Pedro%20de%20Moel%20S.%20Pedro%20de%20Moel","🏕 Orbitur S. Pedro de Moel")</f>
        <v>🏕 Orbitur S. Pedro de Moel</v>
      </c>
    </row>
    <row r="22" spans="1:10" ht="110" customHeight="1" x14ac:dyDescent="0.35">
      <c r="A22" s="352">
        <v>2</v>
      </c>
      <c r="B22" s="262" t="s">
        <v>9840</v>
      </c>
      <c r="C22" s="263" t="s">
        <v>836</v>
      </c>
      <c r="D22" s="262" t="s">
        <v>1713</v>
      </c>
      <c r="E22" s="262" t="s">
        <v>2091</v>
      </c>
      <c r="F22" s="262" t="s">
        <v>9841</v>
      </c>
      <c r="G22" s="262" t="s">
        <v>9842</v>
      </c>
      <c r="H22" s="262">
        <v>120</v>
      </c>
      <c r="I22" s="304" t="s">
        <v>9842</v>
      </c>
      <c r="J22" s="555" t="str">
        <f>HYPERLINK("https://maps.google.com/?q=Natura%20Glamping%20(Fund%C3%A3o)%20Alcongosta","🏕 Natura Glamping (Fundão)")</f>
        <v>🏕 Natura Glamping (Fundão)</v>
      </c>
    </row>
    <row r="23" spans="1:10" ht="110" customHeight="1" x14ac:dyDescent="0.35">
      <c r="A23" s="358">
        <v>3</v>
      </c>
      <c r="B23" s="259" t="s">
        <v>9843</v>
      </c>
      <c r="C23" s="260" t="s">
        <v>836</v>
      </c>
      <c r="D23" s="259" t="s">
        <v>1713</v>
      </c>
      <c r="E23" s="259" t="s">
        <v>9844</v>
      </c>
      <c r="F23" s="259" t="s">
        <v>9844</v>
      </c>
      <c r="G23" s="259" t="s">
        <v>9845</v>
      </c>
      <c r="H23" s="259">
        <v>10</v>
      </c>
      <c r="I23" s="305" t="s">
        <v>9845</v>
      </c>
      <c r="J23" s="554" t="str">
        <f>HYPERLINK("https://maps.google.com/?q=Camping%20Oleiros%20Oleiros","🏕 Camping Oleiros")</f>
        <v>🏕 Camping Oleiros</v>
      </c>
    </row>
    <row r="24" spans="1:10" ht="110" customHeight="1" x14ac:dyDescent="0.35">
      <c r="A24" s="352">
        <v>4</v>
      </c>
      <c r="B24" s="262" t="s">
        <v>9846</v>
      </c>
      <c r="C24" s="263" t="s">
        <v>836</v>
      </c>
      <c r="D24" s="262" t="s">
        <v>5497</v>
      </c>
      <c r="E24" s="262" t="s">
        <v>5497</v>
      </c>
      <c r="F24" s="262" t="s">
        <v>5497</v>
      </c>
      <c r="G24" s="262" t="s">
        <v>9847</v>
      </c>
      <c r="H24" s="262">
        <v>18</v>
      </c>
      <c r="I24" s="304" t="s">
        <v>9847</v>
      </c>
      <c r="J24" s="555" t="str">
        <f>HYPERLINK("https://maps.google.com/?q=Coimbra%20Camping%20Coimbra","🏕 Coimbra Camping")</f>
        <v>🏕 Coimbra Camping</v>
      </c>
    </row>
    <row r="25" spans="1:10" ht="110" customHeight="1" x14ac:dyDescent="0.35">
      <c r="A25" s="358">
        <v>5</v>
      </c>
      <c r="B25" s="259" t="s">
        <v>9848</v>
      </c>
      <c r="C25" s="260" t="s">
        <v>836</v>
      </c>
      <c r="D25" s="259" t="s">
        <v>1713</v>
      </c>
      <c r="E25" s="259" t="s">
        <v>933</v>
      </c>
      <c r="F25" s="259" t="s">
        <v>933</v>
      </c>
      <c r="G25" s="259" t="s">
        <v>9849</v>
      </c>
      <c r="H25" s="259">
        <v>10</v>
      </c>
      <c r="I25" s="305" t="s">
        <v>9849</v>
      </c>
      <c r="J25" s="554" t="str">
        <f>HYPERLINK("https://maps.google.com/?q=Parque%20de%20Campismo%20de%20Idanha-a-Nova%20Idanha-a-Nova","🏕 Parque de Campismo de Idanha")</f>
        <v>🏕 Parque de Campismo de Idanha</v>
      </c>
    </row>
    <row r="26" spans="1:10" ht="110" customHeight="1" x14ac:dyDescent="0.35">
      <c r="A26" s="352">
        <v>6</v>
      </c>
      <c r="B26" s="262" t="s">
        <v>9850</v>
      </c>
      <c r="C26" s="263" t="s">
        <v>836</v>
      </c>
      <c r="D26" s="262" t="s">
        <v>1713</v>
      </c>
      <c r="E26" s="262" t="s">
        <v>2059</v>
      </c>
      <c r="F26" s="262" t="s">
        <v>2059</v>
      </c>
      <c r="G26" s="262" t="s">
        <v>9851</v>
      </c>
      <c r="H26" s="262">
        <v>12</v>
      </c>
      <c r="I26" s="321" t="s">
        <v>9852</v>
      </c>
      <c r="J26" s="555" t="str">
        <f>HYPERLINK("https://maps.google.com/?q=Parque%20de%20Penamacor%20Penamacor","🏕 Parque de Penamacor")</f>
        <v>🏕 Parque de Penamacor</v>
      </c>
    </row>
    <row r="27" spans="1:10" ht="110" customHeight="1" x14ac:dyDescent="0.35">
      <c r="A27" s="358">
        <v>7</v>
      </c>
      <c r="B27" s="259" t="s">
        <v>9853</v>
      </c>
      <c r="C27" s="260" t="s">
        <v>836</v>
      </c>
      <c r="D27" s="259" t="s">
        <v>5497</v>
      </c>
      <c r="E27" s="259" t="s">
        <v>2054</v>
      </c>
      <c r="F27" s="259" t="s">
        <v>9854</v>
      </c>
      <c r="G27" s="259" t="s">
        <v>9855</v>
      </c>
      <c r="H27" s="259">
        <v>15</v>
      </c>
      <c r="I27" s="305" t="s">
        <v>9855</v>
      </c>
      <c r="J27" s="554" t="str">
        <f>HYPERLINK("https://maps.google.com/?q=Camping%20Toca%20da%20Raposa%20Meruge","🏕 Camping Toca da Raposa")</f>
        <v>🏕 Camping Toca da Raposa</v>
      </c>
    </row>
    <row r="28" spans="1:10" ht="110" customHeight="1" x14ac:dyDescent="0.35">
      <c r="A28" s="352">
        <v>8</v>
      </c>
      <c r="B28" s="262" t="s">
        <v>9856</v>
      </c>
      <c r="C28" s="263" t="s">
        <v>836</v>
      </c>
      <c r="D28" s="262" t="s">
        <v>7725</v>
      </c>
      <c r="E28" s="262" t="s">
        <v>8421</v>
      </c>
      <c r="F28" s="262" t="s">
        <v>9857</v>
      </c>
      <c r="G28" s="262" t="s">
        <v>9858</v>
      </c>
      <c r="H28" s="262">
        <v>12</v>
      </c>
      <c r="I28" s="304" t="s">
        <v>9858</v>
      </c>
      <c r="J28" s="555" t="str">
        <f>HYPERLINK("https://maps.google.com/?q=Parque%20Foz%20de%20Alge%20Foz%20de%20Alge","🏕 Parque Foz de Alge")</f>
        <v>🏕 Parque Foz de Alge</v>
      </c>
    </row>
    <row r="29" spans="1:10" ht="110" customHeight="1" x14ac:dyDescent="0.35">
      <c r="A29" s="358">
        <v>9</v>
      </c>
      <c r="B29" s="259" t="s">
        <v>9859</v>
      </c>
      <c r="C29" s="260" t="s">
        <v>836</v>
      </c>
      <c r="D29" s="259" t="s">
        <v>7725</v>
      </c>
      <c r="E29" s="259" t="s">
        <v>6551</v>
      </c>
      <c r="F29" s="259" t="s">
        <v>9860</v>
      </c>
      <c r="G29" s="259" t="s">
        <v>9861</v>
      </c>
      <c r="H29" s="259">
        <v>10</v>
      </c>
      <c r="I29" s="305" t="s">
        <v>9861</v>
      </c>
      <c r="J29" s="554" t="str">
        <f>HYPERLINK("https://maps.google.com/?q=Camping%20Berlengas%20(Peniche)%20Ilha%20da%20Berlenga","🏕 Camping Berlengas (Peniche)")</f>
        <v>🏕 Camping Berlengas (Peniche)</v>
      </c>
    </row>
    <row r="30" spans="1:10" ht="110" customHeight="1" x14ac:dyDescent="0.35">
      <c r="A30" s="352">
        <v>10</v>
      </c>
      <c r="B30" s="262" t="s">
        <v>9862</v>
      </c>
      <c r="C30" s="263" t="s">
        <v>836</v>
      </c>
      <c r="D30" s="262" t="s">
        <v>1363</v>
      </c>
      <c r="E30" s="262" t="s">
        <v>9863</v>
      </c>
      <c r="F30" s="262" t="s">
        <v>9864</v>
      </c>
      <c r="G30" s="262" t="s">
        <v>9865</v>
      </c>
      <c r="H30" s="262">
        <v>18</v>
      </c>
      <c r="I30" s="321" t="s">
        <v>9866</v>
      </c>
      <c r="J30" s="555" t="str">
        <f>HYPERLINK("https://maps.google.com/?q=Orbitur%20Vagueira%20(Aveiro)%20Gafanha%20da%20Boa%20Hora","🏕 Orbitur Vagueira (Aveiro)")</f>
        <v>🏕 Orbitur Vagueira (Aveiro)</v>
      </c>
    </row>
    <row r="31" spans="1:10" ht="110" customHeight="1" x14ac:dyDescent="0.35">
      <c r="A31" s="358">
        <v>11</v>
      </c>
      <c r="B31" s="259" t="s">
        <v>9867</v>
      </c>
      <c r="C31" s="260" t="s">
        <v>836</v>
      </c>
      <c r="D31" s="259" t="s">
        <v>5497</v>
      </c>
      <c r="E31" s="259" t="s">
        <v>8478</v>
      </c>
      <c r="F31" s="259" t="s">
        <v>8478</v>
      </c>
      <c r="G31" s="259" t="s">
        <v>9868</v>
      </c>
      <c r="H31" s="259">
        <v>12</v>
      </c>
      <c r="I31" s="305" t="s">
        <v>9868</v>
      </c>
      <c r="J31" s="554" t="str">
        <f>HYPERLINK("https://maps.google.com/?q=Parque%20de%20Campismo%20de%20Penacova%20Penacova","🏕 Parque de Campismo de Penaco")</f>
        <v>🏕 Parque de Campismo de Penaco</v>
      </c>
    </row>
    <row r="32" spans="1:10" ht="110" customHeight="1" x14ac:dyDescent="0.35">
      <c r="A32" s="352">
        <v>12</v>
      </c>
      <c r="B32" s="262" t="s">
        <v>9869</v>
      </c>
      <c r="C32" s="263" t="s">
        <v>836</v>
      </c>
      <c r="D32" s="262" t="s">
        <v>7725</v>
      </c>
      <c r="E32" s="262" t="s">
        <v>9870</v>
      </c>
      <c r="F32" s="262" t="s">
        <v>9870</v>
      </c>
      <c r="G32" s="262" t="s">
        <v>9871</v>
      </c>
      <c r="H32" s="262">
        <v>18</v>
      </c>
      <c r="I32" s="321" t="s">
        <v>9872</v>
      </c>
      <c r="J32" s="555" t="str">
        <f>HYPERLINK("https://maps.google.com/?q=Orbitur%20Valado%20(Nazar%C3%A9)%20Nazar%C3%A9","🏕 Orbitur Valado (Nazaré)")</f>
        <v>🏕 Orbitur Valado (Nazaré)</v>
      </c>
    </row>
    <row r="33" spans="1:10" ht="110" customHeight="1" x14ac:dyDescent="0.35">
      <c r="A33" s="358">
        <v>13</v>
      </c>
      <c r="B33" s="259" t="s">
        <v>9873</v>
      </c>
      <c r="C33" s="260" t="s">
        <v>836</v>
      </c>
      <c r="D33" s="259" t="s">
        <v>1713</v>
      </c>
      <c r="E33" s="259" t="s">
        <v>1713</v>
      </c>
      <c r="F33" s="259" t="s">
        <v>1713</v>
      </c>
      <c r="G33" s="259" t="s">
        <v>9874</v>
      </c>
      <c r="H33" s="259">
        <v>11</v>
      </c>
      <c r="I33" s="305" t="s">
        <v>9874</v>
      </c>
      <c r="J33" s="554" t="str">
        <f>HYPERLINK("https://maps.google.com/?q=Camping%20de%20Castelo%20Branco%20Castelo%20Branco","🏕 Camping de Castelo Branco")</f>
        <v>🏕 Camping de Castelo Branco</v>
      </c>
    </row>
    <row r="34" spans="1:10" ht="110" customHeight="1" x14ac:dyDescent="0.35">
      <c r="A34" s="352">
        <v>14</v>
      </c>
      <c r="B34" s="262" t="s">
        <v>9875</v>
      </c>
      <c r="C34" s="263" t="s">
        <v>836</v>
      </c>
      <c r="D34" s="262" t="s">
        <v>1363</v>
      </c>
      <c r="E34" s="262" t="s">
        <v>7015</v>
      </c>
      <c r="F34" s="262" t="s">
        <v>9876</v>
      </c>
      <c r="G34" s="262" t="s">
        <v>9877</v>
      </c>
      <c r="H34" s="262">
        <v>10</v>
      </c>
      <c r="I34" s="321" t="s">
        <v>9878</v>
      </c>
      <c r="J34" s="555" t="str">
        <f>HYPERLINK("https://maps.google.com/?q=Parque%20de%20Campismo%20da%20Curia%20Tamengos","🏕 Parque de Campismo da Curia")</f>
        <v>🏕 Parque de Campismo da Curia</v>
      </c>
    </row>
    <row r="35" spans="1:10" ht="110" customHeight="1" x14ac:dyDescent="0.35">
      <c r="A35" s="358">
        <v>15</v>
      </c>
      <c r="B35" s="259" t="s">
        <v>9879</v>
      </c>
      <c r="C35" s="260" t="s">
        <v>836</v>
      </c>
      <c r="D35" s="259" t="s">
        <v>5497</v>
      </c>
      <c r="E35" s="259" t="s">
        <v>6558</v>
      </c>
      <c r="F35" s="259" t="s">
        <v>9880</v>
      </c>
      <c r="G35" s="259" t="s">
        <v>9881</v>
      </c>
      <c r="H35" s="259">
        <v>11</v>
      </c>
      <c r="I35" s="322" t="s">
        <v>9882</v>
      </c>
      <c r="J35" s="554" t="str">
        <f>HYPERLINK("https://maps.google.com/?q=Parque%20de%20Campismo%20de%20Arganil%20Sarzedo","🏕 Parque de Campismo de Argani")</f>
        <v>🏕 Parque de Campismo de Argani</v>
      </c>
    </row>
    <row r="36" spans="1:10" ht="110" customHeight="1" x14ac:dyDescent="0.35">
      <c r="A36" s="352">
        <v>16</v>
      </c>
      <c r="B36" s="262" t="s">
        <v>9883</v>
      </c>
      <c r="C36" s="263" t="s">
        <v>836</v>
      </c>
      <c r="D36" s="262" t="s">
        <v>5501</v>
      </c>
      <c r="E36" s="262" t="s">
        <v>1276</v>
      </c>
      <c r="F36" s="262" t="s">
        <v>1276</v>
      </c>
      <c r="G36" s="262" t="s">
        <v>9884</v>
      </c>
      <c r="H36" s="262">
        <v>10</v>
      </c>
      <c r="I36" s="321" t="s">
        <v>9885</v>
      </c>
      <c r="J36" s="555" t="str">
        <f>HYPERLINK("https://maps.google.com/?q=Parque%20de%20Campismo%20Municipal%20de%20Tomar%20Tomar","🏕 Parque de Campismo Municipal")</f>
        <v>🏕 Parque de Campismo Municipal</v>
      </c>
    </row>
    <row r="37" spans="1:10" ht="22" customHeight="1" x14ac:dyDescent="0.35">
      <c r="A37" s="1480" t="s">
        <v>4281</v>
      </c>
      <c r="B37" s="1313"/>
      <c r="C37" s="1313"/>
      <c r="D37" s="1313"/>
      <c r="E37" s="1313"/>
      <c r="F37" s="1313"/>
      <c r="G37" s="1313"/>
      <c r="H37" s="1313"/>
      <c r="I37" s="1313"/>
    </row>
    <row r="38" spans="1:10" ht="110" customHeight="1" x14ac:dyDescent="0.35">
      <c r="A38" s="360">
        <v>1</v>
      </c>
      <c r="B38" s="245" t="s">
        <v>9886</v>
      </c>
      <c r="C38" s="246" t="s">
        <v>913</v>
      </c>
      <c r="D38" s="245" t="s">
        <v>913</v>
      </c>
      <c r="E38" s="245" t="s">
        <v>913</v>
      </c>
      <c r="F38" s="245" t="s">
        <v>9887</v>
      </c>
      <c r="G38" s="245" t="s">
        <v>9888</v>
      </c>
      <c r="H38" s="245">
        <v>25</v>
      </c>
      <c r="I38" s="305" t="s">
        <v>9888</v>
      </c>
      <c r="J38" s="556" t="str">
        <f>HYPERLINK("https://maps.google.com/?q=Lisboa%20Camping%20%26%20Bungalows%20Monsanto","🏕 Lisboa Camping &amp; Bungalows")</f>
        <v>🏕 Lisboa Camping &amp; Bungalows</v>
      </c>
    </row>
    <row r="39" spans="1:10" ht="110" customHeight="1" x14ac:dyDescent="0.35">
      <c r="A39" s="340">
        <v>2</v>
      </c>
      <c r="B39" s="248" t="s">
        <v>9889</v>
      </c>
      <c r="C39" s="249" t="s">
        <v>913</v>
      </c>
      <c r="D39" s="248" t="s">
        <v>913</v>
      </c>
      <c r="E39" s="248" t="s">
        <v>2567</v>
      </c>
      <c r="F39" s="248" t="s">
        <v>2567</v>
      </c>
      <c r="G39" s="248" t="s">
        <v>9890</v>
      </c>
      <c r="H39" s="248">
        <v>80</v>
      </c>
      <c r="I39" s="304" t="s">
        <v>9890</v>
      </c>
      <c r="J39" s="557" t="str">
        <f>HYPERLINK("https://maps.google.com/?q=Glamping%20Sintra%20Sintra","🏕 Glamping Sintra")</f>
        <v>🏕 Glamping Sintra</v>
      </c>
    </row>
    <row r="40" spans="1:10" ht="110" customHeight="1" x14ac:dyDescent="0.35">
      <c r="A40" s="360">
        <v>3</v>
      </c>
      <c r="B40" s="245" t="s">
        <v>9891</v>
      </c>
      <c r="C40" s="246" t="s">
        <v>913</v>
      </c>
      <c r="D40" s="245" t="s">
        <v>913</v>
      </c>
      <c r="E40" s="245" t="s">
        <v>7718</v>
      </c>
      <c r="F40" s="245" t="s">
        <v>9892</v>
      </c>
      <c r="G40" s="245" t="s">
        <v>9893</v>
      </c>
      <c r="H40" s="245">
        <v>16</v>
      </c>
      <c r="I40" s="322" t="s">
        <v>9894</v>
      </c>
      <c r="J40" s="556" t="str">
        <f>HYPERLINK("https://maps.google.com/?q=Ericeira%20Camping%20Ericeira","🏕 Ericeira Camping")</f>
        <v>🏕 Ericeira Camping</v>
      </c>
    </row>
    <row r="41" spans="1:10" ht="110" customHeight="1" x14ac:dyDescent="0.35">
      <c r="A41" s="340">
        <v>4</v>
      </c>
      <c r="B41" s="248" t="s">
        <v>9895</v>
      </c>
      <c r="C41" s="249" t="s">
        <v>913</v>
      </c>
      <c r="D41" s="248" t="s">
        <v>1347</v>
      </c>
      <c r="E41" s="248" t="s">
        <v>5947</v>
      </c>
      <c r="F41" s="248" t="s">
        <v>9896</v>
      </c>
      <c r="G41" s="248" t="s">
        <v>9897</v>
      </c>
      <c r="H41" s="248">
        <v>18</v>
      </c>
      <c r="I41" s="304" t="s">
        <v>9897</v>
      </c>
      <c r="J41" s="557" t="str">
        <f>HYPERLINK("https://maps.google.com/?q=Campigir%20Valbom%20(Sesimbra)%20Valbom","🏕 Campigir Valbom (Sesimbra)")</f>
        <v>🏕 Campigir Valbom (Sesimbra)</v>
      </c>
    </row>
    <row r="42" spans="1:10" ht="110" customHeight="1" x14ac:dyDescent="0.35">
      <c r="A42" s="360">
        <v>5</v>
      </c>
      <c r="B42" s="245" t="s">
        <v>9898</v>
      </c>
      <c r="C42" s="246" t="s">
        <v>913</v>
      </c>
      <c r="D42" s="245" t="s">
        <v>1347</v>
      </c>
      <c r="E42" s="245" t="s">
        <v>5947</v>
      </c>
      <c r="F42" s="245" t="s">
        <v>9899</v>
      </c>
      <c r="G42" s="245" t="s">
        <v>9900</v>
      </c>
      <c r="H42" s="245">
        <v>20</v>
      </c>
      <c r="I42" s="305" t="s">
        <v>9900</v>
      </c>
      <c r="J42" s="556" t="str">
        <f>HYPERLINK("https://maps.google.com/?q=Campimeco%20(Meco)%20Alfarim","🏕 Campimeco (Meco)")</f>
        <v>🏕 Campimeco (Meco)</v>
      </c>
    </row>
    <row r="43" spans="1:10" ht="110" customHeight="1" x14ac:dyDescent="0.35">
      <c r="A43" s="340">
        <v>6</v>
      </c>
      <c r="B43" s="248" t="s">
        <v>9901</v>
      </c>
      <c r="C43" s="249" t="s">
        <v>913</v>
      </c>
      <c r="D43" s="248" t="s">
        <v>913</v>
      </c>
      <c r="E43" s="248" t="s">
        <v>1077</v>
      </c>
      <c r="F43" s="248" t="s">
        <v>9902</v>
      </c>
      <c r="G43" s="248" t="s">
        <v>9903</v>
      </c>
      <c r="H43" s="248">
        <v>22</v>
      </c>
      <c r="I43" s="304" t="s">
        <v>9903</v>
      </c>
      <c r="J43" s="557" t="str">
        <f>HYPERLINK("https://maps.google.com/?q=Orbitur%20Guincho%20(Cascais)%20Guincho","🏕 Orbitur Guincho (Cascais)")</f>
        <v>🏕 Orbitur Guincho (Cascais)</v>
      </c>
    </row>
    <row r="44" spans="1:10" ht="110" customHeight="1" x14ac:dyDescent="0.35">
      <c r="A44" s="360">
        <v>7</v>
      </c>
      <c r="B44" s="245" t="s">
        <v>9904</v>
      </c>
      <c r="C44" s="246" t="s">
        <v>913</v>
      </c>
      <c r="D44" s="245" t="s">
        <v>1347</v>
      </c>
      <c r="E44" s="245" t="s">
        <v>1259</v>
      </c>
      <c r="F44" s="245" t="s">
        <v>9905</v>
      </c>
      <c r="G44" s="245" t="s">
        <v>9906</v>
      </c>
      <c r="H44" s="245">
        <v>15</v>
      </c>
      <c r="I44" s="305" t="s">
        <v>9906</v>
      </c>
      <c r="J44" s="556" t="str">
        <f>HYPERLINK("https://maps.google.com/?q=Inatel%20Caparica%20S.%20Jo%C3%A3o%20da%20Caparica","🏕 Inatel Caparica")</f>
        <v>🏕 Inatel Caparica</v>
      </c>
    </row>
    <row r="45" spans="1:10" ht="110" customHeight="1" x14ac:dyDescent="0.35">
      <c r="A45" s="340">
        <v>8</v>
      </c>
      <c r="B45" s="248" t="s">
        <v>9907</v>
      </c>
      <c r="C45" s="249" t="s">
        <v>913</v>
      </c>
      <c r="D45" s="248" t="s">
        <v>7725</v>
      </c>
      <c r="E45" s="248" t="s">
        <v>6551</v>
      </c>
      <c r="F45" s="248" t="s">
        <v>6551</v>
      </c>
      <c r="G45" s="248" t="s">
        <v>9908</v>
      </c>
      <c r="H45" s="248">
        <v>18</v>
      </c>
      <c r="I45" s="321" t="s">
        <v>9909</v>
      </c>
      <c r="J45" s="557" t="str">
        <f>HYPERLINK("https://maps.google.com/?q=Camping%20Peniche%20Praia%20Peniche","🏕 Camping Peniche Praia")</f>
        <v>🏕 Camping Peniche Praia</v>
      </c>
    </row>
    <row r="46" spans="1:10" ht="110" customHeight="1" x14ac:dyDescent="0.35">
      <c r="A46" s="360">
        <v>9</v>
      </c>
      <c r="B46" s="245" t="s">
        <v>9910</v>
      </c>
      <c r="C46" s="246" t="s">
        <v>913</v>
      </c>
      <c r="D46" s="245" t="s">
        <v>7725</v>
      </c>
      <c r="E46" s="245" t="s">
        <v>6551</v>
      </c>
      <c r="F46" s="245" t="s">
        <v>6551</v>
      </c>
      <c r="G46" s="245" t="s">
        <v>9911</v>
      </c>
      <c r="H46" s="245">
        <v>90</v>
      </c>
      <c r="I46" s="322" t="s">
        <v>9912</v>
      </c>
      <c r="J46" s="556" t="str">
        <f>HYPERLINK("https://maps.google.com/?q=Bukubaki%20Eco%20Surf%20Resort%20Peniche","🏕 Bukubaki Eco Surf Resort")</f>
        <v>🏕 Bukubaki Eco Surf Resort</v>
      </c>
    </row>
    <row r="47" spans="1:10" ht="110" customHeight="1" x14ac:dyDescent="0.35">
      <c r="A47" s="340">
        <v>10</v>
      </c>
      <c r="B47" s="248" t="s">
        <v>9913</v>
      </c>
      <c r="C47" s="249" t="s">
        <v>913</v>
      </c>
      <c r="D47" s="248" t="s">
        <v>913</v>
      </c>
      <c r="E47" s="248" t="s">
        <v>6555</v>
      </c>
      <c r="F47" s="248" t="s">
        <v>9914</v>
      </c>
      <c r="G47" s="248" t="s">
        <v>9915</v>
      </c>
      <c r="H47" s="248">
        <v>12</v>
      </c>
      <c r="I47" s="321" t="s">
        <v>9916</v>
      </c>
      <c r="J47" s="557" t="str">
        <f>HYPERLINK("https://maps.google.com/?q=Foz%20do%20Sizandro%20Silveira","🏕 Foz do Sizandro")</f>
        <v>🏕 Foz do Sizandro</v>
      </c>
    </row>
    <row r="48" spans="1:10" ht="110" customHeight="1" x14ac:dyDescent="0.35">
      <c r="A48" s="360">
        <v>11</v>
      </c>
      <c r="B48" s="245" t="s">
        <v>9917</v>
      </c>
      <c r="C48" s="246" t="s">
        <v>913</v>
      </c>
      <c r="D48" s="245" t="s">
        <v>5501</v>
      </c>
      <c r="E48" s="245" t="s">
        <v>8435</v>
      </c>
      <c r="F48" s="245" t="s">
        <v>9918</v>
      </c>
      <c r="G48" s="245" t="s">
        <v>9919</v>
      </c>
      <c r="H48" s="245">
        <v>12</v>
      </c>
      <c r="I48" s="322" t="s">
        <v>9920</v>
      </c>
      <c r="J48" s="556" t="str">
        <f>HYPERLINK("https://maps.google.com/?q=Parque%20de%20Campismo%20do%20Escaroupim%20Escaroupim","🏕 Parque de Campismo do Escaro")</f>
        <v>🏕 Parque de Campismo do Escaro</v>
      </c>
    </row>
    <row r="49" spans="1:10" ht="110" customHeight="1" x14ac:dyDescent="0.35">
      <c r="A49" s="340">
        <v>12</v>
      </c>
      <c r="B49" s="248" t="s">
        <v>9921</v>
      </c>
      <c r="C49" s="249" t="s">
        <v>913</v>
      </c>
      <c r="D49" s="248" t="s">
        <v>1347</v>
      </c>
      <c r="E49" s="248" t="s">
        <v>5516</v>
      </c>
      <c r="F49" s="248" t="s">
        <v>5516</v>
      </c>
      <c r="G49" s="248" t="s">
        <v>9922</v>
      </c>
      <c r="H49" s="248">
        <v>13</v>
      </c>
      <c r="I49" s="321" t="s">
        <v>9923</v>
      </c>
      <c r="J49" s="557" t="str">
        <f>HYPERLINK("https://maps.google.com/?q=Parque%20de%20Campismo%20de%20Alc%C3%A1cer%20do%20Sal%20Alc%C3%A1cer%20do%20Sal","🏕 Parque de Campismo de Alcáce")</f>
        <v>🏕 Parque de Campismo de Alcáce</v>
      </c>
    </row>
    <row r="50" spans="1:10" ht="22" customHeight="1" x14ac:dyDescent="0.35">
      <c r="A50" s="1478" t="s">
        <v>6843</v>
      </c>
      <c r="B50" s="1313"/>
      <c r="C50" s="1313"/>
      <c r="D50" s="1313"/>
      <c r="E50" s="1313"/>
      <c r="F50" s="1313"/>
      <c r="G50" s="1313"/>
      <c r="H50" s="1313"/>
      <c r="I50" s="1313"/>
    </row>
    <row r="51" spans="1:10" ht="110" customHeight="1" x14ac:dyDescent="0.35">
      <c r="A51" s="346">
        <v>1</v>
      </c>
      <c r="B51" s="267" t="s">
        <v>9924</v>
      </c>
      <c r="C51" s="268" t="s">
        <v>853</v>
      </c>
      <c r="D51" s="267" t="s">
        <v>5501</v>
      </c>
      <c r="E51" s="267" t="s">
        <v>9925</v>
      </c>
      <c r="F51" s="267" t="s">
        <v>9926</v>
      </c>
      <c r="G51" s="267" t="s">
        <v>9927</v>
      </c>
      <c r="H51" s="267">
        <v>18</v>
      </c>
      <c r="I51" s="305" t="s">
        <v>9927</v>
      </c>
      <c r="J51" s="558" t="str">
        <f>HYPERLINK("https://maps.google.com/?q=Parque%20de%20Campismo%20de%20Montargil%20Montargil","🏕 Parque de Campismo de Montar")</f>
        <v>🏕 Parque de Campismo de Montar</v>
      </c>
    </row>
    <row r="52" spans="1:10" ht="110" customHeight="1" x14ac:dyDescent="0.35">
      <c r="A52" s="362">
        <v>2</v>
      </c>
      <c r="B52" s="270" t="s">
        <v>9928</v>
      </c>
      <c r="C52" s="271" t="s">
        <v>853</v>
      </c>
      <c r="D52" s="270" t="s">
        <v>1347</v>
      </c>
      <c r="E52" s="270" t="s">
        <v>6226</v>
      </c>
      <c r="F52" s="270" t="s">
        <v>9929</v>
      </c>
      <c r="G52" s="270" t="s">
        <v>9930</v>
      </c>
      <c r="H52" s="270">
        <v>25</v>
      </c>
      <c r="I52" s="304" t="s">
        <v>9930</v>
      </c>
      <c r="J52" s="559" t="str">
        <f>HYPERLINK("https://maps.google.com/?q=Costa%20do%20Vizir%20Beach%20Village%20Porto%20Covo","🏕 Costa do Vizir Beach Village")</f>
        <v>🏕 Costa do Vizir Beach Village</v>
      </c>
    </row>
    <row r="53" spans="1:10" ht="110" customHeight="1" x14ac:dyDescent="0.35">
      <c r="A53" s="346">
        <v>3</v>
      </c>
      <c r="B53" s="267" t="s">
        <v>9931</v>
      </c>
      <c r="C53" s="268" t="s">
        <v>853</v>
      </c>
      <c r="D53" s="267" t="s">
        <v>1412</v>
      </c>
      <c r="E53" s="267" t="s">
        <v>1412</v>
      </c>
      <c r="F53" s="267" t="s">
        <v>9932</v>
      </c>
      <c r="G53" s="267" t="s">
        <v>9933</v>
      </c>
      <c r="H53" s="267">
        <v>12</v>
      </c>
      <c r="I53" s="305" t="s">
        <v>9933</v>
      </c>
      <c r="J53" s="558" t="str">
        <f>HYPERLINK("https://maps.google.com/?q=Camping%20Alentejo%20(%C3%89vora%20Monte)%20%C3%89vora%20Monte","🏕 Camping Alentejo (Évora Mont")</f>
        <v>🏕 Camping Alentejo (Évora Mont</v>
      </c>
    </row>
    <row r="54" spans="1:10" ht="110" customHeight="1" x14ac:dyDescent="0.35">
      <c r="A54" s="362">
        <v>4</v>
      </c>
      <c r="B54" s="270" t="s">
        <v>9934</v>
      </c>
      <c r="C54" s="271" t="s">
        <v>853</v>
      </c>
      <c r="D54" s="270" t="s">
        <v>1233</v>
      </c>
      <c r="E54" s="270" t="s">
        <v>2143</v>
      </c>
      <c r="F54" s="270" t="s">
        <v>959</v>
      </c>
      <c r="G54" s="270" t="s">
        <v>9935</v>
      </c>
      <c r="H54" s="270">
        <v>30</v>
      </c>
      <c r="I54" s="304" t="s">
        <v>9935</v>
      </c>
      <c r="J54" s="559" t="str">
        <f>HYPERLINK("https://maps.google.com/?q=Zmar%20Eco%20Experience%20Zambujeira%20do%20Mar","🏕 Zmar Eco Experience")</f>
        <v>🏕 Zmar Eco Experience</v>
      </c>
    </row>
    <row r="55" spans="1:10" ht="110" customHeight="1" x14ac:dyDescent="0.35">
      <c r="A55" s="346">
        <v>5</v>
      </c>
      <c r="B55" s="267" t="s">
        <v>9936</v>
      </c>
      <c r="C55" s="268" t="s">
        <v>853</v>
      </c>
      <c r="D55" s="267" t="s">
        <v>2538</v>
      </c>
      <c r="E55" s="267" t="s">
        <v>7792</v>
      </c>
      <c r="F55" s="267" t="s">
        <v>7792</v>
      </c>
      <c r="G55" s="267" t="s">
        <v>9937</v>
      </c>
      <c r="H55" s="267">
        <v>15</v>
      </c>
      <c r="I55" s="322" t="s">
        <v>9938</v>
      </c>
      <c r="J55" s="558" t="str">
        <f>HYPERLINK("https://maps.google.com/?q=Camping%20Puro%20Alentejo%20Elvas","🏕 Camping Puro Alentejo")</f>
        <v>🏕 Camping Puro Alentejo</v>
      </c>
    </row>
    <row r="56" spans="1:10" ht="110" customHeight="1" x14ac:dyDescent="0.35">
      <c r="A56" s="362">
        <v>6</v>
      </c>
      <c r="B56" s="270" t="s">
        <v>9939</v>
      </c>
      <c r="C56" s="271" t="s">
        <v>853</v>
      </c>
      <c r="D56" s="270" t="s">
        <v>2538</v>
      </c>
      <c r="E56" s="270" t="s">
        <v>2528</v>
      </c>
      <c r="F56" s="270" t="s">
        <v>9940</v>
      </c>
      <c r="G56" s="270" t="s">
        <v>9941</v>
      </c>
      <c r="H56" s="270">
        <v>14</v>
      </c>
      <c r="I56" s="321" t="s">
        <v>9942</v>
      </c>
      <c r="J56" s="559" t="str">
        <f>HYPERLINK("https://maps.google.com/?q=Camping%20Asseiceira%20(Marv%C3%A3o)%20Santo%20Ant%C3%B3nio%20das%20Areias","🏕 Camping Asseiceira (Marvão)")</f>
        <v>🏕 Camping Asseiceira (Marvão)</v>
      </c>
    </row>
    <row r="57" spans="1:10" ht="110" customHeight="1" x14ac:dyDescent="0.35">
      <c r="A57" s="346">
        <v>7</v>
      </c>
      <c r="B57" s="267" t="s">
        <v>9943</v>
      </c>
      <c r="C57" s="268" t="s">
        <v>853</v>
      </c>
      <c r="D57" s="267" t="s">
        <v>1412</v>
      </c>
      <c r="E57" s="267" t="s">
        <v>7458</v>
      </c>
      <c r="F57" s="267" t="s">
        <v>9944</v>
      </c>
      <c r="G57" s="267" t="s">
        <v>9945</v>
      </c>
      <c r="H57" s="267">
        <v>20</v>
      </c>
      <c r="I57" s="305" t="s">
        <v>9945</v>
      </c>
      <c r="J57" s="558" t="str">
        <f>HYPERLINK("https://maps.google.com/?q=Bubulcus%20%26%20Bolotas%20Vimieiro","🏕 Bubulcus &amp; Bolotas")</f>
        <v>🏕 Bubulcus &amp; Bolotas</v>
      </c>
    </row>
    <row r="58" spans="1:10" ht="110" customHeight="1" x14ac:dyDescent="0.35">
      <c r="A58" s="362">
        <v>8</v>
      </c>
      <c r="B58" s="270" t="s">
        <v>9946</v>
      </c>
      <c r="C58" s="271" t="s">
        <v>853</v>
      </c>
      <c r="D58" s="270" t="s">
        <v>1347</v>
      </c>
      <c r="E58" s="270" t="s">
        <v>6161</v>
      </c>
      <c r="F58" s="270" t="s">
        <v>9947</v>
      </c>
      <c r="G58" s="270" t="s">
        <v>9948</v>
      </c>
      <c r="H58" s="270">
        <v>20</v>
      </c>
      <c r="I58" s="304" t="s">
        <v>9948</v>
      </c>
      <c r="J58" s="559" t="str">
        <f>HYPERLINK("https://maps.google.com/?q=Camping%20Gale%20(Melides)%20Melides","🏕 Camping Gale (Melides)")</f>
        <v>🏕 Camping Gale (Melides)</v>
      </c>
    </row>
    <row r="59" spans="1:10" ht="110" customHeight="1" x14ac:dyDescent="0.35">
      <c r="A59" s="346">
        <v>9</v>
      </c>
      <c r="B59" s="267" t="s">
        <v>9949</v>
      </c>
      <c r="C59" s="268" t="s">
        <v>853</v>
      </c>
      <c r="D59" s="267" t="s">
        <v>1233</v>
      </c>
      <c r="E59" s="267" t="s">
        <v>8703</v>
      </c>
      <c r="F59" s="267" t="s">
        <v>9950</v>
      </c>
      <c r="G59" s="267" t="s">
        <v>9951</v>
      </c>
      <c r="H59" s="267">
        <v>15</v>
      </c>
      <c r="I59" s="305" t="s">
        <v>9951</v>
      </c>
      <c r="J59" s="558" t="str">
        <f>HYPERLINK("https://maps.google.com/?q=Markadia%20(Alqueva)%20Alvito","🏕 Markadia (Alqueva)")</f>
        <v>🏕 Markadia (Alqueva)</v>
      </c>
    </row>
    <row r="60" spans="1:10" ht="110" customHeight="1" x14ac:dyDescent="0.35">
      <c r="A60" s="362">
        <v>10</v>
      </c>
      <c r="B60" s="270" t="s">
        <v>9952</v>
      </c>
      <c r="C60" s="271" t="s">
        <v>853</v>
      </c>
      <c r="D60" s="270" t="s">
        <v>1233</v>
      </c>
      <c r="E60" s="270" t="s">
        <v>2126</v>
      </c>
      <c r="F60" s="270" t="s">
        <v>2126</v>
      </c>
      <c r="G60" s="270" t="s">
        <v>9953</v>
      </c>
      <c r="H60" s="270">
        <v>10</v>
      </c>
      <c r="I60" s="304" t="s">
        <v>9953</v>
      </c>
      <c r="J60" s="559" t="str">
        <f>HYPERLINK("https://maps.google.com/?q=Parque%20Campismo%20de%20Serpa%20Serpa","🏕 Parque Campismo de Serpa")</f>
        <v>🏕 Parque Campismo de Serpa</v>
      </c>
    </row>
    <row r="61" spans="1:10" ht="110" customHeight="1" x14ac:dyDescent="0.35">
      <c r="A61" s="346">
        <v>11</v>
      </c>
      <c r="B61" s="267" t="s">
        <v>9954</v>
      </c>
      <c r="C61" s="268" t="s">
        <v>853</v>
      </c>
      <c r="D61" s="267" t="s">
        <v>1233</v>
      </c>
      <c r="E61" s="267" t="s">
        <v>2143</v>
      </c>
      <c r="F61" s="267" t="s">
        <v>9955</v>
      </c>
      <c r="G61" s="267" t="s">
        <v>9956</v>
      </c>
      <c r="H61" s="267">
        <v>20</v>
      </c>
      <c r="I61" s="305" t="s">
        <v>9956</v>
      </c>
      <c r="J61" s="558" t="str">
        <f>HYPERLINK("https://maps.google.com/?q=Orbitur%20Sitava%20Milfontes%20Vila%20Nova%20de%20Milfontes","🏕 Orbitur Sitava Milfontes")</f>
        <v>🏕 Orbitur Sitava Milfontes</v>
      </c>
    </row>
    <row r="62" spans="1:10" ht="110" customHeight="1" x14ac:dyDescent="0.35">
      <c r="A62" s="362">
        <v>12</v>
      </c>
      <c r="B62" s="270" t="s">
        <v>9957</v>
      </c>
      <c r="C62" s="271" t="s">
        <v>853</v>
      </c>
      <c r="D62" s="270" t="s">
        <v>1233</v>
      </c>
      <c r="E62" s="270" t="s">
        <v>2143</v>
      </c>
      <c r="F62" s="270" t="s">
        <v>2143</v>
      </c>
      <c r="G62" s="270" t="s">
        <v>9958</v>
      </c>
      <c r="H62" s="270">
        <v>12</v>
      </c>
      <c r="I62" s="321" t="s">
        <v>9959</v>
      </c>
      <c r="J62" s="559" t="str">
        <f>HYPERLINK("https://maps.google.com/?q=Parque%20de%20Campismo%20de%20Odemira%20Odemira","🏕 Parque de Campismo de Odemir")</f>
        <v>🏕 Parque de Campismo de Odemir</v>
      </c>
    </row>
    <row r="63" spans="1:10" ht="110" customHeight="1" x14ac:dyDescent="0.35">
      <c r="A63" s="346">
        <v>13</v>
      </c>
      <c r="B63" s="267" t="s">
        <v>9960</v>
      </c>
      <c r="C63" s="268" t="s">
        <v>853</v>
      </c>
      <c r="D63" s="267" t="s">
        <v>2538</v>
      </c>
      <c r="E63" s="267" t="s">
        <v>5660</v>
      </c>
      <c r="F63" s="267" t="s">
        <v>9961</v>
      </c>
      <c r="G63" s="267" t="s">
        <v>9962</v>
      </c>
      <c r="H63" s="267">
        <v>15</v>
      </c>
      <c r="I63" s="322" t="s">
        <v>9963</v>
      </c>
      <c r="J63" s="558" t="str">
        <f>HYPERLINK("https://maps.google.com/?q=Camping%20Ros%C3%A1rio%20Ros%C3%A1rio","🏕 Camping Rosário")</f>
        <v>🏕 Camping Rosário</v>
      </c>
    </row>
    <row r="64" spans="1:10" ht="110" customHeight="1" x14ac:dyDescent="0.35">
      <c r="A64" s="362">
        <v>14</v>
      </c>
      <c r="B64" s="270" t="s">
        <v>9964</v>
      </c>
      <c r="C64" s="271" t="s">
        <v>853</v>
      </c>
      <c r="D64" s="270" t="s">
        <v>1233</v>
      </c>
      <c r="E64" s="270" t="s">
        <v>6081</v>
      </c>
      <c r="F64" s="270" t="s">
        <v>6854</v>
      </c>
      <c r="G64" s="270" t="s">
        <v>9965</v>
      </c>
      <c r="H64" s="270">
        <v>10</v>
      </c>
      <c r="I64" s="321" t="s">
        <v>9966</v>
      </c>
      <c r="J64" s="559" t="str">
        <f>HYPERLINK("https://maps.google.com/?q=Mina%20de%20S.%20Domingos%20Mina%20de%20S%C3%A3o%20Domingos","🏕 Mina de S. Domingos")</f>
        <v>🏕 Mina de S. Domingos</v>
      </c>
    </row>
    <row r="65" spans="1:10" ht="110" customHeight="1" x14ac:dyDescent="0.35">
      <c r="A65" s="346">
        <v>15</v>
      </c>
      <c r="B65" s="267" t="s">
        <v>9967</v>
      </c>
      <c r="C65" s="268" t="s">
        <v>853</v>
      </c>
      <c r="D65" s="267" t="s">
        <v>2538</v>
      </c>
      <c r="E65" s="267" t="s">
        <v>2528</v>
      </c>
      <c r="F65" s="267" t="s">
        <v>9968</v>
      </c>
      <c r="G65" s="267" t="s">
        <v>9969</v>
      </c>
      <c r="H65" s="267">
        <v>16</v>
      </c>
      <c r="I65" s="322" t="s">
        <v>9970</v>
      </c>
      <c r="J65" s="558" t="str">
        <f>HYPERLINK("https://maps.google.com/?q=Os%20Alvendreiros%20(Marv%C3%A3o)%20Portagem","🏕 Os Alvendreiros (Marvão)")</f>
        <v>🏕 Os Alvendreiros (Marvão)</v>
      </c>
    </row>
    <row r="66" spans="1:10" ht="110" customHeight="1" x14ac:dyDescent="0.35">
      <c r="A66" s="362">
        <v>16</v>
      </c>
      <c r="B66" s="270" t="s">
        <v>9971</v>
      </c>
      <c r="C66" s="271" t="s">
        <v>853</v>
      </c>
      <c r="D66" s="270" t="s">
        <v>1412</v>
      </c>
      <c r="E66" s="270" t="s">
        <v>7980</v>
      </c>
      <c r="F66" s="270" t="s">
        <v>9972</v>
      </c>
      <c r="G66" s="270" t="s">
        <v>9973</v>
      </c>
      <c r="H66" s="270">
        <v>10</v>
      </c>
      <c r="I66" s="321" t="s">
        <v>9974</v>
      </c>
      <c r="J66" s="559" t="str">
        <f>HYPERLINK("https://maps.google.com/?q=Centro%20N%C3%A1utico%20de%20Monsaraz%20Monsaraz","🏕 Centro Náutico de Monsaraz")</f>
        <v>🏕 Centro Náutico de Monsaraz</v>
      </c>
    </row>
    <row r="67" spans="1:10" ht="110" customHeight="1" x14ac:dyDescent="0.35">
      <c r="A67" s="346">
        <v>17</v>
      </c>
      <c r="B67" s="267" t="s">
        <v>9975</v>
      </c>
      <c r="C67" s="268" t="s">
        <v>853</v>
      </c>
      <c r="D67" s="267" t="s">
        <v>1412</v>
      </c>
      <c r="E67" s="267" t="s">
        <v>1412</v>
      </c>
      <c r="F67" s="267" t="s">
        <v>1412</v>
      </c>
      <c r="G67" s="267" t="s">
        <v>9976</v>
      </c>
      <c r="H67" s="267">
        <v>20</v>
      </c>
      <c r="I67" s="322" t="s">
        <v>9977</v>
      </c>
      <c r="J67" s="558" t="str">
        <f>HYPERLINK("https://maps.google.com/?q=Orbitur%20%C3%89vora%20%C3%89vora","🏕 Orbitur Évora")</f>
        <v>🏕 Orbitur Évora</v>
      </c>
    </row>
    <row r="68" spans="1:10" ht="22" customHeight="1" x14ac:dyDescent="0.35">
      <c r="A68" s="1477" t="s">
        <v>9978</v>
      </c>
      <c r="B68" s="1313"/>
      <c r="C68" s="1313"/>
      <c r="D68" s="1313"/>
      <c r="E68" s="1313"/>
      <c r="F68" s="1313"/>
      <c r="G68" s="1313"/>
      <c r="H68" s="1313"/>
      <c r="I68" s="1313"/>
    </row>
    <row r="69" spans="1:10" ht="110" customHeight="1" x14ac:dyDescent="0.35">
      <c r="A69" s="348">
        <v>1</v>
      </c>
      <c r="B69" s="273" t="s">
        <v>9979</v>
      </c>
      <c r="C69" s="274" t="s">
        <v>767</v>
      </c>
      <c r="D69" s="273" t="s">
        <v>5761</v>
      </c>
      <c r="E69" s="273" t="s">
        <v>2201</v>
      </c>
      <c r="F69" s="273" t="s">
        <v>9980</v>
      </c>
      <c r="G69" s="273" t="s">
        <v>9981</v>
      </c>
      <c r="H69" s="273">
        <v>28</v>
      </c>
      <c r="I69" s="304" t="s">
        <v>9981</v>
      </c>
      <c r="J69" s="560" t="str">
        <f>HYPERLINK("https://maps.google.com/?q=Turiscampo%20(Lagos)%20Luz","🏕 Turiscampo (Lagos)")</f>
        <v>🏕 Turiscampo (Lagos)</v>
      </c>
    </row>
    <row r="70" spans="1:10" ht="110" customHeight="1" x14ac:dyDescent="0.35">
      <c r="A70" s="354">
        <v>2</v>
      </c>
      <c r="B70" s="277" t="s">
        <v>9982</v>
      </c>
      <c r="C70" s="278" t="s">
        <v>767</v>
      </c>
      <c r="D70" s="277" t="s">
        <v>5761</v>
      </c>
      <c r="E70" s="277" t="s">
        <v>2186</v>
      </c>
      <c r="F70" s="277" t="s">
        <v>2186</v>
      </c>
      <c r="G70" s="277" t="s">
        <v>9983</v>
      </c>
      <c r="H70" s="277">
        <v>22</v>
      </c>
      <c r="I70" s="305" t="s">
        <v>9983</v>
      </c>
      <c r="J70" s="561" t="str">
        <f>HYPERLINK("https://maps.google.com/?q=Camping%20Albufeira%20Albufeira","🏕 Camping Albufeira")</f>
        <v>🏕 Camping Albufeira</v>
      </c>
    </row>
    <row r="71" spans="1:10" ht="110" customHeight="1" x14ac:dyDescent="0.35">
      <c r="A71" s="348">
        <v>3</v>
      </c>
      <c r="B71" s="273" t="s">
        <v>9984</v>
      </c>
      <c r="C71" s="274" t="s">
        <v>767</v>
      </c>
      <c r="D71" s="273" t="s">
        <v>5761</v>
      </c>
      <c r="E71" s="273" t="s">
        <v>9985</v>
      </c>
      <c r="F71" s="273" t="s">
        <v>9986</v>
      </c>
      <c r="G71" s="273" t="s">
        <v>9987</v>
      </c>
      <c r="H71" s="273">
        <v>22</v>
      </c>
      <c r="I71" s="304" t="s">
        <v>9987</v>
      </c>
      <c r="J71" s="560" t="str">
        <f>HYPERLINK("https://maps.google.com/?q=Salema%20Eco%20Camp%20Budens","🏕 Salema Eco Camp")</f>
        <v>🏕 Salema Eco Camp</v>
      </c>
    </row>
    <row r="72" spans="1:10" ht="110" customHeight="1" x14ac:dyDescent="0.35">
      <c r="A72" s="354">
        <v>4</v>
      </c>
      <c r="B72" s="277" t="s">
        <v>9988</v>
      </c>
      <c r="C72" s="278" t="s">
        <v>767</v>
      </c>
      <c r="D72" s="277" t="s">
        <v>5761</v>
      </c>
      <c r="E72" s="277" t="s">
        <v>2201</v>
      </c>
      <c r="F72" s="277" t="s">
        <v>9989</v>
      </c>
      <c r="G72" s="277" t="s">
        <v>9990</v>
      </c>
      <c r="H72" s="277">
        <v>20</v>
      </c>
      <c r="I72" s="322" t="s">
        <v>9991</v>
      </c>
      <c r="J72" s="561" t="str">
        <f>HYPERLINK("https://maps.google.com/?q=Orbitur%20Valverde%20(Lagos)%20Praia%20da%20Luz","🏕 Orbitur Valverde (Lagos)")</f>
        <v>🏕 Orbitur Valverde (Lagos)</v>
      </c>
    </row>
    <row r="73" spans="1:10" ht="110" customHeight="1" x14ac:dyDescent="0.35">
      <c r="A73" s="348">
        <v>5</v>
      </c>
      <c r="B73" s="273" t="s">
        <v>9992</v>
      </c>
      <c r="C73" s="274" t="s">
        <v>767</v>
      </c>
      <c r="D73" s="273" t="s">
        <v>5761</v>
      </c>
      <c r="E73" s="273" t="s">
        <v>2180</v>
      </c>
      <c r="F73" s="273" t="s">
        <v>9993</v>
      </c>
      <c r="G73" s="273" t="s">
        <v>9994</v>
      </c>
      <c r="H73" s="273">
        <v>18</v>
      </c>
      <c r="I73" s="304" t="s">
        <v>9994</v>
      </c>
      <c r="J73" s="560" t="str">
        <f>HYPERLINK("https://maps.google.com/?q=Camping%20Arma%C3%A7%C3%A3o%20de%20P%C3%AAra%20Arma%C3%A7%C3%A3o%20de%20P%C3%AAra","🏕 Camping Armação de Pêra")</f>
        <v>🏕 Camping Armação de Pêra</v>
      </c>
    </row>
    <row r="74" spans="1:10" ht="110" customHeight="1" x14ac:dyDescent="0.35">
      <c r="A74" s="354">
        <v>6</v>
      </c>
      <c r="B74" s="277" t="s">
        <v>9995</v>
      </c>
      <c r="C74" s="278" t="s">
        <v>767</v>
      </c>
      <c r="D74" s="277" t="s">
        <v>5761</v>
      </c>
      <c r="E74" s="277" t="s">
        <v>5527</v>
      </c>
      <c r="F74" s="277" t="s">
        <v>5527</v>
      </c>
      <c r="G74" s="277" t="s">
        <v>9996</v>
      </c>
      <c r="H74" s="277">
        <v>15</v>
      </c>
      <c r="I74" s="322" t="s">
        <v>9997</v>
      </c>
      <c r="J74" s="561" t="str">
        <f>HYPERLINK("https://maps.google.com/?q=Parque%20de%20Olh%C3%A3o%20Olh%C3%A3o","🏕 Parque de Olhão")</f>
        <v>🏕 Parque de Olhão</v>
      </c>
    </row>
    <row r="75" spans="1:10" ht="110" customHeight="1" x14ac:dyDescent="0.35">
      <c r="A75" s="348">
        <v>7</v>
      </c>
      <c r="B75" s="273" t="s">
        <v>9998</v>
      </c>
      <c r="C75" s="274" t="s">
        <v>767</v>
      </c>
      <c r="D75" s="273" t="s">
        <v>5761</v>
      </c>
      <c r="E75" s="273" t="s">
        <v>2190</v>
      </c>
      <c r="F75" s="273" t="s">
        <v>2190</v>
      </c>
      <c r="G75" s="273" t="s">
        <v>9999</v>
      </c>
      <c r="H75" s="273">
        <v>17</v>
      </c>
      <c r="I75" s="304" t="s">
        <v>9999</v>
      </c>
      <c r="J75" s="560" t="str">
        <f>HYPERLINK("https://maps.google.com/?q=Camping%20Canelas%20(Lagoa)%20Lagoa","🏕 Camping Canelas (Lagoa)")</f>
        <v>🏕 Camping Canelas (Lagoa)</v>
      </c>
    </row>
    <row r="76" spans="1:10" ht="110" customHeight="1" x14ac:dyDescent="0.35">
      <c r="A76" s="354">
        <v>8</v>
      </c>
      <c r="B76" s="277" t="s">
        <v>10000</v>
      </c>
      <c r="C76" s="278" t="s">
        <v>767</v>
      </c>
      <c r="D76" s="277" t="s">
        <v>5761</v>
      </c>
      <c r="E76" s="277" t="s">
        <v>9985</v>
      </c>
      <c r="F76" s="277" t="s">
        <v>5964</v>
      </c>
      <c r="G76" s="277" t="s">
        <v>10001</v>
      </c>
      <c r="H76" s="277">
        <v>22</v>
      </c>
      <c r="I76" s="305" t="s">
        <v>10001</v>
      </c>
      <c r="J76" s="561" t="str">
        <f>HYPERLINK("https://maps.google.com/?q=Orbitur%20Sagres%20Sagres","🏕 Orbitur Sagres")</f>
        <v>🏕 Orbitur Sagres</v>
      </c>
    </row>
    <row r="77" spans="1:10" ht="110" customHeight="1" x14ac:dyDescent="0.35">
      <c r="A77" s="348">
        <v>9</v>
      </c>
      <c r="B77" s="273" t="s">
        <v>10002</v>
      </c>
      <c r="C77" s="274" t="s">
        <v>767</v>
      </c>
      <c r="D77" s="273" t="s">
        <v>5761</v>
      </c>
      <c r="E77" s="273" t="s">
        <v>2190</v>
      </c>
      <c r="F77" s="273" t="s">
        <v>6440</v>
      </c>
      <c r="G77" s="273" t="s">
        <v>10003</v>
      </c>
      <c r="H77" s="273">
        <v>18</v>
      </c>
      <c r="I77" s="321" t="s">
        <v>10004</v>
      </c>
      <c r="J77" s="560" t="str">
        <f>HYPERLINK("https://maps.google.com/?q=Camping%20Ferragudo%20Ferragudo","🏕 Camping Ferragudo")</f>
        <v>🏕 Camping Ferragudo</v>
      </c>
    </row>
    <row r="78" spans="1:10" ht="22" customHeight="1" x14ac:dyDescent="0.35">
      <c r="A78" s="1369" t="s">
        <v>10005</v>
      </c>
      <c r="B78" s="1313"/>
      <c r="C78" s="1313"/>
      <c r="D78" s="1313"/>
      <c r="E78" s="1313"/>
      <c r="F78" s="1313"/>
      <c r="G78" s="1313"/>
      <c r="H78" s="1313"/>
      <c r="I78" s="1313"/>
    </row>
    <row r="79" spans="1:10" ht="110" customHeight="1" x14ac:dyDescent="0.35">
      <c r="A79" s="344">
        <v>1</v>
      </c>
      <c r="B79" s="281" t="s">
        <v>10006</v>
      </c>
      <c r="C79" s="282" t="s">
        <v>524</v>
      </c>
      <c r="D79" s="281" t="s">
        <v>524</v>
      </c>
      <c r="E79" s="281" t="s">
        <v>7530</v>
      </c>
      <c r="F79" s="281" t="s">
        <v>7530</v>
      </c>
      <c r="G79" s="281" t="s">
        <v>10007</v>
      </c>
      <c r="H79" s="281">
        <v>12</v>
      </c>
      <c r="I79" s="305" t="s">
        <v>10007</v>
      </c>
      <c r="J79" s="562" t="str">
        <f>HYPERLINK("https://maps.google.com/?q=Porto%20Santo%20(Madeira)%20Porto%20Santo","🏕 Porto Santo (Madeira)")</f>
        <v>🏕 Porto Santo (Madeira)</v>
      </c>
    </row>
    <row r="80" spans="1:10" ht="110" customHeight="1" x14ac:dyDescent="0.35">
      <c r="A80" s="342">
        <v>2</v>
      </c>
      <c r="B80" s="284" t="s">
        <v>10008</v>
      </c>
      <c r="C80" s="367" t="s">
        <v>524</v>
      </c>
      <c r="D80" s="284" t="s">
        <v>524</v>
      </c>
      <c r="E80" s="284" t="s">
        <v>10009</v>
      </c>
      <c r="F80" s="284" t="s">
        <v>10010</v>
      </c>
      <c r="G80" s="284" t="s">
        <v>10011</v>
      </c>
      <c r="H80" s="284">
        <v>30</v>
      </c>
      <c r="I80" s="321" t="s">
        <v>10012</v>
      </c>
      <c r="J80" s="563" t="str">
        <f>HYPERLINK("https://maps.google.com/?q=Quinta%20do%20Lorde%20(Madeira)%20Cani%C3%A7al","🏕 Quinta do Lorde (Madeira)")</f>
        <v>🏕 Quinta do Lorde (Madeira)</v>
      </c>
    </row>
    <row r="81" spans="1:10" ht="110" customHeight="1" x14ac:dyDescent="0.35">
      <c r="A81" s="344">
        <v>3</v>
      </c>
      <c r="B81" s="281" t="s">
        <v>10013</v>
      </c>
      <c r="C81" s="282" t="s">
        <v>522</v>
      </c>
      <c r="D81" s="281" t="s">
        <v>522</v>
      </c>
      <c r="E81" s="281" t="s">
        <v>8733</v>
      </c>
      <c r="F81" s="281" t="s">
        <v>2848</v>
      </c>
      <c r="G81" s="281" t="s">
        <v>10014</v>
      </c>
      <c r="H81" s="281">
        <v>8</v>
      </c>
      <c r="I81" s="322" t="s">
        <v>10015</v>
      </c>
      <c r="J81" s="562" t="str">
        <f>HYPERLINK("https://maps.google.com/?q=Calheta%20(S.%20Jorge%2C%20A%C3%A7ores)%20S%C3%A3o%20Jorge","🏕 Calheta (S. Jorge, Açores)")</f>
        <v>🏕 Calheta (S. Jorge, Açores)</v>
      </c>
    </row>
    <row r="82" spans="1:10" ht="110" customHeight="1" x14ac:dyDescent="0.35">
      <c r="A82" s="342">
        <v>4</v>
      </c>
      <c r="B82" s="284" t="s">
        <v>10016</v>
      </c>
      <c r="C82" s="367" t="s">
        <v>522</v>
      </c>
      <c r="D82" s="284" t="s">
        <v>522</v>
      </c>
      <c r="E82" s="284" t="s">
        <v>10017</v>
      </c>
      <c r="F82" s="284" t="s">
        <v>2841</v>
      </c>
      <c r="G82" s="284" t="s">
        <v>10018</v>
      </c>
      <c r="H82" s="284">
        <v>10</v>
      </c>
      <c r="I82" s="321" t="s">
        <v>10019</v>
      </c>
      <c r="J82" s="563" t="str">
        <f>HYPERLINK("https://maps.google.com/?q=Praia%20da%20Vit%C3%B3ria%20(Terceira%2C%20A%C3%A7ores)%20Terceira","🏕 Praia da Vitória (Terceira, ")</f>
        <v xml:space="preserve">🏕 Praia da Vitória (Terceira, </v>
      </c>
    </row>
    <row r="83" spans="1:10" ht="110" customHeight="1" x14ac:dyDescent="0.35">
      <c r="A83" s="344">
        <v>5</v>
      </c>
      <c r="B83" s="281" t="s">
        <v>10020</v>
      </c>
      <c r="C83" s="282" t="s">
        <v>522</v>
      </c>
      <c r="D83" s="281" t="s">
        <v>522</v>
      </c>
      <c r="E83" s="281" t="s">
        <v>6052</v>
      </c>
      <c r="F83" s="281" t="s">
        <v>2823</v>
      </c>
      <c r="G83" s="281" t="s">
        <v>10021</v>
      </c>
      <c r="H83" s="281">
        <v>10</v>
      </c>
      <c r="I83" s="322" t="s">
        <v>10022</v>
      </c>
      <c r="J83" s="562" t="str">
        <f>HYPERLINK("https://maps.google.com/?q=Varadouro%20(Faial%2C%20A%C3%A7ores)%20Faial","🏕 Varadouro (Faial, Açores)")</f>
        <v>🏕 Varadouro (Faial, Açores)</v>
      </c>
    </row>
    <row r="85" spans="1:10" x14ac:dyDescent="0.35">
      <c r="A85" s="1353" t="s">
        <v>10023</v>
      </c>
      <c r="B85" s="1354"/>
      <c r="C85" s="1354"/>
      <c r="D85" s="1354"/>
      <c r="E85" s="1354"/>
      <c r="F85" s="1354"/>
      <c r="G85" s="1354"/>
      <c r="H85" s="1354"/>
      <c r="I85" s="1354"/>
      <c r="J85" s="375" t="str">
        <f>HYPERLINK("https://maps.google.com/?q=","🏕 ")</f>
        <v xml:space="preserve">🏕 </v>
      </c>
    </row>
  </sheetData>
  <mergeCells count="9">
    <mergeCell ref="A2:I2"/>
    <mergeCell ref="A68:I68"/>
    <mergeCell ref="A85:I85"/>
    <mergeCell ref="A37:I37"/>
    <mergeCell ref="A1:I1"/>
    <mergeCell ref="A78:I78"/>
    <mergeCell ref="A50:I50"/>
    <mergeCell ref="A4:I4"/>
    <mergeCell ref="A20:I20"/>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57"/>
  <sheetViews>
    <sheetView workbookViewId="0">
      <pane ySplit="3" topLeftCell="A45" activePane="bottomLeft" state="frozen"/>
      <selection pane="bottomLeft" activeCell="K58" sqref="K58"/>
    </sheetView>
  </sheetViews>
  <sheetFormatPr defaultRowHeight="14.5" x14ac:dyDescent="0.35"/>
  <cols>
    <col min="1" max="1" width="4" customWidth="1"/>
    <col min="2" max="2" width="30" customWidth="1"/>
    <col min="3" max="3" width="10" customWidth="1"/>
    <col min="4" max="5" width="14" customWidth="1"/>
    <col min="6" max="6" width="30" customWidth="1"/>
    <col min="7" max="7" width="52" customWidth="1"/>
    <col min="8" max="8" width="24" customWidth="1"/>
    <col min="9" max="9" width="30.7265625" customWidth="1"/>
    <col min="10" max="10" width="18" customWidth="1"/>
    <col min="11" max="11" width="26" customWidth="1"/>
  </cols>
  <sheetData>
    <row r="1" spans="1:11" ht="36" customHeight="1" x14ac:dyDescent="0.45">
      <c r="A1" s="1502" t="s">
        <v>20053</v>
      </c>
      <c r="B1" s="1503"/>
      <c r="C1" s="1503"/>
      <c r="D1" s="1503"/>
      <c r="E1" s="1503"/>
      <c r="F1" s="1503"/>
      <c r="G1" s="1503"/>
      <c r="H1" s="1503"/>
      <c r="I1" s="1503"/>
      <c r="J1" s="1503"/>
      <c r="K1" s="1503"/>
    </row>
    <row r="2" spans="1:11" ht="24" customHeight="1" x14ac:dyDescent="0.35">
      <c r="A2" s="1512" t="s">
        <v>10167</v>
      </c>
      <c r="B2" s="1513"/>
      <c r="C2" s="1513"/>
      <c r="D2" s="1513"/>
      <c r="E2" s="1513"/>
      <c r="F2" s="1513"/>
      <c r="G2" s="1513"/>
      <c r="H2" s="1513"/>
      <c r="I2" s="1513"/>
      <c r="J2" s="1513"/>
      <c r="K2" s="1513"/>
    </row>
    <row r="3" spans="1:11" ht="28" customHeight="1" x14ac:dyDescent="0.35">
      <c r="A3" s="713" t="s">
        <v>141</v>
      </c>
      <c r="B3" s="713" t="s">
        <v>785</v>
      </c>
      <c r="C3" s="713" t="s">
        <v>619</v>
      </c>
      <c r="D3" s="713" t="s">
        <v>8176</v>
      </c>
      <c r="E3" s="713" t="s">
        <v>1768</v>
      </c>
      <c r="F3" s="713" t="s">
        <v>906</v>
      </c>
      <c r="G3" s="713" t="s">
        <v>8</v>
      </c>
      <c r="H3" s="713" t="s">
        <v>539</v>
      </c>
      <c r="I3" s="713" t="s">
        <v>8764</v>
      </c>
      <c r="J3" s="713" t="s">
        <v>910</v>
      </c>
      <c r="K3" s="713" t="s">
        <v>789</v>
      </c>
    </row>
    <row r="4" spans="1:11" ht="26" customHeight="1" x14ac:dyDescent="0.35">
      <c r="A4" s="1473" t="s">
        <v>10168</v>
      </c>
      <c r="B4" s="1474"/>
      <c r="C4" s="1474"/>
      <c r="D4" s="1474"/>
      <c r="E4" s="1474"/>
      <c r="F4" s="1474"/>
      <c r="G4" s="1474"/>
      <c r="H4" s="1474"/>
      <c r="I4" s="1474"/>
      <c r="J4" s="1474"/>
      <c r="K4" s="1474"/>
    </row>
    <row r="5" spans="1:11" ht="60" customHeight="1" x14ac:dyDescent="0.35">
      <c r="A5" s="777">
        <v>1</v>
      </c>
      <c r="B5" s="778" t="s">
        <v>10169</v>
      </c>
      <c r="C5" s="779" t="s">
        <v>792</v>
      </c>
      <c r="D5" s="780" t="s">
        <v>5578</v>
      </c>
      <c r="E5" s="780" t="s">
        <v>1860</v>
      </c>
      <c r="F5" s="782" t="s">
        <v>10170</v>
      </c>
      <c r="G5" s="919" t="s">
        <v>10171</v>
      </c>
      <c r="H5" s="782" t="str">
        <f t="shared" ref="H5:H13" si="0">HYPERLINK("https://www.pousadasjuventude.pt","pousadasjuventude.pt")</f>
        <v>pousadasjuventude.pt</v>
      </c>
      <c r="I5" s="780" t="s">
        <v>10172</v>
      </c>
      <c r="J5" s="780" t="s">
        <v>20055</v>
      </c>
      <c r="K5" s="752" t="str">
        <f>HYPERLINK("https://www.google.com/maps/search/HI%20Alij%C3%B3%20Rua%20Dr.%20Jos%C3%A9%20de%20Mesquita%2C%205070-011%20Alij%C3%B3%20Portugal","📍 HI Alijó")</f>
        <v>📍 HI Alijó</v>
      </c>
    </row>
    <row r="6" spans="1:11" ht="60" customHeight="1" x14ac:dyDescent="0.35">
      <c r="A6" s="783">
        <v>2</v>
      </c>
      <c r="B6" s="784" t="s">
        <v>10173</v>
      </c>
      <c r="C6" s="785" t="s">
        <v>792</v>
      </c>
      <c r="D6" s="786" t="s">
        <v>1552</v>
      </c>
      <c r="E6" s="786" t="s">
        <v>1552</v>
      </c>
      <c r="F6" s="788" t="s">
        <v>10174</v>
      </c>
      <c r="G6" s="920" t="s">
        <v>10175</v>
      </c>
      <c r="H6" s="788" t="str">
        <f t="shared" si="0"/>
        <v>pousadasjuventude.pt</v>
      </c>
      <c r="I6" s="786" t="s">
        <v>10172</v>
      </c>
      <c r="J6" s="786" t="s">
        <v>20056</v>
      </c>
      <c r="K6" s="753" t="str">
        <f>HYPERLINK("https://www.google.com/maps/search/HI%20Braga%20Rua%20de%20Santa%20Margarida%206%2C%204710-306%20Braga%20Portugal","📍 HI Braga")</f>
        <v>📍 HI Braga</v>
      </c>
    </row>
    <row r="7" spans="1:11" ht="60" customHeight="1" x14ac:dyDescent="0.35">
      <c r="A7" s="777">
        <v>3</v>
      </c>
      <c r="B7" s="778" t="s">
        <v>10176</v>
      </c>
      <c r="C7" s="779" t="s">
        <v>792</v>
      </c>
      <c r="D7" s="780" t="s">
        <v>1363</v>
      </c>
      <c r="E7" s="780" t="s">
        <v>2019</v>
      </c>
      <c r="F7" s="782" t="s">
        <v>10177</v>
      </c>
      <c r="G7" s="919" t="s">
        <v>10178</v>
      </c>
      <c r="H7" s="782" t="str">
        <f t="shared" si="0"/>
        <v>pousadasjuventude.pt</v>
      </c>
      <c r="I7" s="780" t="s">
        <v>10172</v>
      </c>
      <c r="J7" s="780" t="s">
        <v>20056</v>
      </c>
      <c r="K7" s="752" t="str">
        <f>HYPERLINK("https://www.google.com/maps/search/HI%20Espinho%20Rua%2033%20nº%201150%2C%204500-318%20Espinho%20Portugal","📍 HI Espinho")</f>
        <v>📍 HI Espinho</v>
      </c>
    </row>
    <row r="8" spans="1:11" ht="60" customHeight="1" x14ac:dyDescent="0.35">
      <c r="A8" s="783">
        <v>4</v>
      </c>
      <c r="B8" s="784" t="s">
        <v>10179</v>
      </c>
      <c r="C8" s="785" t="s">
        <v>792</v>
      </c>
      <c r="D8" s="786" t="s">
        <v>1552</v>
      </c>
      <c r="E8" s="786" t="s">
        <v>5850</v>
      </c>
      <c r="F8" s="788" t="s">
        <v>10180</v>
      </c>
      <c r="G8" s="920" t="s">
        <v>10181</v>
      </c>
      <c r="H8" s="788" t="str">
        <f t="shared" si="0"/>
        <v>pousadasjuventude.pt</v>
      </c>
      <c r="I8" s="786" t="s">
        <v>10172</v>
      </c>
      <c r="J8" s="786" t="s">
        <v>20057</v>
      </c>
      <c r="K8" s="753" t="str">
        <f>HYPERLINK("https://www.google.com/maps/search/HI%20Ger%C3%AAs%20Albergaria%2C%20Vilar%20da%20Veiga%2C%204845-076%20Ger%C3%AAs%20Portugal","📍 HI Gerês")</f>
        <v>📍 HI Gerês</v>
      </c>
    </row>
    <row r="9" spans="1:11" ht="60" customHeight="1" x14ac:dyDescent="0.35">
      <c r="A9" s="777">
        <v>5</v>
      </c>
      <c r="B9" s="778" t="s">
        <v>10182</v>
      </c>
      <c r="C9" s="779" t="s">
        <v>792</v>
      </c>
      <c r="D9" s="780" t="s">
        <v>1552</v>
      </c>
      <c r="E9" s="780" t="s">
        <v>1791</v>
      </c>
      <c r="F9" s="782" t="s">
        <v>10183</v>
      </c>
      <c r="G9" s="919" t="s">
        <v>10184</v>
      </c>
      <c r="H9" s="782" t="str">
        <f t="shared" si="0"/>
        <v>pousadasjuventude.pt</v>
      </c>
      <c r="I9" s="780" t="s">
        <v>10172</v>
      </c>
      <c r="J9" s="780" t="s">
        <v>20055</v>
      </c>
      <c r="K9" s="752" t="str">
        <f>HYPERLINK("https://www.google.com/maps/search/HI%20Guimar%C3%A3es%20Complexo%20Multifuncional%20de%20Couros%2C%204810-431%20Guimar%C3%A3es%20Portugal","📍 HI Guimarães")</f>
        <v>📍 HI Guimarães</v>
      </c>
    </row>
    <row r="10" spans="1:11" ht="60" customHeight="1" x14ac:dyDescent="0.35">
      <c r="A10" s="783">
        <v>6</v>
      </c>
      <c r="B10" s="784" t="s">
        <v>10185</v>
      </c>
      <c r="C10" s="785" t="s">
        <v>792</v>
      </c>
      <c r="D10" s="786" t="s">
        <v>1149</v>
      </c>
      <c r="E10" s="786" t="s">
        <v>5857</v>
      </c>
      <c r="F10" s="788" t="s">
        <v>10186</v>
      </c>
      <c r="G10" s="920" t="s">
        <v>10187</v>
      </c>
      <c r="H10" s="788" t="str">
        <f t="shared" si="0"/>
        <v>pousadasjuventude.pt</v>
      </c>
      <c r="I10" s="786" t="s">
        <v>10172</v>
      </c>
      <c r="J10" s="786" t="s">
        <v>20058</v>
      </c>
      <c r="K10" s="753" t="str">
        <f>HYPERLINK("https://www.google.com/maps/search/HI%20Melga%C3%A7o%20Centro%20de%20Est%C3%A1gios%2C%204960-561%20Melga%C3%A7o%20Portugal","📍 HI Melgaço")</f>
        <v>📍 HI Melgaço</v>
      </c>
    </row>
    <row r="11" spans="1:11" ht="60" customHeight="1" x14ac:dyDescent="0.35">
      <c r="A11" s="777">
        <v>7</v>
      </c>
      <c r="B11" s="778" t="s">
        <v>10188</v>
      </c>
      <c r="C11" s="779" t="s">
        <v>792</v>
      </c>
      <c r="D11" s="780" t="s">
        <v>3082</v>
      </c>
      <c r="E11" s="780" t="s">
        <v>3082</v>
      </c>
      <c r="F11" s="782" t="s">
        <v>10189</v>
      </c>
      <c r="G11" s="919" t="s">
        <v>10190</v>
      </c>
      <c r="H11" s="782" t="str">
        <f t="shared" si="0"/>
        <v>pousadasjuventude.pt</v>
      </c>
      <c r="I11" s="780" t="s">
        <v>10172</v>
      </c>
      <c r="J11" s="780" t="s">
        <v>10839</v>
      </c>
      <c r="K11" s="752" t="str">
        <f>HYPERLINK("https://www.google.com/maps/search/HI%20Porto%20R.%20de%20Paulo%20da%20Gama%20551%2C%204169-006%20Porto%20Portugal","📍 HI Porto")</f>
        <v>📍 HI Porto</v>
      </c>
    </row>
    <row r="12" spans="1:11" ht="60" customHeight="1" x14ac:dyDescent="0.35">
      <c r="A12" s="783">
        <v>8</v>
      </c>
      <c r="B12" s="784" t="s">
        <v>10191</v>
      </c>
      <c r="C12" s="785" t="s">
        <v>792</v>
      </c>
      <c r="D12" s="786" t="s">
        <v>1149</v>
      </c>
      <c r="E12" s="786" t="s">
        <v>1149</v>
      </c>
      <c r="F12" s="788" t="s">
        <v>10192</v>
      </c>
      <c r="G12" s="920" t="s">
        <v>10193</v>
      </c>
      <c r="H12" s="788" t="str">
        <f t="shared" si="0"/>
        <v>pousadasjuventude.pt</v>
      </c>
      <c r="I12" s="786" t="s">
        <v>10172</v>
      </c>
      <c r="J12" s="786" t="s">
        <v>20055</v>
      </c>
      <c r="K12" s="753" t="str">
        <f>HYPERLINK("https://www.google.com/maps/search/HI%20Viana%20do%20Castelo%20Rua%20de%20Limia%2C%204900-405%20Viana%20do%20Castelo%20Portugal","📍 HI Viana do Castelo")</f>
        <v>📍 HI Viana do Castelo</v>
      </c>
    </row>
    <row r="13" spans="1:11" ht="60" customHeight="1" x14ac:dyDescent="0.35">
      <c r="A13" s="777">
        <v>9</v>
      </c>
      <c r="B13" s="778" t="s">
        <v>10194</v>
      </c>
      <c r="C13" s="779" t="s">
        <v>792</v>
      </c>
      <c r="D13" s="780" t="s">
        <v>1149</v>
      </c>
      <c r="E13" s="780" t="s">
        <v>5603</v>
      </c>
      <c r="F13" s="782" t="s">
        <v>10195</v>
      </c>
      <c r="G13" s="781" t="s">
        <v>10196</v>
      </c>
      <c r="H13" s="782" t="str">
        <f t="shared" si="0"/>
        <v>pousadasjuventude.pt</v>
      </c>
      <c r="I13" s="780" t="s">
        <v>10172</v>
      </c>
      <c r="J13" s="780" t="s">
        <v>20056</v>
      </c>
      <c r="K13" s="752" t="str">
        <f>HYPERLINK("https://www.google.com/maps/search/HI%20Vila%20Nova%20de%20Cerveira%20Estrada%20Nacional%2013%2C%204920-205%20Vila%20Nova%20de%20Cerveira%20Portugal","📍 HI Vila Nova de Cerveira")</f>
        <v>📍 HI Vila Nova de Cerveira</v>
      </c>
    </row>
    <row r="14" spans="1:11" ht="26" customHeight="1" x14ac:dyDescent="0.45">
      <c r="A14" s="1449" t="s">
        <v>10197</v>
      </c>
      <c r="B14" s="1532"/>
      <c r="C14" s="1508"/>
      <c r="D14" s="1508"/>
      <c r="E14" s="1508"/>
      <c r="F14" s="1509"/>
      <c r="G14" s="1509"/>
      <c r="H14" s="1507"/>
      <c r="I14" s="1508"/>
      <c r="J14" s="1508"/>
      <c r="K14" s="1533"/>
    </row>
    <row r="15" spans="1:11" ht="60" customHeight="1" x14ac:dyDescent="0.35">
      <c r="A15" s="870">
        <v>1</v>
      </c>
      <c r="B15" s="893" t="s">
        <v>10198</v>
      </c>
      <c r="C15" s="872" t="s">
        <v>836</v>
      </c>
      <c r="D15" s="898" t="s">
        <v>5501</v>
      </c>
      <c r="E15" s="898" t="s">
        <v>2555</v>
      </c>
      <c r="F15" s="871" t="s">
        <v>10199</v>
      </c>
      <c r="G15" s="921" t="s">
        <v>10200</v>
      </c>
      <c r="H15" s="871" t="str">
        <f t="shared" ref="H15:H26" si="1">HYPERLINK("https://www.pousadasjuventude.pt","pousadasjuventude.pt")</f>
        <v>pousadasjuventude.pt</v>
      </c>
      <c r="I15" s="898" t="s">
        <v>10172</v>
      </c>
      <c r="J15" s="898" t="s">
        <v>10931</v>
      </c>
      <c r="K15" s="903" t="str">
        <f>HYPERLINK("https://www.google.com/maps/search/HI%20Abrantes%20Largo%20de%20Santo%20Ant%C3%B3nio%2C%202200-349%20Abrantes%20Portugal","📍 HI Abrantes")</f>
        <v>📍 HI Abrantes</v>
      </c>
    </row>
    <row r="16" spans="1:11" ht="60" customHeight="1" x14ac:dyDescent="0.35">
      <c r="A16" s="874">
        <v>2</v>
      </c>
      <c r="B16" s="894" t="s">
        <v>10201</v>
      </c>
      <c r="C16" s="876" t="s">
        <v>836</v>
      </c>
      <c r="D16" s="899" t="s">
        <v>7725</v>
      </c>
      <c r="E16" s="899" t="s">
        <v>7006</v>
      </c>
      <c r="F16" s="875" t="s">
        <v>10202</v>
      </c>
      <c r="G16" s="922" t="s">
        <v>10203</v>
      </c>
      <c r="H16" s="875" t="str">
        <f t="shared" si="1"/>
        <v>pousadasjuventude.pt</v>
      </c>
      <c r="I16" s="899" t="s">
        <v>10172</v>
      </c>
      <c r="J16" s="899" t="s">
        <v>10931</v>
      </c>
      <c r="K16" s="904" t="str">
        <f>HYPERLINK("https://www.google.com/maps/search/HI%20Alfeizer%C3%A3o%20Rua%20de%20S.%20Mac%C3%A1rio%2C%202460-155%20Alfeizer%C3%A3o%20Portugal","📍 HI Alfeizerão")</f>
        <v>📍 HI Alfeizerão</v>
      </c>
    </row>
    <row r="17" spans="1:11" ht="60" customHeight="1" x14ac:dyDescent="0.35">
      <c r="A17" s="870">
        <v>3</v>
      </c>
      <c r="B17" s="893" t="s">
        <v>10204</v>
      </c>
      <c r="C17" s="872" t="s">
        <v>836</v>
      </c>
      <c r="D17" s="898" t="s">
        <v>7725</v>
      </c>
      <c r="E17" s="898" t="s">
        <v>5935</v>
      </c>
      <c r="F17" s="871" t="s">
        <v>10205</v>
      </c>
      <c r="G17" s="921" t="s">
        <v>10190</v>
      </c>
      <c r="H17" s="871" t="str">
        <f t="shared" si="1"/>
        <v>pousadasjuventude.pt</v>
      </c>
      <c r="I17" s="898" t="s">
        <v>10172</v>
      </c>
      <c r="J17" s="898" t="s">
        <v>10931</v>
      </c>
      <c r="K17" s="903" t="str">
        <f>HYPERLINK("https://www.google.com/maps/search/HI%20Alvados%20Rua%20da%20Pousada%2C%202480-032%20Alvados%2C%20Porto%20de%20M%C3%B3s%20Portugal","📍 HI Alvados")</f>
        <v>📍 HI Alvados</v>
      </c>
    </row>
    <row r="18" spans="1:11" ht="60" customHeight="1" x14ac:dyDescent="0.35">
      <c r="A18" s="874">
        <v>4</v>
      </c>
      <c r="B18" s="894" t="s">
        <v>10206</v>
      </c>
      <c r="C18" s="876" t="s">
        <v>836</v>
      </c>
      <c r="D18" s="899" t="s">
        <v>7725</v>
      </c>
      <c r="E18" s="899" t="s">
        <v>10072</v>
      </c>
      <c r="F18" s="875" t="s">
        <v>10207</v>
      </c>
      <c r="G18" s="922" t="s">
        <v>10208</v>
      </c>
      <c r="H18" s="875" t="str">
        <f t="shared" si="1"/>
        <v>pousadasjuventude.pt</v>
      </c>
      <c r="I18" s="899" t="s">
        <v>10172</v>
      </c>
      <c r="J18" s="899" t="s">
        <v>20056</v>
      </c>
      <c r="K18" s="904" t="str">
        <f>HYPERLINK("https://www.google.com/maps/search/HI%20Areia%20Branca%20Praia%20da%20Areia%20Branca%2C%202530-214%20Lourinh%C3%A3%20Portugal","📍 HI Areia Branca")</f>
        <v>📍 HI Areia Branca</v>
      </c>
    </row>
    <row r="19" spans="1:11" ht="60" customHeight="1" x14ac:dyDescent="0.35">
      <c r="A19" s="870">
        <v>5</v>
      </c>
      <c r="B19" s="893" t="s">
        <v>10209</v>
      </c>
      <c r="C19" s="872" t="s">
        <v>836</v>
      </c>
      <c r="D19" s="898" t="s">
        <v>1363</v>
      </c>
      <c r="E19" s="898" t="s">
        <v>1363</v>
      </c>
      <c r="F19" s="871" t="s">
        <v>10210</v>
      </c>
      <c r="G19" s="921" t="s">
        <v>10211</v>
      </c>
      <c r="H19" s="871" t="str">
        <f t="shared" si="1"/>
        <v>pousadasjuventude.pt</v>
      </c>
      <c r="I19" s="898" t="s">
        <v>10172</v>
      </c>
      <c r="J19" s="898" t="s">
        <v>20056</v>
      </c>
      <c r="K19" s="903" t="str">
        <f>HYPERLINK("https://www.google.com/maps/search/HI%20Aveiro%20Rua%20das%20Pousadas%2C%203810-163%20Aveiro%20Portugal","📍 HI Aveiro")</f>
        <v>📍 HI Aveiro</v>
      </c>
    </row>
    <row r="20" spans="1:11" ht="60" customHeight="1" x14ac:dyDescent="0.35">
      <c r="A20" s="874">
        <v>6</v>
      </c>
      <c r="B20" s="894" t="s">
        <v>10212</v>
      </c>
      <c r="C20" s="876" t="s">
        <v>836</v>
      </c>
      <c r="D20" s="899" t="s">
        <v>1713</v>
      </c>
      <c r="E20" s="899" t="s">
        <v>1713</v>
      </c>
      <c r="F20" s="875" t="s">
        <v>10213</v>
      </c>
      <c r="G20" s="877" t="s">
        <v>10214</v>
      </c>
      <c r="H20" s="875" t="str">
        <f t="shared" si="1"/>
        <v>pousadasjuventude.pt</v>
      </c>
      <c r="I20" s="899" t="s">
        <v>10172</v>
      </c>
      <c r="J20" s="899" t="s">
        <v>10931</v>
      </c>
      <c r="K20" s="904" t="str">
        <f>HYPERLINK("https://www.google.com/maps/search/HI%20Castelo%20Branco%20Rua%20de%20Santo%20Ant%C3%B3nio%2C%206000-267%20Castelo%20Branco%20Portugal","📍 HI Castelo Branco")</f>
        <v>📍 HI Castelo Branco</v>
      </c>
    </row>
    <row r="21" spans="1:11" ht="60" customHeight="1" x14ac:dyDescent="0.35">
      <c r="A21" s="870">
        <v>7</v>
      </c>
      <c r="B21" s="893" t="s">
        <v>10215</v>
      </c>
      <c r="C21" s="872" t="s">
        <v>836</v>
      </c>
      <c r="D21" s="898" t="s">
        <v>5497</v>
      </c>
      <c r="E21" s="898" t="s">
        <v>5497</v>
      </c>
      <c r="F21" s="871" t="s">
        <v>10216</v>
      </c>
      <c r="G21" s="921" t="s">
        <v>10217</v>
      </c>
      <c r="H21" s="871" t="str">
        <f t="shared" si="1"/>
        <v>pousadasjuventude.pt</v>
      </c>
      <c r="I21" s="898" t="s">
        <v>10172</v>
      </c>
      <c r="J21" s="898" t="s">
        <v>20056</v>
      </c>
      <c r="K21" s="903" t="str">
        <f>HYPERLINK("https://www.google.com/maps/search/HI%20Coimbra%20Rua%20Henriques%20Seco%2014%2C%203000-204%20Coimbra%20Portugal","📍 HI Coimbra")</f>
        <v>📍 HI Coimbra</v>
      </c>
    </row>
    <row r="22" spans="1:11" ht="60" customHeight="1" x14ac:dyDescent="0.35">
      <c r="A22" s="874">
        <v>8</v>
      </c>
      <c r="B22" s="894" t="s">
        <v>10218</v>
      </c>
      <c r="C22" s="876" t="s">
        <v>836</v>
      </c>
      <c r="D22" s="899" t="s">
        <v>5497</v>
      </c>
      <c r="E22" s="899" t="s">
        <v>7331</v>
      </c>
      <c r="F22" s="875" t="s">
        <v>10219</v>
      </c>
      <c r="G22" s="877" t="s">
        <v>10220</v>
      </c>
      <c r="H22" s="875" t="str">
        <f t="shared" si="1"/>
        <v>pousadasjuventude.pt</v>
      </c>
      <c r="I22" s="899" t="s">
        <v>10172</v>
      </c>
      <c r="J22" s="899" t="s">
        <v>10931</v>
      </c>
      <c r="K22" s="904" t="str">
        <f>HYPERLINK("https://www.google.com/maps/search/HI%20Figueira%20da%20Foz%20Rua%20Dr.%20Ant%C3%B3nio%20Lopes%20Guimar%C3%A3es%2C%203080-083%20Figueira%20da%20Foz%20Portugal","📍 HI Figueira da Foz")</f>
        <v>📍 HI Figueira da Foz</v>
      </c>
    </row>
    <row r="23" spans="1:11" ht="60" customHeight="1" x14ac:dyDescent="0.35">
      <c r="A23" s="870">
        <v>9</v>
      </c>
      <c r="B23" s="893" t="s">
        <v>10221</v>
      </c>
      <c r="C23" s="872" t="s">
        <v>836</v>
      </c>
      <c r="D23" s="898" t="s">
        <v>8011</v>
      </c>
      <c r="E23" s="898" t="s">
        <v>8011</v>
      </c>
      <c r="F23" s="871" t="s">
        <v>10222</v>
      </c>
      <c r="G23" s="921" t="s">
        <v>10223</v>
      </c>
      <c r="H23" s="871" t="str">
        <f t="shared" si="1"/>
        <v>pousadasjuventude.pt</v>
      </c>
      <c r="I23" s="898" t="s">
        <v>10172</v>
      </c>
      <c r="J23" s="898" t="s">
        <v>10931</v>
      </c>
      <c r="K23" s="903" t="str">
        <f>HYPERLINK("https://www.google.com/maps/search/HI%20Guarda%20Rua%20de%20Encosta%2C%206300-549%20Guarda%20Portugal","📍 HI Guarda")</f>
        <v>📍 HI Guarda</v>
      </c>
    </row>
    <row r="24" spans="1:11" ht="60" customHeight="1" x14ac:dyDescent="0.35">
      <c r="A24" s="874">
        <v>10</v>
      </c>
      <c r="B24" s="894" t="s">
        <v>10224</v>
      </c>
      <c r="C24" s="876" t="s">
        <v>836</v>
      </c>
      <c r="D24" s="899" t="s">
        <v>5497</v>
      </c>
      <c r="E24" s="899" t="s">
        <v>5488</v>
      </c>
      <c r="F24" s="875" t="s">
        <v>10225</v>
      </c>
      <c r="G24" s="922" t="s">
        <v>10226</v>
      </c>
      <c r="H24" s="875" t="str">
        <f t="shared" si="1"/>
        <v>pousadasjuventude.pt</v>
      </c>
      <c r="I24" s="899" t="s">
        <v>10172</v>
      </c>
      <c r="J24" s="899" t="s">
        <v>10931</v>
      </c>
      <c r="K24" s="904" t="str">
        <f>HYPERLINK("https://www.google.com/maps/search/HI%20Lous%C3%A3%20Rua%20Dr.%20Jo%C3%A3o%20Santos%2C%203200-244%20Lous%C3%A3%20Portugal","📍 HI Lousã")</f>
        <v>📍 HI Lousã</v>
      </c>
    </row>
    <row r="25" spans="1:11" ht="60" customHeight="1" x14ac:dyDescent="0.35">
      <c r="A25" s="870">
        <v>11</v>
      </c>
      <c r="B25" s="893" t="s">
        <v>10227</v>
      </c>
      <c r="C25" s="872" t="s">
        <v>836</v>
      </c>
      <c r="D25" s="898" t="s">
        <v>1713</v>
      </c>
      <c r="E25" s="898" t="s">
        <v>5883</v>
      </c>
      <c r="F25" s="871" t="s">
        <v>10228</v>
      </c>
      <c r="G25" s="921" t="s">
        <v>10229</v>
      </c>
      <c r="H25" s="871" t="str">
        <f t="shared" si="1"/>
        <v>pousadasjuventude.pt</v>
      </c>
      <c r="I25" s="898" t="s">
        <v>10172</v>
      </c>
      <c r="J25" s="898" t="s">
        <v>20055</v>
      </c>
      <c r="K25" s="903" t="str">
        <f>HYPERLINK("https://www.google.com/maps/search/HI%20Penhas%20da%20Sa%C3%BAde%20Penhas%20da%20Sa%C3%BAde%2C%206200-073%20Covilh%C3%A3%20Portugal","📍 HI Penhas da Saúde")</f>
        <v>📍 HI Penhas da Saúde</v>
      </c>
    </row>
    <row r="26" spans="1:11" ht="60" customHeight="1" x14ac:dyDescent="0.35">
      <c r="A26" s="874">
        <v>12</v>
      </c>
      <c r="B26" s="894" t="s">
        <v>10230</v>
      </c>
      <c r="C26" s="876" t="s">
        <v>836</v>
      </c>
      <c r="D26" s="899" t="s">
        <v>950</v>
      </c>
      <c r="E26" s="899" t="s">
        <v>8459</v>
      </c>
      <c r="F26" s="875" t="s">
        <v>10231</v>
      </c>
      <c r="G26" s="922" t="s">
        <v>10232</v>
      </c>
      <c r="H26" s="875" t="str">
        <f t="shared" si="1"/>
        <v>pousadasjuventude.pt</v>
      </c>
      <c r="I26" s="899" t="s">
        <v>10172</v>
      </c>
      <c r="J26" s="899" t="s">
        <v>20058</v>
      </c>
      <c r="K26" s="904" t="str">
        <f>HYPERLINK("https://www.google.com/maps/search/HI%20S%C3%A3o%20Pedro%20do%20Sul%20Termas%20de%20S.%20Pedro%20do%20Sul%2C%203660-692%20S.%20Pedro%20do%20Sul%20Portugal","📍 HI São Pedro do Sul")</f>
        <v>📍 HI São Pedro do Sul</v>
      </c>
    </row>
    <row r="27" spans="1:11" ht="26" customHeight="1" x14ac:dyDescent="0.45">
      <c r="A27" s="1431" t="s">
        <v>10233</v>
      </c>
      <c r="B27" s="1534"/>
      <c r="C27" s="1518"/>
      <c r="D27" s="1518"/>
      <c r="E27" s="1518"/>
      <c r="F27" s="1519"/>
      <c r="G27" s="1519"/>
      <c r="H27" s="1517"/>
      <c r="I27" s="1518"/>
      <c r="J27" s="1518"/>
      <c r="K27" s="1535"/>
    </row>
    <row r="28" spans="1:11" ht="60" customHeight="1" x14ac:dyDescent="0.35">
      <c r="A28" s="801">
        <v>1</v>
      </c>
      <c r="B28" s="802" t="s">
        <v>10234</v>
      </c>
      <c r="C28" s="803" t="s">
        <v>913</v>
      </c>
      <c r="D28" s="804" t="s">
        <v>1347</v>
      </c>
      <c r="E28" s="804" t="s">
        <v>1259</v>
      </c>
      <c r="F28" s="806" t="s">
        <v>10235</v>
      </c>
      <c r="G28" s="923" t="s">
        <v>10236</v>
      </c>
      <c r="H28" s="806" t="str">
        <f t="shared" ref="H28:H34" si="2">HYPERLINK("https://www.pousadasjuventude.pt","pousadasjuventude.pt")</f>
        <v>pousadasjuventude.pt</v>
      </c>
      <c r="I28" s="804" t="s">
        <v>10172</v>
      </c>
      <c r="J28" s="804" t="s">
        <v>20055</v>
      </c>
      <c r="K28" s="756" t="str">
        <f>HYPERLINK("https://www.google.com/maps/search/HI%20Almada%20Quinta%20do%20Alfeite%2C%202810-000%20Almada%20Portugal","📍 HI Almada")</f>
        <v>📍 HI Almada</v>
      </c>
    </row>
    <row r="29" spans="1:11" ht="60" customHeight="1" x14ac:dyDescent="0.35">
      <c r="A29" s="807">
        <v>2</v>
      </c>
      <c r="B29" s="808" t="s">
        <v>10237</v>
      </c>
      <c r="C29" s="809" t="s">
        <v>913</v>
      </c>
      <c r="D29" s="810" t="s">
        <v>913</v>
      </c>
      <c r="E29" s="810" t="s">
        <v>913</v>
      </c>
      <c r="F29" s="812" t="s">
        <v>10238</v>
      </c>
      <c r="G29" s="924" t="s">
        <v>10239</v>
      </c>
      <c r="H29" s="812" t="str">
        <f t="shared" si="2"/>
        <v>pousadasjuventude.pt</v>
      </c>
      <c r="I29" s="810" t="s">
        <v>10172</v>
      </c>
      <c r="J29" s="810" t="s">
        <v>20059</v>
      </c>
      <c r="K29" s="757" t="str">
        <f>HYPERLINK("https://www.google.com/maps/search/HI%20Lisboa%20Centro%20Rua%20Andrade%20Corvo%2046%2C%201050-009%20Lisboa%20Portugal","📍 HI Lisboa Centro")</f>
        <v>📍 HI Lisboa Centro</v>
      </c>
    </row>
    <row r="30" spans="1:11" ht="60" customHeight="1" x14ac:dyDescent="0.35">
      <c r="A30" s="801">
        <v>3</v>
      </c>
      <c r="B30" s="802" t="s">
        <v>10240</v>
      </c>
      <c r="C30" s="803" t="s">
        <v>913</v>
      </c>
      <c r="D30" s="804" t="s">
        <v>913</v>
      </c>
      <c r="E30" s="804" t="s">
        <v>913</v>
      </c>
      <c r="F30" s="806" t="s">
        <v>10241</v>
      </c>
      <c r="G30" s="923" t="s">
        <v>10242</v>
      </c>
      <c r="H30" s="806" t="str">
        <f t="shared" si="2"/>
        <v>pousadasjuventude.pt</v>
      </c>
      <c r="I30" s="804" t="s">
        <v>10172</v>
      </c>
      <c r="J30" s="804" t="s">
        <v>20059</v>
      </c>
      <c r="K30" s="756" t="str">
        <f>HYPERLINK("https://www.google.com/maps/search/HI%20Lisboa%20Parque%20das%20Na%C3%A7%C3%B5es%20Rua%20de%20Moscavide%204%2C%201998-011%20Lisboa%20Portugal","📍 HI Lisboa Parque das Nações")</f>
        <v>📍 HI Lisboa Parque das Nações</v>
      </c>
    </row>
    <row r="31" spans="1:11" ht="60" customHeight="1" x14ac:dyDescent="0.35">
      <c r="A31" s="807">
        <v>4</v>
      </c>
      <c r="B31" s="808" t="s">
        <v>10243</v>
      </c>
      <c r="C31" s="809" t="s">
        <v>913</v>
      </c>
      <c r="D31" s="810" t="s">
        <v>913</v>
      </c>
      <c r="E31" s="810" t="s">
        <v>5691</v>
      </c>
      <c r="F31" s="812" t="s">
        <v>10244</v>
      </c>
      <c r="G31" s="924" t="s">
        <v>10245</v>
      </c>
      <c r="H31" s="812" t="str">
        <f t="shared" si="2"/>
        <v>pousadasjuventude.pt</v>
      </c>
      <c r="I31" s="810" t="s">
        <v>10172</v>
      </c>
      <c r="J31" s="810" t="s">
        <v>10839</v>
      </c>
      <c r="K31" s="757" t="str">
        <f>HYPERLINK("https://www.google.com/maps/search/HI%20Oeiras%20Estrada%20Marginal%2C%20Catalazete%2C%202780-267%20Oeiras%20Portugal","📍 HI Oeiras")</f>
        <v>📍 HI Oeiras</v>
      </c>
    </row>
    <row r="32" spans="1:11" ht="60" customHeight="1" x14ac:dyDescent="0.35">
      <c r="A32" s="801">
        <v>5</v>
      </c>
      <c r="B32" s="802" t="s">
        <v>10246</v>
      </c>
      <c r="C32" s="803" t="s">
        <v>913</v>
      </c>
      <c r="D32" s="804" t="s">
        <v>913</v>
      </c>
      <c r="E32" s="804" t="s">
        <v>6555</v>
      </c>
      <c r="F32" s="806" t="s">
        <v>10247</v>
      </c>
      <c r="G32" s="923" t="s">
        <v>10248</v>
      </c>
      <c r="H32" s="806" t="str">
        <f t="shared" si="2"/>
        <v>pousadasjuventude.pt</v>
      </c>
      <c r="I32" s="804" t="s">
        <v>10172</v>
      </c>
      <c r="J32" s="804" t="s">
        <v>20056</v>
      </c>
      <c r="K32" s="756" t="str">
        <f>HYPERLINK("https://www.google.com/maps/search/HI%20Santa%20Cruz%20Torres%20Vedras%20Praceta%20da%20Enseada%2C%202560-496%20Santa%20Cruz%2C%20Torres%20Vedras%20Portugal","📍 HI Santa Cruz Torres Vedras")</f>
        <v>📍 HI Santa Cruz Torres Vedras</v>
      </c>
    </row>
    <row r="33" spans="1:11" ht="60" customHeight="1" x14ac:dyDescent="0.35">
      <c r="A33" s="807">
        <v>6</v>
      </c>
      <c r="B33" s="808" t="s">
        <v>10249</v>
      </c>
      <c r="C33" s="809" t="s">
        <v>913</v>
      </c>
      <c r="D33" s="810" t="s">
        <v>5501</v>
      </c>
      <c r="E33" s="810" t="s">
        <v>5501</v>
      </c>
      <c r="F33" s="812" t="s">
        <v>10250</v>
      </c>
      <c r="G33" s="924" t="s">
        <v>10251</v>
      </c>
      <c r="H33" s="812" t="str">
        <f t="shared" si="2"/>
        <v>pousadasjuventude.pt</v>
      </c>
      <c r="I33" s="810" t="s">
        <v>10172</v>
      </c>
      <c r="J33" s="810" t="s">
        <v>20058</v>
      </c>
      <c r="K33" s="757" t="str">
        <f>HYPERLINK("https://www.google.com/maps/search/HI%20Santar%C3%A9m%20Av.%20dos%20Combatentes%2C%202000-015%20Santar%C3%A9m%20Portugal","📍 HI Santarém")</f>
        <v>📍 HI Santarém</v>
      </c>
    </row>
    <row r="34" spans="1:11" ht="60" customHeight="1" x14ac:dyDescent="0.35">
      <c r="A34" s="801">
        <v>7</v>
      </c>
      <c r="B34" s="802" t="s">
        <v>10252</v>
      </c>
      <c r="C34" s="803" t="s">
        <v>913</v>
      </c>
      <c r="D34" s="804" t="s">
        <v>1347</v>
      </c>
      <c r="E34" s="804" t="s">
        <v>1347</v>
      </c>
      <c r="F34" s="806" t="s">
        <v>10253</v>
      </c>
      <c r="G34" s="923" t="s">
        <v>10254</v>
      </c>
      <c r="H34" s="806" t="str">
        <f t="shared" si="2"/>
        <v>pousadasjuventude.pt</v>
      </c>
      <c r="I34" s="804" t="s">
        <v>10172</v>
      </c>
      <c r="J34" s="804" t="s">
        <v>20056</v>
      </c>
      <c r="K34" s="756" t="str">
        <f>HYPERLINK("https://www.google.com/maps/search/HI%20Set%C3%BAbal%20Largo%20de%20S.%20Domingos%201%2C%202900-618%20Set%C3%BAbal%20Portugal","📍 HI Setúbal")</f>
        <v>📍 HI Setúbal</v>
      </c>
    </row>
    <row r="35" spans="1:11" ht="26" customHeight="1" x14ac:dyDescent="0.45">
      <c r="A35" s="1467" t="s">
        <v>10255</v>
      </c>
      <c r="B35" s="1536"/>
      <c r="C35" s="1515"/>
      <c r="D35" s="1515"/>
      <c r="E35" s="1515"/>
      <c r="F35" s="1516"/>
      <c r="G35" s="1516"/>
      <c r="H35" s="1514"/>
      <c r="I35" s="1515"/>
      <c r="J35" s="1515"/>
      <c r="K35" s="1537"/>
    </row>
    <row r="36" spans="1:11" ht="60" customHeight="1" x14ac:dyDescent="0.35">
      <c r="A36" s="813">
        <v>1</v>
      </c>
      <c r="B36" s="814" t="s">
        <v>10256</v>
      </c>
      <c r="C36" s="815" t="s">
        <v>853</v>
      </c>
      <c r="D36" s="816" t="s">
        <v>1233</v>
      </c>
      <c r="E36" s="816" t="s">
        <v>2143</v>
      </c>
      <c r="F36" s="818" t="s">
        <v>10257</v>
      </c>
      <c r="G36" s="817" t="s">
        <v>10258</v>
      </c>
      <c r="H36" s="818" t="str">
        <f t="shared" ref="H36:H42" si="3">HYPERLINK("https://www.pousadasjuventude.pt","pousadasjuventude.pt")</f>
        <v>pousadasjuventude.pt</v>
      </c>
      <c r="I36" s="816" t="s">
        <v>10172</v>
      </c>
      <c r="J36" s="816" t="s">
        <v>10931</v>
      </c>
      <c r="K36" s="758" t="str">
        <f>HYPERLINK("https://www.google.com/maps/search/HI%20Almograve%20Rua%20do%20Chafariz%2C%207630-011%20Almograve%2C%20Odemira%20Portugal","📍 HI Almograve")</f>
        <v>📍 HI Almograve</v>
      </c>
    </row>
    <row r="37" spans="1:11" ht="60" customHeight="1" x14ac:dyDescent="0.35">
      <c r="A37" s="819">
        <v>2</v>
      </c>
      <c r="B37" s="820" t="s">
        <v>10259</v>
      </c>
      <c r="C37" s="821" t="s">
        <v>853</v>
      </c>
      <c r="D37" s="822" t="s">
        <v>1233</v>
      </c>
      <c r="E37" s="822" t="s">
        <v>1233</v>
      </c>
      <c r="F37" s="824" t="s">
        <v>10260</v>
      </c>
      <c r="G37" s="925" t="s">
        <v>10261</v>
      </c>
      <c r="H37" s="824" t="str">
        <f t="shared" si="3"/>
        <v>pousadasjuventude.pt</v>
      </c>
      <c r="I37" s="822" t="s">
        <v>10172</v>
      </c>
      <c r="J37" s="822" t="s">
        <v>10931</v>
      </c>
      <c r="K37" s="759" t="str">
        <f>HYPERLINK("https://www.google.com/maps/search/HI%20Beja%20Rua%20de%20S.%20Francisco%2C%207800-074%20Beja%20Portugal","📍 HI Beja")</f>
        <v>📍 HI Beja</v>
      </c>
    </row>
    <row r="38" spans="1:11" ht="60" customHeight="1" x14ac:dyDescent="0.35">
      <c r="A38" s="813">
        <v>3</v>
      </c>
      <c r="B38" s="814" t="s">
        <v>10262</v>
      </c>
      <c r="C38" s="815" t="s">
        <v>853</v>
      </c>
      <c r="D38" s="816" t="s">
        <v>2538</v>
      </c>
      <c r="E38" s="816" t="s">
        <v>7964</v>
      </c>
      <c r="F38" s="818" t="s">
        <v>10263</v>
      </c>
      <c r="G38" s="926" t="s">
        <v>10264</v>
      </c>
      <c r="H38" s="818" t="str">
        <f t="shared" si="3"/>
        <v>pousadasjuventude.pt</v>
      </c>
      <c r="I38" s="816" t="s">
        <v>10172</v>
      </c>
      <c r="J38" s="816" t="s">
        <v>10931</v>
      </c>
      <c r="K38" s="758" t="str">
        <f>HYPERLINK("https://www.google.com/maps/search/HI%20Castelo%20de%20Vide%20Rua%20de%20Santo%20Ant%C3%B3nio%2C%207320-112%20Castelo%20de%20Vide%20Portugal","📍 HI Castelo de Vide")</f>
        <v>📍 HI Castelo de Vide</v>
      </c>
    </row>
    <row r="39" spans="1:11" ht="60" customHeight="1" x14ac:dyDescent="0.35">
      <c r="A39" s="819">
        <v>4</v>
      </c>
      <c r="B39" s="820" t="s">
        <v>10265</v>
      </c>
      <c r="C39" s="821" t="s">
        <v>853</v>
      </c>
      <c r="D39" s="822" t="s">
        <v>2538</v>
      </c>
      <c r="E39" s="822" t="s">
        <v>7792</v>
      </c>
      <c r="F39" s="824" t="s">
        <v>10266</v>
      </c>
      <c r="G39" s="925" t="s">
        <v>10267</v>
      </c>
      <c r="H39" s="824" t="str">
        <f t="shared" si="3"/>
        <v>pousadasjuventude.pt</v>
      </c>
      <c r="I39" s="822" t="s">
        <v>10172</v>
      </c>
      <c r="J39" s="822" t="s">
        <v>10931</v>
      </c>
      <c r="K39" s="759" t="str">
        <f>HYPERLINK("https://www.google.com/maps/search/HI%20Elvas%20Rua%20de%20S.%20Domingos%2C%207350-149%20Elvas%20Portugal","📍 HI Elvas")</f>
        <v>📍 HI Elvas</v>
      </c>
    </row>
    <row r="40" spans="1:11" ht="60" customHeight="1" x14ac:dyDescent="0.35">
      <c r="A40" s="813">
        <v>5</v>
      </c>
      <c r="B40" s="814" t="s">
        <v>10268</v>
      </c>
      <c r="C40" s="815" t="s">
        <v>853</v>
      </c>
      <c r="D40" s="816" t="s">
        <v>1412</v>
      </c>
      <c r="E40" s="816" t="s">
        <v>1412</v>
      </c>
      <c r="F40" s="818" t="s">
        <v>10269</v>
      </c>
      <c r="G40" s="926" t="s">
        <v>10270</v>
      </c>
      <c r="H40" s="818" t="str">
        <f t="shared" si="3"/>
        <v>pousadasjuventude.pt</v>
      </c>
      <c r="I40" s="816" t="s">
        <v>10172</v>
      </c>
      <c r="J40" s="816" t="s">
        <v>20056</v>
      </c>
      <c r="K40" s="758" t="str">
        <f>HYPERLINK("https://www.google.com/maps/search/HI%20%C3%89vora%20Rua%20Dr.%20Augusto%20Eduardo%20Nunes%2C%207000-880%20%C3%89vora%20Portugal","📍 HI Évora")</f>
        <v>📍 HI Évora</v>
      </c>
    </row>
    <row r="41" spans="1:11" ht="60" customHeight="1" x14ac:dyDescent="0.35">
      <c r="A41" s="819">
        <v>6</v>
      </c>
      <c r="B41" s="820" t="s">
        <v>10271</v>
      </c>
      <c r="C41" s="821" t="s">
        <v>853</v>
      </c>
      <c r="D41" s="822" t="s">
        <v>2538</v>
      </c>
      <c r="E41" s="822" t="s">
        <v>9925</v>
      </c>
      <c r="F41" s="824" t="s">
        <v>10272</v>
      </c>
      <c r="G41" s="925" t="s">
        <v>10273</v>
      </c>
      <c r="H41" s="824" t="str">
        <f t="shared" si="3"/>
        <v>pousadasjuventude.pt</v>
      </c>
      <c r="I41" s="822" t="s">
        <v>10172</v>
      </c>
      <c r="J41" s="822" t="s">
        <v>20060</v>
      </c>
      <c r="K41" s="759" t="str">
        <f>HYPERLINK("https://www.google.com/maps/search/HI%20Ponte%20de%20Sor%20Estrada%20Nacional%202%2C%207400-244%20Ponte%20de%20Sor%20Portugal","📍 HI Ponte de Sor")</f>
        <v>📍 HI Ponte de Sor</v>
      </c>
    </row>
    <row r="42" spans="1:11" ht="60" customHeight="1" x14ac:dyDescent="0.35">
      <c r="A42" s="813">
        <v>7</v>
      </c>
      <c r="B42" s="814" t="s">
        <v>10274</v>
      </c>
      <c r="C42" s="815" t="s">
        <v>853</v>
      </c>
      <c r="D42" s="816" t="s">
        <v>2538</v>
      </c>
      <c r="E42" s="816" t="s">
        <v>2538</v>
      </c>
      <c r="F42" s="818" t="s">
        <v>10275</v>
      </c>
      <c r="G42" s="926" t="s">
        <v>10276</v>
      </c>
      <c r="H42" s="818" t="str">
        <f t="shared" si="3"/>
        <v>pousadasjuventude.pt</v>
      </c>
      <c r="I42" s="816" t="s">
        <v>10172</v>
      </c>
      <c r="J42" s="816" t="s">
        <v>10931</v>
      </c>
      <c r="K42" s="758" t="str">
        <f>HYPERLINK("https://www.google.com/maps/search/HI%20Portalegre%20Rua%20de%205%20de%20Outubro%203%2C%207300-111%20Portalegre%20Portugal","📍 HI Portalegre")</f>
        <v>📍 HI Portalegre</v>
      </c>
    </row>
    <row r="43" spans="1:11" ht="26" customHeight="1" x14ac:dyDescent="0.45">
      <c r="A43" s="1461" t="s">
        <v>9743</v>
      </c>
      <c r="B43" s="1538"/>
      <c r="C43" s="1505"/>
      <c r="D43" s="1505"/>
      <c r="E43" s="1505"/>
      <c r="F43" s="1506"/>
      <c r="G43" s="1506"/>
      <c r="H43" s="1504"/>
      <c r="I43" s="1505"/>
      <c r="J43" s="1505"/>
      <c r="K43" s="1539"/>
    </row>
    <row r="44" spans="1:11" ht="60" customHeight="1" x14ac:dyDescent="0.35">
      <c r="A44" s="825">
        <v>1</v>
      </c>
      <c r="B44" s="826" t="s">
        <v>10277</v>
      </c>
      <c r="C44" s="827" t="s">
        <v>767</v>
      </c>
      <c r="D44" s="828" t="s">
        <v>5761</v>
      </c>
      <c r="E44" s="828" t="s">
        <v>7499</v>
      </c>
      <c r="F44" s="830" t="s">
        <v>10278</v>
      </c>
      <c r="G44" s="829" t="s">
        <v>10279</v>
      </c>
      <c r="H44" s="830" t="str">
        <f t="shared" ref="H44:H50" si="4">HYPERLINK("https://www.pousadasjuventude.pt","pousadasjuventude.pt")</f>
        <v>pousadasjuventude.pt</v>
      </c>
      <c r="I44" s="828" t="s">
        <v>10172</v>
      </c>
      <c r="J44" s="828" t="s">
        <v>20056</v>
      </c>
      <c r="K44" s="760" t="str">
        <f>HYPERLINK("https://www.google.com/maps/search/HI%20Alcoutim%20Encosta%20do%20Castelo%2C%208970-051%20Alcoutim%20Portugal","📍 HI Alcoutim")</f>
        <v>📍 HI Alcoutim</v>
      </c>
    </row>
    <row r="45" spans="1:11" ht="60" customHeight="1" x14ac:dyDescent="0.35">
      <c r="A45" s="831">
        <v>2</v>
      </c>
      <c r="B45" s="832" t="s">
        <v>10280</v>
      </c>
      <c r="C45" s="833" t="s">
        <v>767</v>
      </c>
      <c r="D45" s="834" t="s">
        <v>5761</v>
      </c>
      <c r="E45" s="834" t="s">
        <v>2194</v>
      </c>
      <c r="F45" s="836" t="s">
        <v>10281</v>
      </c>
      <c r="G45" s="927" t="s">
        <v>10282</v>
      </c>
      <c r="H45" s="836" t="str">
        <f t="shared" si="4"/>
        <v>pousadasjuventude.pt</v>
      </c>
      <c r="I45" s="834" t="s">
        <v>10172</v>
      </c>
      <c r="J45" s="834" t="s">
        <v>20061</v>
      </c>
      <c r="K45" s="761" t="str">
        <f>HYPERLINK("https://www.google.com/maps/search/HI%20Arrifana%20Praia%20da%20Arrifana%2C%208670-156%20Aljezur%20Portugal","📍 HI Arrifana")</f>
        <v>📍 HI Arrifana</v>
      </c>
    </row>
    <row r="46" spans="1:11" ht="60" customHeight="1" x14ac:dyDescent="0.35">
      <c r="A46" s="825">
        <v>3</v>
      </c>
      <c r="B46" s="826" t="s">
        <v>10283</v>
      </c>
      <c r="C46" s="827" t="s">
        <v>767</v>
      </c>
      <c r="D46" s="828" t="s">
        <v>5761</v>
      </c>
      <c r="E46" s="828" t="s">
        <v>5761</v>
      </c>
      <c r="F46" s="830" t="s">
        <v>10284</v>
      </c>
      <c r="G46" s="928" t="s">
        <v>10285</v>
      </c>
      <c r="H46" s="830" t="str">
        <f t="shared" si="4"/>
        <v>pousadasjuventude.pt</v>
      </c>
      <c r="I46" s="828" t="s">
        <v>10172</v>
      </c>
      <c r="J46" s="828" t="s">
        <v>20055</v>
      </c>
      <c r="K46" s="760" t="str">
        <f>HYPERLINK("https://www.google.com/maps/search/HI%20Faro%20Rua%20da%20PSP%201%2C%208000-408%20Faro%20Portugal","📍 HI Faro")</f>
        <v>📍 HI Faro</v>
      </c>
    </row>
    <row r="47" spans="1:11" ht="60" customHeight="1" x14ac:dyDescent="0.35">
      <c r="A47" s="831">
        <v>4</v>
      </c>
      <c r="B47" s="832" t="s">
        <v>10286</v>
      </c>
      <c r="C47" s="833" t="s">
        <v>767</v>
      </c>
      <c r="D47" s="834" t="s">
        <v>5761</v>
      </c>
      <c r="E47" s="834" t="s">
        <v>2201</v>
      </c>
      <c r="F47" s="836" t="s">
        <v>10287</v>
      </c>
      <c r="G47" s="927" t="s">
        <v>10288</v>
      </c>
      <c r="H47" s="836" t="str">
        <f t="shared" si="4"/>
        <v>pousadasjuventude.pt</v>
      </c>
      <c r="I47" s="834" t="s">
        <v>10172</v>
      </c>
      <c r="J47" s="834" t="s">
        <v>20062</v>
      </c>
      <c r="K47" s="761" t="str">
        <f>HYPERLINK("https://www.google.com/maps/search/HI%20Lagos%20Rua%20Lan%C3%A7arote%20de%20Freitas%2050%2C%208600-605%20Lagos%20Portugal","📍 HI Lagos")</f>
        <v>📍 HI Lagos</v>
      </c>
    </row>
    <row r="48" spans="1:11" ht="60" customHeight="1" x14ac:dyDescent="0.35">
      <c r="A48" s="825">
        <v>5</v>
      </c>
      <c r="B48" s="826" t="s">
        <v>10289</v>
      </c>
      <c r="C48" s="827" t="s">
        <v>767</v>
      </c>
      <c r="D48" s="828" t="s">
        <v>5761</v>
      </c>
      <c r="E48" s="828" t="s">
        <v>2205</v>
      </c>
      <c r="F48" s="830" t="s">
        <v>10290</v>
      </c>
      <c r="G48" s="928" t="s">
        <v>10291</v>
      </c>
      <c r="H48" s="830" t="str">
        <f t="shared" si="4"/>
        <v>pousadasjuventude.pt</v>
      </c>
      <c r="I48" s="828" t="s">
        <v>10172</v>
      </c>
      <c r="J48" s="828" t="s">
        <v>20055</v>
      </c>
      <c r="K48" s="760" t="str">
        <f>HYPERLINK("https://www.google.com/maps/search/HI%20Portim%C3%A3o%20Pontinha%2C%208500-632%20Portim%C3%A3o%20Portugal","📍 HI Portimão")</f>
        <v>📍 HI Portimão</v>
      </c>
    </row>
    <row r="49" spans="1:11" ht="60" customHeight="1" x14ac:dyDescent="0.35">
      <c r="A49" s="831">
        <v>6</v>
      </c>
      <c r="B49" s="832" t="s">
        <v>10292</v>
      </c>
      <c r="C49" s="833" t="s">
        <v>767</v>
      </c>
      <c r="D49" s="834" t="s">
        <v>5761</v>
      </c>
      <c r="E49" s="834" t="s">
        <v>5764</v>
      </c>
      <c r="F49" s="836" t="s">
        <v>10293</v>
      </c>
      <c r="G49" s="927" t="s">
        <v>10294</v>
      </c>
      <c r="H49" s="836" t="str">
        <f t="shared" si="4"/>
        <v>pousadasjuventude.pt</v>
      </c>
      <c r="I49" s="834" t="s">
        <v>10172</v>
      </c>
      <c r="J49" s="834" t="s">
        <v>20063</v>
      </c>
      <c r="K49" s="761" t="str">
        <f>HYPERLINK("https://www.google.com/maps/search/HI%20Tavira%20Rua%20de%20S.%20Braz%2C%208800-337%20Tavira%20Portugal","📍 HI Tavira")</f>
        <v>📍 HI Tavira</v>
      </c>
    </row>
    <row r="50" spans="1:11" ht="60" customHeight="1" x14ac:dyDescent="0.35">
      <c r="A50" s="825">
        <v>7</v>
      </c>
      <c r="B50" s="826" t="s">
        <v>10295</v>
      </c>
      <c r="C50" s="827" t="s">
        <v>767</v>
      </c>
      <c r="D50" s="828" t="s">
        <v>5761</v>
      </c>
      <c r="E50" s="828" t="s">
        <v>10296</v>
      </c>
      <c r="F50" s="830" t="s">
        <v>10297</v>
      </c>
      <c r="G50" s="928" t="s">
        <v>10298</v>
      </c>
      <c r="H50" s="830" t="str">
        <f t="shared" si="4"/>
        <v>pousadasjuventude.pt</v>
      </c>
      <c r="I50" s="828" t="s">
        <v>10172</v>
      </c>
      <c r="J50" s="828" t="s">
        <v>20056</v>
      </c>
      <c r="K50" s="760" t="str">
        <f>HYPERLINK("https://www.google.com/maps/search/HI%20Vila%20Real%20de%20Santo%20Ant%C3%B3nio%20Rua%20Dr.%20Te%C3%B3filo%20Braga%2C%208900-213%20Vila%20Real%20de%20Santo%20Ant%C3%B3nio%20Portugal","📍 HI Vila Real de Santo António")</f>
        <v>📍 HI Vila Real de Santo António</v>
      </c>
    </row>
    <row r="51" spans="1:11" ht="26" customHeight="1" x14ac:dyDescent="0.45">
      <c r="A51" s="1455" t="s">
        <v>20054</v>
      </c>
      <c r="B51" s="1530"/>
      <c r="C51" s="1521"/>
      <c r="D51" s="1521"/>
      <c r="E51" s="1521"/>
      <c r="F51" s="1522"/>
      <c r="G51" s="1522"/>
      <c r="H51" s="1520"/>
      <c r="I51" s="1521"/>
      <c r="J51" s="1521"/>
      <c r="K51" s="1531"/>
    </row>
    <row r="52" spans="1:11" ht="60" customHeight="1" x14ac:dyDescent="0.35">
      <c r="A52" s="837">
        <v>1</v>
      </c>
      <c r="B52" s="838" t="s">
        <v>10299</v>
      </c>
      <c r="C52" s="839" t="s">
        <v>524</v>
      </c>
      <c r="D52" s="840" t="s">
        <v>524</v>
      </c>
      <c r="E52" s="840" t="s">
        <v>2219</v>
      </c>
      <c r="F52" s="842" t="s">
        <v>10300</v>
      </c>
      <c r="G52" s="929" t="s">
        <v>10301</v>
      </c>
      <c r="H52" s="842" t="str">
        <f>HYPERLINK("https://www.pousadasjuventude.pt","pousadasjuventude.pt")</f>
        <v>pousadasjuventude.pt</v>
      </c>
      <c r="I52" s="840" t="s">
        <v>10172</v>
      </c>
      <c r="J52" s="840" t="s">
        <v>11421</v>
      </c>
      <c r="K52" s="762" t="str">
        <f>HYPERLINK("https://www.google.com/maps/search/Centro%20de%20Juventude%20Quinta%20da%20Ribeira%20Funchal%20Rua%20de%20Santa%20Maria%20219%2C%209060-291%20Funchal%2C%20Madeira%20Portugal","📍 Centro de Juventude Quinta da Ribeira Funchal")</f>
        <v>📍 Centro de Juventude Quinta da Ribeira Funchal</v>
      </c>
    </row>
    <row r="53" spans="1:11" ht="26" customHeight="1" x14ac:dyDescent="0.35">
      <c r="A53" s="918" t="s">
        <v>20046</v>
      </c>
      <c r="B53" s="915"/>
      <c r="C53" s="916"/>
      <c r="D53" s="918"/>
      <c r="E53" s="918"/>
      <c r="F53" s="915"/>
      <c r="G53" s="917"/>
      <c r="H53" s="915"/>
      <c r="I53" s="918"/>
      <c r="J53" s="918"/>
      <c r="K53" s="942"/>
    </row>
    <row r="54" spans="1:11" ht="60" customHeight="1" x14ac:dyDescent="0.35">
      <c r="A54" s="930">
        <v>1</v>
      </c>
      <c r="B54" s="938" t="s">
        <v>10302</v>
      </c>
      <c r="C54" s="932" t="s">
        <v>522</v>
      </c>
      <c r="D54" s="940" t="s">
        <v>1086</v>
      </c>
      <c r="E54" s="940" t="s">
        <v>1086</v>
      </c>
      <c r="F54" s="931" t="s">
        <v>10303</v>
      </c>
      <c r="G54" s="933" t="s">
        <v>20047</v>
      </c>
      <c r="H54" s="931" t="s">
        <v>20048</v>
      </c>
      <c r="I54" s="940" t="s">
        <v>10172</v>
      </c>
      <c r="J54" s="940" t="s">
        <v>10304</v>
      </c>
      <c r="K54" s="943" t="str">
        <f>HYPERLINK("https://www.google.com/maps/search/HI%20Ponta%20Delgada%20A%C3%A7ores%20Rua%20Dr.%20Campos%20Melo%208%2C%209500-083%20Ponta%20Delgada%2C%20A%C3%A7ores%20Portugal","📍 HI Ponta Delgada Açores")</f>
        <v>📍 HI Ponta Delgada Açores</v>
      </c>
    </row>
    <row r="55" spans="1:11" ht="60" customHeight="1" x14ac:dyDescent="0.35">
      <c r="A55" s="934">
        <v>2</v>
      </c>
      <c r="B55" s="939" t="s">
        <v>10305</v>
      </c>
      <c r="C55" s="936" t="s">
        <v>522</v>
      </c>
      <c r="D55" s="941" t="s">
        <v>1065</v>
      </c>
      <c r="E55" s="941" t="s">
        <v>1065</v>
      </c>
      <c r="F55" s="935" t="s">
        <v>20049</v>
      </c>
      <c r="G55" s="937" t="s">
        <v>20050</v>
      </c>
      <c r="H55" s="935" t="s">
        <v>20048</v>
      </c>
      <c r="I55" s="941" t="s">
        <v>10172</v>
      </c>
      <c r="J55" s="941" t="s">
        <v>10306</v>
      </c>
      <c r="K55" s="944" t="str">
        <f>HYPERLINK("https://www.google.com/maps/search/HI%20Angra%20do%20Hero%C3%ADsmo%20A%C3%A7ores%20Rua%20Bento%20de%20Jesus%20Cara%C3%A7a%2C%209700-073%20Angra%20do%20Hero%C3%ADsmo%2C%20A%C3%A7ores%20Portugal","📍 HI Angra do Heroísmo Açores")</f>
        <v>📍 HI Angra do Heroísmo Açores</v>
      </c>
    </row>
    <row r="56" spans="1:11" ht="60" customHeight="1" x14ac:dyDescent="0.35">
      <c r="A56" s="930">
        <v>3</v>
      </c>
      <c r="B56" s="938" t="s">
        <v>10307</v>
      </c>
      <c r="C56" s="932" t="s">
        <v>522</v>
      </c>
      <c r="D56" s="940" t="s">
        <v>6052</v>
      </c>
      <c r="E56" s="940" t="s">
        <v>6052</v>
      </c>
      <c r="F56" s="931" t="s">
        <v>10308</v>
      </c>
      <c r="G56" s="933" t="s">
        <v>20051</v>
      </c>
      <c r="H56" s="931" t="s">
        <v>20048</v>
      </c>
      <c r="I56" s="940" t="s">
        <v>10172</v>
      </c>
      <c r="J56" s="940" t="s">
        <v>10309</v>
      </c>
      <c r="K56" s="943" t="str">
        <f>HYPERLINK("https://www.google.com/maps/search/HI%20Horta%20Faial%20A%C3%A7ores%20Rua%20Serpa%20Pinto%2C%209900-023%20Horta%2C%20Faial%2C%20A%C3%A7ores%20Portugal","📍 HI Horta Faial Açores")</f>
        <v>📍 HI Horta Faial Açores</v>
      </c>
    </row>
    <row r="57" spans="1:11" ht="26" customHeight="1" x14ac:dyDescent="0.35">
      <c r="A57" s="713" t="s">
        <v>20052</v>
      </c>
      <c r="B57" s="713"/>
      <c r="C57" s="913"/>
      <c r="D57" s="713"/>
      <c r="E57" s="713"/>
      <c r="F57" s="713"/>
      <c r="G57" s="946"/>
      <c r="H57" s="713"/>
      <c r="I57" s="713"/>
      <c r="J57" s="713"/>
      <c r="K57" s="945"/>
    </row>
  </sheetData>
  <mergeCells count="8">
    <mergeCell ref="A51:K51"/>
    <mergeCell ref="A14:K14"/>
    <mergeCell ref="A1:K1"/>
    <mergeCell ref="A27:K27"/>
    <mergeCell ref="A35:K35"/>
    <mergeCell ref="A4:K4"/>
    <mergeCell ref="A43:K43"/>
    <mergeCell ref="A2:K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80"/>
  <sheetViews>
    <sheetView workbookViewId="0">
      <pane ySplit="3" topLeftCell="A54" activePane="bottomLeft" state="frozen"/>
      <selection pane="bottomLeft" activeCell="I56" sqref="I56"/>
    </sheetView>
  </sheetViews>
  <sheetFormatPr defaultRowHeight="14.5" x14ac:dyDescent="0.35"/>
  <cols>
    <col min="1" max="1" width="4" customWidth="1"/>
    <col min="2" max="2" width="40" customWidth="1"/>
    <col min="3" max="3" width="12" customWidth="1"/>
    <col min="4" max="5" width="10" customWidth="1"/>
    <col min="6" max="6" width="36" customWidth="1"/>
    <col min="7" max="7" width="44" bestFit="1" customWidth="1"/>
    <col min="8" max="8" width="52" customWidth="1"/>
    <col min="9" max="9" width="26" customWidth="1"/>
  </cols>
  <sheetData>
    <row r="1" spans="1:9" ht="32" customHeight="1" x14ac:dyDescent="0.35">
      <c r="A1" s="1476" t="s">
        <v>20065</v>
      </c>
      <c r="B1" s="1313"/>
      <c r="C1" s="1313"/>
      <c r="D1" s="1313"/>
      <c r="E1" s="1313"/>
      <c r="F1" s="1313"/>
      <c r="G1" s="1313"/>
      <c r="H1" s="1313"/>
      <c r="I1" s="1313"/>
    </row>
    <row r="2" spans="1:9" ht="16" customHeight="1" x14ac:dyDescent="0.35">
      <c r="A2" s="1365" t="s">
        <v>10310</v>
      </c>
      <c r="B2" s="1313"/>
      <c r="C2" s="1313"/>
      <c r="D2" s="1313"/>
      <c r="E2" s="1313"/>
      <c r="F2" s="1313"/>
      <c r="G2" s="1313"/>
      <c r="H2" s="1313"/>
      <c r="I2" s="1313"/>
    </row>
    <row r="3" spans="1:9" ht="24" customHeight="1" x14ac:dyDescent="0.35">
      <c r="A3" s="238" t="s">
        <v>141</v>
      </c>
      <c r="B3" s="238" t="s">
        <v>10311</v>
      </c>
      <c r="C3" s="238" t="s">
        <v>620</v>
      </c>
      <c r="D3" s="238" t="s">
        <v>619</v>
      </c>
      <c r="E3" s="238" t="s">
        <v>2261</v>
      </c>
      <c r="F3" s="238" t="s">
        <v>4629</v>
      </c>
      <c r="G3" s="238" t="s">
        <v>16423</v>
      </c>
      <c r="H3" s="303" t="s">
        <v>8</v>
      </c>
      <c r="I3" s="713" t="s">
        <v>20064</v>
      </c>
    </row>
    <row r="4" spans="1:9" ht="22" customHeight="1" x14ac:dyDescent="0.35">
      <c r="A4" s="1479" t="s">
        <v>10312</v>
      </c>
      <c r="B4" s="1313"/>
      <c r="C4" s="1313"/>
      <c r="D4" s="1313"/>
      <c r="E4" s="1313"/>
      <c r="F4" s="1313"/>
      <c r="G4" s="1313"/>
      <c r="H4" s="1313"/>
      <c r="I4" s="1313"/>
    </row>
    <row r="5" spans="1:9" ht="110" customHeight="1" x14ac:dyDescent="0.35">
      <c r="A5" s="338">
        <v>1</v>
      </c>
      <c r="B5" s="239" t="s">
        <v>10313</v>
      </c>
      <c r="C5" s="240" t="s">
        <v>10314</v>
      </c>
      <c r="D5" s="239" t="s">
        <v>836</v>
      </c>
      <c r="E5" s="239" t="s">
        <v>10315</v>
      </c>
      <c r="F5" s="239" t="s">
        <v>10316</v>
      </c>
      <c r="G5" s="239" t="s">
        <v>10317</v>
      </c>
      <c r="H5" s="304" t="s">
        <v>10317</v>
      </c>
      <c r="I5" s="947" t="str">
        <f>HYPERLINK("https://www.google.com/maps/dir/Sortelha+Portugal/Monsanto+Portugal/Marialva+Portugal/Linhares+da+Beira+Portugal/Castelo+Mendo+Portugal/Belmonte+Portugal/Pi%C3%B3d%C3%A3o+Portugal/Idanha-a-Velha+Portugal","🗺 Aldeias Históricas de Portugal")</f>
        <v>🗺 Aldeias Históricas de Portugal</v>
      </c>
    </row>
    <row r="6" spans="1:9" ht="110" customHeight="1" x14ac:dyDescent="0.35">
      <c r="A6" s="336">
        <v>2</v>
      </c>
      <c r="B6" s="242" t="s">
        <v>10318</v>
      </c>
      <c r="C6" s="243" t="s">
        <v>10319</v>
      </c>
      <c r="D6" s="242" t="s">
        <v>792</v>
      </c>
      <c r="E6" s="242" t="s">
        <v>10320</v>
      </c>
      <c r="F6" s="242" t="s">
        <v>10316</v>
      </c>
      <c r="G6" s="242" t="s">
        <v>10321</v>
      </c>
      <c r="H6" s="305" t="s">
        <v>10321</v>
      </c>
      <c r="I6" s="948" t="str">
        <f>HYPERLINK("https://www.google.com/maps/dir/Museu+do+Rom%C3%A2nico+Lousada/Paiva+Penafiel/Igreja+Romanica+Rates/Igreja+Romanica+Brav%C3%A3es/Ponte+de+Lima+Portugal/Santa+Maria+de+Guimar%C3%A3es","🗺 Rota do Românico")</f>
        <v>🗺 Rota do Românico</v>
      </c>
    </row>
    <row r="7" spans="1:9" ht="110" customHeight="1" x14ac:dyDescent="0.35">
      <c r="A7" s="338">
        <v>3</v>
      </c>
      <c r="B7" s="239" t="s">
        <v>10322</v>
      </c>
      <c r="C7" s="240" t="s">
        <v>10323</v>
      </c>
      <c r="D7" s="239" t="s">
        <v>836</v>
      </c>
      <c r="E7" s="239" t="s">
        <v>10324</v>
      </c>
      <c r="F7" s="239" t="s">
        <v>10316</v>
      </c>
      <c r="G7" s="239" t="s">
        <v>10325</v>
      </c>
      <c r="H7" s="304" t="s">
        <v>10325</v>
      </c>
      <c r="I7" s="947" t="str">
        <f>HYPERLINK("https://www.google.com/maps/dir/Tomar+Convento+de+Cristo/Castelo+de+Almourol+Portugal/Almourol+Portugal/Penela+Castelo+Portugal","🗺 Rota dos Templários")</f>
        <v>🗺 Rota dos Templários</v>
      </c>
    </row>
    <row r="8" spans="1:9" ht="110" customHeight="1" x14ac:dyDescent="0.35">
      <c r="A8" s="336">
        <v>4</v>
      </c>
      <c r="B8" s="242" t="s">
        <v>10326</v>
      </c>
      <c r="C8" s="243" t="s">
        <v>10323</v>
      </c>
      <c r="D8" s="242" t="s">
        <v>792</v>
      </c>
      <c r="E8" s="242" t="s">
        <v>10327</v>
      </c>
      <c r="F8" s="242" t="s">
        <v>10328</v>
      </c>
      <c r="G8" s="242" t="s">
        <v>10329</v>
      </c>
      <c r="H8" s="305" t="s">
        <v>10329</v>
      </c>
      <c r="I8" s="948" t="str">
        <f>HYPERLINK("https://www.google.com/maps/dir/Porto+Catedral/Rates+Portugal/Barcelos+Portugal/Ponte+de+Lima+Portugal/Valen%C3%A7a+Portugal/Santiago+de+Compostela+Espanha","🗺 Caminho Português de Santiago")</f>
        <v>🗺 Caminho Português de Santiago</v>
      </c>
    </row>
    <row r="9" spans="1:9" ht="110" customHeight="1" x14ac:dyDescent="0.35">
      <c r="A9" s="338">
        <v>5</v>
      </c>
      <c r="B9" s="239" t="s">
        <v>10331</v>
      </c>
      <c r="C9" s="240" t="s">
        <v>10319</v>
      </c>
      <c r="D9" s="239" t="s">
        <v>836</v>
      </c>
      <c r="E9" s="239" t="s">
        <v>2519</v>
      </c>
      <c r="F9" s="239" t="s">
        <v>10316</v>
      </c>
      <c r="G9" s="239" t="s">
        <v>10332</v>
      </c>
      <c r="H9" s="304" t="s">
        <v>10332</v>
      </c>
      <c r="I9" s="947" t="str">
        <f>HYPERLINK("https://www.google.com/maps/dir/Mosteiro+Alcoba%C3%A7a+Portugal/Mosteiro+Batalha+Portugal/Con%C3%ADmbriga+Portugal/Universidade+Coimbra+Portugal","🗺 Rota do Património UNESCO")</f>
        <v>🗺 Rota do Património UNESCO</v>
      </c>
    </row>
    <row r="10" spans="1:9" ht="110" customHeight="1" x14ac:dyDescent="0.35">
      <c r="A10" s="336">
        <v>6</v>
      </c>
      <c r="B10" s="242" t="s">
        <v>10334</v>
      </c>
      <c r="C10" s="243" t="s">
        <v>10335</v>
      </c>
      <c r="D10" s="242" t="s">
        <v>853</v>
      </c>
      <c r="E10" s="242" t="s">
        <v>10336</v>
      </c>
      <c r="F10" s="242" t="s">
        <v>10316</v>
      </c>
      <c r="G10" s="242" t="s">
        <v>10337</v>
      </c>
      <c r="H10" s="305" t="s">
        <v>10337</v>
      </c>
      <c r="I10" s="948" t="str">
        <f>HYPERLINK("https://www.google.com/maps/dir/Trancoso+Portugal/Castelo+Rodrigo+Portugal/Guarda+Portugal/Belmonte+Portugal/Castelo+de+Vide+Portugal/Marv%C3%A3o+Portugal","🗺 Rota das Judiarias")</f>
        <v>🗺 Rota das Judiarias</v>
      </c>
    </row>
    <row r="11" spans="1:9" ht="110" customHeight="1" x14ac:dyDescent="0.35">
      <c r="A11" s="338">
        <v>7</v>
      </c>
      <c r="B11" s="239" t="s">
        <v>10338</v>
      </c>
      <c r="C11" s="240" t="s">
        <v>10335</v>
      </c>
      <c r="D11" s="239" t="s">
        <v>853</v>
      </c>
      <c r="E11" s="239" t="s">
        <v>10339</v>
      </c>
      <c r="F11" s="239" t="s">
        <v>10316</v>
      </c>
      <c r="G11" s="239" t="s">
        <v>10340</v>
      </c>
      <c r="H11" s="304" t="s">
        <v>10340</v>
      </c>
      <c r="I11" s="947" t="str">
        <f>HYPERLINK("https://www.google.com/maps/dir/Beja+Portugal/M%C3%A9rtola+Portugal/Silves+Portugal/Alc%C3%A1cer+do+Sal+Portugal","🗺 Rota de Al-Mutamid")</f>
        <v>🗺 Rota de Al-Mutamid</v>
      </c>
    </row>
    <row r="12" spans="1:9" ht="110" customHeight="1" x14ac:dyDescent="0.35">
      <c r="A12" s="336">
        <v>8</v>
      </c>
      <c r="B12" s="242" t="s">
        <v>10341</v>
      </c>
      <c r="C12" s="243" t="s">
        <v>10342</v>
      </c>
      <c r="D12" s="242" t="s">
        <v>767</v>
      </c>
      <c r="E12" s="242" t="s">
        <v>2519</v>
      </c>
      <c r="F12" s="242" t="s">
        <v>10316</v>
      </c>
      <c r="G12" s="242" t="s">
        <v>10343</v>
      </c>
      <c r="H12" s="305" t="s">
        <v>10343</v>
      </c>
      <c r="I12" s="948" t="str">
        <f>HYPERLINK("https://www.google.com/maps/dir/Silves+Castelo+Algarve/Salir+Castelo+Portugal/Paderne+Castelo+Portugal/Cacela+Velha+Portugal","🗺 Rota Omíada Algarve")</f>
        <v>🗺 Rota Omíada Algarve</v>
      </c>
    </row>
    <row r="13" spans="1:9" ht="110" customHeight="1" x14ac:dyDescent="0.35">
      <c r="A13" s="338">
        <v>9</v>
      </c>
      <c r="B13" s="239" t="s">
        <v>10344</v>
      </c>
      <c r="C13" s="240" t="s">
        <v>10323</v>
      </c>
      <c r="D13" s="239" t="s">
        <v>836</v>
      </c>
      <c r="E13" s="239" t="s">
        <v>10345</v>
      </c>
      <c r="F13" s="239" t="s">
        <v>10316</v>
      </c>
      <c r="G13" s="239" t="s">
        <v>10346</v>
      </c>
      <c r="H13" s="304" t="s">
        <v>10346</v>
      </c>
      <c r="I13" s="947" t="str">
        <f>HYPERLINK("https://www.google.com/maps/dir/Mosteiro+Alcoba%C3%A7a+Portugal/Mosteiro+Santa+Maria+Celas+Coimbra/Mosteiro+S%C3%A3o+Bento+C%C3%A1stris+%C3%89vora/Mosteiro+Almoster+Portugal","🗺 Rota de Cister")</f>
        <v>🗺 Rota de Cister</v>
      </c>
    </row>
    <row r="14" spans="1:9" ht="110" customHeight="1" x14ac:dyDescent="0.35">
      <c r="A14" s="336">
        <v>10</v>
      </c>
      <c r="B14" s="242" t="s">
        <v>10347</v>
      </c>
      <c r="C14" s="243" t="s">
        <v>10314</v>
      </c>
      <c r="D14" s="242" t="s">
        <v>913</v>
      </c>
      <c r="E14" s="242" t="s">
        <v>10345</v>
      </c>
      <c r="F14" s="242" t="s">
        <v>10316</v>
      </c>
      <c r="G14" s="242" t="s">
        <v>10348</v>
      </c>
      <c r="H14" s="305" t="s">
        <v>10348</v>
      </c>
      <c r="I14" s="948" t="str">
        <f>HYPERLINK("https://www.google.com/maps/dir/Forte+Almada+Portugal/Torres+Vedras+Linhas+Portugal/Sintra+Portugal/Mafra+Portugal","🗺 Rota das Invasões Francesas Lisboa")</f>
        <v>🗺 Rota das Invasões Francesas Lisboa</v>
      </c>
    </row>
    <row r="15" spans="1:9" ht="110" customHeight="1" x14ac:dyDescent="0.35">
      <c r="A15" s="338">
        <v>11</v>
      </c>
      <c r="B15" s="239" t="s">
        <v>10349</v>
      </c>
      <c r="C15" s="240" t="s">
        <v>4695</v>
      </c>
      <c r="D15" s="239" t="s">
        <v>792</v>
      </c>
      <c r="E15" s="239" t="s">
        <v>10320</v>
      </c>
      <c r="F15" s="239" t="s">
        <v>10350</v>
      </c>
      <c r="G15" s="239" t="s">
        <v>10351</v>
      </c>
      <c r="H15" s="304" t="s">
        <v>10351</v>
      </c>
      <c r="I15" s="947" t="str">
        <f>HYPERLINK("https://www.google.com/maps/dir/Pinh%C3%A3o+Douro+Portugal/R%C3%A9gua+Peso+Portugal/Quinta+Vesuvio+Douro/Quinta+Nacional+Portugal/Sandeman+Port+Cellar+Gaia","🗺 Rota Vinho do Porto")</f>
        <v>🗺 Rota Vinho do Porto</v>
      </c>
    </row>
    <row r="16" spans="1:9" ht="110" customHeight="1" x14ac:dyDescent="0.35">
      <c r="A16" s="336">
        <v>12</v>
      </c>
      <c r="B16" s="242" t="s">
        <v>10352</v>
      </c>
      <c r="C16" s="243" t="s">
        <v>4695</v>
      </c>
      <c r="D16" s="242" t="s">
        <v>792</v>
      </c>
      <c r="E16" s="242" t="s">
        <v>10336</v>
      </c>
      <c r="F16" s="242" t="s">
        <v>10316</v>
      </c>
      <c r="G16" s="242" t="s">
        <v>10353</v>
      </c>
      <c r="H16" s="305" t="s">
        <v>10353</v>
      </c>
      <c r="I16" s="948" t="str">
        <f>HYPERLINK("https://www.google.com/maps/dir/Adega+Cooperativa+Ponte+da+Barca/Quinta+Aveleda+Penafiel/Solar+de+Bertiandos+Ponte+de+Lima/Pal%C3%A1cio+Brejoeira+Mon%C3%A7%C3%A3o","🗺 Rota Vinhos Verdes")</f>
        <v>🗺 Rota Vinhos Verdes</v>
      </c>
    </row>
    <row r="17" spans="1:9" ht="110" customHeight="1" x14ac:dyDescent="0.35">
      <c r="A17" s="338">
        <v>13</v>
      </c>
      <c r="B17" s="239" t="s">
        <v>10354</v>
      </c>
      <c r="C17" s="240" t="s">
        <v>4695</v>
      </c>
      <c r="D17" s="239" t="s">
        <v>853</v>
      </c>
      <c r="E17" s="239" t="s">
        <v>10339</v>
      </c>
      <c r="F17" s="239" t="s">
        <v>10316</v>
      </c>
      <c r="G17" s="239" t="s">
        <v>10355</v>
      </c>
      <c r="H17" s="304" t="s">
        <v>10355</v>
      </c>
      <c r="I17" s="947" t="str">
        <f>HYPERLINK("https://www.google.com/maps/dir/Herdade+do+Espor%C3%A3o+Reguengos+de+Monsaraz/Cartuxa+%C3%89vora/Herdade+Grande+Vidigueira/S%C3%A3o+Miguel+Borba+Adega","🗺 Rota Vinhos Alentejo")</f>
        <v>🗺 Rota Vinhos Alentejo</v>
      </c>
    </row>
    <row r="18" spans="1:9" ht="110" customHeight="1" x14ac:dyDescent="0.35">
      <c r="A18" s="336">
        <v>14</v>
      </c>
      <c r="B18" s="242" t="s">
        <v>10356</v>
      </c>
      <c r="C18" s="243" t="s">
        <v>4695</v>
      </c>
      <c r="D18" s="242" t="s">
        <v>836</v>
      </c>
      <c r="E18" s="242" t="s">
        <v>10324</v>
      </c>
      <c r="F18" s="242" t="s">
        <v>10316</v>
      </c>
      <c r="G18" s="242" t="s">
        <v>10357</v>
      </c>
      <c r="H18" s="305" t="s">
        <v>10357</v>
      </c>
      <c r="I18" s="948" t="str">
        <f>HYPERLINK("https://www.google.com/maps/dir/Caves+S%C3%A3o+Jo%C3%A3o+Bairrada/Caves+Alian%C3%A7a+Sangalhos/Caves+da+Primavera+Bairrada/Quinta+Valdoeiro+Anadia","🗺 Rota Vinhos Bairrada")</f>
        <v>🗺 Rota Vinhos Bairrada</v>
      </c>
    </row>
    <row r="19" spans="1:9" ht="110" customHeight="1" x14ac:dyDescent="0.35">
      <c r="A19" s="338">
        <v>15</v>
      </c>
      <c r="B19" s="239" t="s">
        <v>10358</v>
      </c>
      <c r="C19" s="240" t="s">
        <v>4695</v>
      </c>
      <c r="D19" s="239" t="s">
        <v>524</v>
      </c>
      <c r="E19" s="239" t="s">
        <v>10324</v>
      </c>
      <c r="F19" s="239" t="s">
        <v>10316</v>
      </c>
      <c r="G19" s="239" t="s">
        <v>10359</v>
      </c>
      <c r="H19" s="304" t="s">
        <v>10359</v>
      </c>
      <c r="I19" s="947" t="str">
        <f>HYPERLINK("https://www.google.com/maps/dir/Jos%C3%A9+Maria+da+Fonseca+Azeit%C3%A3o/Quinta+do+Piloto+Palmela/Herdade+do+Zambujeiro+Set%C3%BAbal","🗺 Rota Vinhos Setúbal")</f>
        <v>🗺 Rota Vinhos Setúbal</v>
      </c>
    </row>
    <row r="20" spans="1:9" ht="110" customHeight="1" x14ac:dyDescent="0.35">
      <c r="A20" s="336">
        <v>16</v>
      </c>
      <c r="B20" s="242" t="s">
        <v>10360</v>
      </c>
      <c r="C20" s="243" t="s">
        <v>4695</v>
      </c>
      <c r="D20" s="242" t="s">
        <v>524</v>
      </c>
      <c r="E20" s="242" t="s">
        <v>2519</v>
      </c>
      <c r="F20" s="242" t="s">
        <v>10316</v>
      </c>
      <c r="G20" s="242" t="s">
        <v>10361</v>
      </c>
      <c r="H20" s="305" t="s">
        <v>10361</v>
      </c>
      <c r="I20" s="948" t="str">
        <f>HYPERLINK("https://www.google.com/maps/dir/Blandy+Wine+Lodge+Funchal/IVBAM+Instituto+do+Vinho+Bordado+e+Artesanato+da+Madeira/D'Oliveiras+Lda+Funchal/Madeira+Wine+Company+Funchal","🗺 Rota Vinho Madeira")</f>
        <v>🗺 Rota Vinho Madeira</v>
      </c>
    </row>
    <row r="21" spans="1:9" ht="110" customHeight="1" x14ac:dyDescent="0.35">
      <c r="A21" s="338">
        <v>17</v>
      </c>
      <c r="B21" s="239" t="s">
        <v>10362</v>
      </c>
      <c r="C21" s="240" t="s">
        <v>10363</v>
      </c>
      <c r="D21" s="239" t="s">
        <v>836</v>
      </c>
      <c r="E21" s="239" t="s">
        <v>2519</v>
      </c>
      <c r="F21" s="239" t="s">
        <v>10316</v>
      </c>
      <c r="G21" s="239" t="s">
        <v>10364</v>
      </c>
      <c r="H21" s="304" t="s">
        <v>10364</v>
      </c>
      <c r="I21" s="947" t="str">
        <f>HYPERLINK("https://www.google.com/maps/dir/Manteigas+Serra+da+Estrela/Seia+Portugal/Oliveira+do+Hospital+Portugal/Gouveia+Portugal","🗺 Rota Queijos Centro")</f>
        <v>🗺 Rota Queijos Centro</v>
      </c>
    </row>
    <row r="22" spans="1:9" ht="110" customHeight="1" x14ac:dyDescent="0.35">
      <c r="A22" s="336">
        <v>18</v>
      </c>
      <c r="B22" s="242" t="s">
        <v>10365</v>
      </c>
      <c r="C22" s="243" t="s">
        <v>10366</v>
      </c>
      <c r="D22" s="242" t="s">
        <v>767</v>
      </c>
      <c r="E22" s="242" t="s">
        <v>10345</v>
      </c>
      <c r="F22" s="242" t="s">
        <v>10316</v>
      </c>
      <c r="G22" s="242" t="s">
        <v>10367</v>
      </c>
      <c r="H22" s="305" t="s">
        <v>10367</v>
      </c>
      <c r="I22" s="948" t="str">
        <f>HYPERLINK("https://www.google.com/maps/dir/Museu+Corti%C3%A7a+S%C3%A3o+Br%C3%A1s+de+Alportel/Herdade+do+Freixo+do+Meio+Montemor/Amorim+Cork+Mozelos/CIPR+Centro+Interpreta%C3%A7%C3%A3o+Portugal","🗺 Rota da Cortiça São Brás")</f>
        <v>🗺 Rota da Cortiça São Brás</v>
      </c>
    </row>
    <row r="23" spans="1:9" ht="110" customHeight="1" x14ac:dyDescent="0.35">
      <c r="A23" s="338">
        <v>19</v>
      </c>
      <c r="B23" s="239" t="s">
        <v>10368</v>
      </c>
      <c r="C23" s="240" t="s">
        <v>10363</v>
      </c>
      <c r="D23" s="239" t="s">
        <v>913</v>
      </c>
      <c r="E23" s="239" t="s">
        <v>10345</v>
      </c>
      <c r="F23" s="239" t="s">
        <v>10369</v>
      </c>
      <c r="G23" s="239" t="s">
        <v>10370</v>
      </c>
      <c r="H23" s="304" t="s">
        <v>10370</v>
      </c>
      <c r="I23" s="947" t="str">
        <f>HYPERLINK("https://www.google.com/maps/dir/Alc%C3%A1cer+do+Sal+Portugal/Comporta+Herdade+dos+Pinheiros/Rio+Sado+Reserva+Natural/Gr%C3%A2ndola+Portugal","🗺 Rota do Arroz Alcácer")</f>
        <v>🗺 Rota do Arroz Alcácer</v>
      </c>
    </row>
    <row r="24" spans="1:9" ht="110" customHeight="1" x14ac:dyDescent="0.35">
      <c r="A24" s="336">
        <v>20</v>
      </c>
      <c r="B24" s="242" t="s">
        <v>10371</v>
      </c>
      <c r="C24" s="243" t="s">
        <v>10363</v>
      </c>
      <c r="D24" s="242" t="s">
        <v>1219</v>
      </c>
      <c r="E24" s="242" t="s">
        <v>10324</v>
      </c>
      <c r="F24" s="242" t="s">
        <v>10316</v>
      </c>
      <c r="G24" s="242" t="s">
        <v>10372</v>
      </c>
      <c r="H24" s="305" t="s">
        <v>10372</v>
      </c>
      <c r="I24" s="948" t="str">
        <f>HYPERLINK("https://www.google.com/maps/dir/Museu+do+Atum+Olh%C3%A3o/ALMADRABA+Tavira/Vila+Real+de+Santo+Ant%C3%B3nio+Portugal/Portim%C3%A3o+Museu+Conservas","🗺 Rota do Atum Algarve")</f>
        <v>🗺 Rota do Atum Algarve</v>
      </c>
    </row>
    <row r="25" spans="1:9" ht="110" customHeight="1" x14ac:dyDescent="0.35">
      <c r="A25" s="338">
        <v>21</v>
      </c>
      <c r="B25" s="239" t="s">
        <v>10373</v>
      </c>
      <c r="C25" s="240" t="s">
        <v>10374</v>
      </c>
      <c r="D25" s="239" t="s">
        <v>1219</v>
      </c>
      <c r="E25" s="239" t="s">
        <v>10375</v>
      </c>
      <c r="F25" s="239" t="s">
        <v>10376</v>
      </c>
      <c r="G25" s="239" t="s">
        <v>10377</v>
      </c>
      <c r="H25" s="304" t="s">
        <v>10377</v>
      </c>
      <c r="I25" s="947" t="str">
        <f>HYPERLINK("https://www.google.com/maps/dir/Chaves+Portugal/Vila+Real+Portugal/Viseu+Portugal/Coimbra+Portugal/Castelo+Branco+Portugal/%C3%89vora+Portugal/Faro+Portugal","🗺 Estrada Nacional 2")</f>
        <v>🗺 Estrada Nacional 2</v>
      </c>
    </row>
    <row r="26" spans="1:9" ht="110" customHeight="1" x14ac:dyDescent="0.35">
      <c r="A26" s="336">
        <v>22</v>
      </c>
      <c r="B26" s="242" t="s">
        <v>10378</v>
      </c>
      <c r="C26" s="243" t="s">
        <v>10374</v>
      </c>
      <c r="D26" s="242" t="s">
        <v>792</v>
      </c>
      <c r="E26" s="242" t="s">
        <v>10324</v>
      </c>
      <c r="F26" s="242" t="s">
        <v>10316</v>
      </c>
      <c r="G26" s="242" t="s">
        <v>10379</v>
      </c>
      <c r="H26" s="305" t="s">
        <v>10379</v>
      </c>
      <c r="I26" s="948" t="str">
        <f>HYPERLINK("https://www.google.com/maps/dir/R%C3%A9gua+Peso+da+R%C3%A9gua+Portugal/Pinh%C3%A3o+Douro+Portugal/Tua+Portugal/Mirandela+Portugal","🗺 EN 222 Vale do Douro")</f>
        <v>🗺 EN 222 Vale do Douro</v>
      </c>
    </row>
    <row r="27" spans="1:9" ht="110" customHeight="1" x14ac:dyDescent="0.35">
      <c r="A27" s="338">
        <v>23</v>
      </c>
      <c r="B27" s="239" t="s">
        <v>10380</v>
      </c>
      <c r="C27" s="240" t="s">
        <v>1101</v>
      </c>
      <c r="D27" s="239" t="s">
        <v>767</v>
      </c>
      <c r="E27" s="239" t="s">
        <v>10320</v>
      </c>
      <c r="F27" s="239" t="s">
        <v>10316</v>
      </c>
      <c r="G27" s="239" t="s">
        <v>10381</v>
      </c>
      <c r="H27" s="304" t="s">
        <v>10381</v>
      </c>
      <c r="I27" s="947" t="str">
        <f>HYPERLINK("https://www.google.com/maps/dir/Sagres+Portugal/Aljezur+Portugal/Odeceixe+Portugal/Porto+Covo+Portugal/Vila+Nova+de+Milfontes+Portugal","🗺 Rota Costa Vicentina")</f>
        <v>🗺 Rota Costa Vicentina</v>
      </c>
    </row>
    <row r="28" spans="1:9" ht="110" customHeight="1" x14ac:dyDescent="0.35">
      <c r="A28" s="336">
        <v>24</v>
      </c>
      <c r="B28" s="242" t="s">
        <v>10382</v>
      </c>
      <c r="C28" s="243" t="s">
        <v>1101</v>
      </c>
      <c r="D28" s="242" t="s">
        <v>836</v>
      </c>
      <c r="E28" s="242" t="s">
        <v>10345</v>
      </c>
      <c r="F28" s="242" t="s">
        <v>10369</v>
      </c>
      <c r="G28" s="242" t="s">
        <v>10383</v>
      </c>
      <c r="H28" s="305" t="s">
        <v>10383</v>
      </c>
      <c r="I28" s="948" t="str">
        <f>HYPERLINK("https://www.google.com/maps/dir/Nazar%C3%A9+Portugal/S%C3%A3o+Martinho+do+Porto+Portugal/Peniche+Portugal/Ericeira+Portugal","🗺 Estrada Atlântica Oeste")</f>
        <v>🗺 Estrada Atlântica Oeste</v>
      </c>
    </row>
    <row r="29" spans="1:9" ht="110" customHeight="1" x14ac:dyDescent="0.35">
      <c r="A29" s="338">
        <v>25</v>
      </c>
      <c r="B29" s="239" t="s">
        <v>10384</v>
      </c>
      <c r="C29" s="240" t="s">
        <v>10385</v>
      </c>
      <c r="D29" s="239" t="s">
        <v>792</v>
      </c>
      <c r="E29" s="239" t="s">
        <v>2519</v>
      </c>
      <c r="F29" s="239" t="s">
        <v>10316</v>
      </c>
      <c r="G29" s="239" t="s">
        <v>10386</v>
      </c>
      <c r="H29" s="304" t="s">
        <v>10386</v>
      </c>
      <c r="I29" s="947" t="str">
        <f>HYPERLINK("https://www.google.com/maps/dir/Miranda+do+Douro+Portugal/Mogadouro+Portugal/Freixo+de+Espada+%C3%A0+Cinta+Portugal/Pocinho+Portugal","🗺 Rota Miradouros Douro Internacional")</f>
        <v>🗺 Rota Miradouros Douro Internacional</v>
      </c>
    </row>
    <row r="30" spans="1:9" ht="110" customHeight="1" x14ac:dyDescent="0.35">
      <c r="A30" s="336">
        <v>26</v>
      </c>
      <c r="B30" s="242" t="s">
        <v>10387</v>
      </c>
      <c r="C30" s="243" t="s">
        <v>10388</v>
      </c>
      <c r="D30" s="242" t="s">
        <v>767</v>
      </c>
      <c r="E30" s="242" t="s">
        <v>10389</v>
      </c>
      <c r="F30" s="242" t="s">
        <v>10390</v>
      </c>
      <c r="G30" s="242" t="s">
        <v>10391</v>
      </c>
      <c r="H30" s="305" t="s">
        <v>10391</v>
      </c>
      <c r="I30" s="948" t="str">
        <f>HYPERLINK("https://www.google.com/maps/dir/Alcoutim+Portugal/Cachopo+Portugal/Monchique+Portugal/Aljezur+Portugal/Sagres+Portugal","🗺 Via Algarviana")</f>
        <v>🗺 Via Algarviana</v>
      </c>
    </row>
    <row r="31" spans="1:9" ht="110" customHeight="1" x14ac:dyDescent="0.35">
      <c r="A31" s="338">
        <v>27</v>
      </c>
      <c r="B31" s="239" t="s">
        <v>10393</v>
      </c>
      <c r="C31" s="240" t="s">
        <v>1101</v>
      </c>
      <c r="D31" s="239" t="s">
        <v>836</v>
      </c>
      <c r="E31" s="239" t="s">
        <v>10339</v>
      </c>
      <c r="F31" s="239" t="s">
        <v>10316</v>
      </c>
      <c r="G31" s="239" t="s">
        <v>10394</v>
      </c>
      <c r="H31" s="304" t="s">
        <v>10394</v>
      </c>
      <c r="I31" s="947" t="str">
        <f>HYPERLINK("https://www.google.com/maps/dir/Pi%C3%B3d%C3%A3o+Aldeias+do+Xisto/Figueira+de+Castelo+Rodrigo/Donas+Aldeias+do+Xisto/Gondramaz+Aldeia+do+Xisto","🗺 Rota Aldeias do Xisto")</f>
        <v>🗺 Rota Aldeias do Xisto</v>
      </c>
    </row>
    <row r="32" spans="1:9" ht="110" customHeight="1" x14ac:dyDescent="0.35">
      <c r="A32" s="336">
        <v>28</v>
      </c>
      <c r="B32" s="242" t="s">
        <v>10395</v>
      </c>
      <c r="C32" s="243" t="s">
        <v>1757</v>
      </c>
      <c r="D32" s="242" t="s">
        <v>836</v>
      </c>
      <c r="E32" s="242" t="s">
        <v>10345</v>
      </c>
      <c r="F32" s="242" t="s">
        <v>10316</v>
      </c>
      <c r="G32" s="242" t="s">
        <v>10396</v>
      </c>
      <c r="H32" s="305" t="s">
        <v>10396</v>
      </c>
      <c r="I32" s="948" t="str">
        <f>HYPERLINK("https://www.google.com/maps/dir/Torre+Serra+da+Estrela/Manteigas+Portugal/Vale+Glaci%C3%A1rio+do+Z%C3%AAzere/Seia+Portugal","🗺 Rota Serra da Estrela")</f>
        <v>🗺 Rota Serra da Estrela</v>
      </c>
    </row>
    <row r="33" spans="1:9" ht="110" customHeight="1" x14ac:dyDescent="0.35">
      <c r="A33" s="338">
        <v>29</v>
      </c>
      <c r="B33" s="239" t="s">
        <v>10397</v>
      </c>
      <c r="C33" s="240" t="s">
        <v>10398</v>
      </c>
      <c r="D33" s="239" t="s">
        <v>836</v>
      </c>
      <c r="E33" s="239" t="s">
        <v>2519</v>
      </c>
      <c r="F33" s="239" t="s">
        <v>10316</v>
      </c>
      <c r="G33" s="239" t="s">
        <v>10399</v>
      </c>
      <c r="H33" s="304" t="s">
        <v>10399</v>
      </c>
      <c r="I33" s="947" t="str">
        <f>HYPERLINK("https://www.google.com/maps/dir/Nazar%C3%A9+Portugal/Lagoa+de+%C3%93bidos+Portugal/Peniche+Portugal/Figueira+da+Foz+Portugal","🗺 Rota Costa de Prata")</f>
        <v>🗺 Rota Costa de Prata</v>
      </c>
    </row>
    <row r="34" spans="1:9" ht="110" customHeight="1" x14ac:dyDescent="0.35">
      <c r="A34" s="336">
        <v>30</v>
      </c>
      <c r="B34" s="242" t="s">
        <v>10400</v>
      </c>
      <c r="C34" s="243" t="s">
        <v>10342</v>
      </c>
      <c r="D34" s="242" t="s">
        <v>524</v>
      </c>
      <c r="E34" s="242" t="s">
        <v>10336</v>
      </c>
      <c r="F34" s="242" t="s">
        <v>10401</v>
      </c>
      <c r="G34" s="242" t="s">
        <v>10402</v>
      </c>
      <c r="H34" s="305" t="s">
        <v>10402</v>
      </c>
      <c r="I34" s="948" t="str">
        <f>HYPERLINK("https://www.google.com/maps/dir/Museu+C%C3%B4a+Vila+Nova+de+Foz+C%C3%B4a/Parque+Arqueol%C3%B3gico+Vale+do+C%C3%B4a/Foz+C%C3%B4a+Portugal/Sabugal+Portugal","🗺 Rota Vale do Côa")</f>
        <v>🗺 Rota Vale do Côa</v>
      </c>
    </row>
    <row r="35" spans="1:9" ht="110" customHeight="1" x14ac:dyDescent="0.35">
      <c r="A35" s="338">
        <v>31</v>
      </c>
      <c r="B35" s="239" t="s">
        <v>10403</v>
      </c>
      <c r="C35" s="240" t="s">
        <v>1757</v>
      </c>
      <c r="D35" s="239" t="s">
        <v>522</v>
      </c>
      <c r="E35" s="239" t="s">
        <v>10404</v>
      </c>
      <c r="F35" s="239" t="s">
        <v>10388</v>
      </c>
      <c r="G35" s="239" t="s">
        <v>10405</v>
      </c>
      <c r="H35" s="304" t="s">
        <v>10405</v>
      </c>
      <c r="I35" s="947" t="str">
        <f>HYPERLINK("https://www.google.com/maps/dir/Levada+do+Caldeir%C3%A3o+Verde+Santana+Madeira/25+Fontes+Raba%C3%A7al+Madeira/Levada+do+Norte+Madeira/Ribeiro+Frio+Madeira","🗺 Rota das Levadas Madeira")</f>
        <v>🗺 Rota das Levadas Madeira</v>
      </c>
    </row>
    <row r="36" spans="1:9" ht="110" customHeight="1" x14ac:dyDescent="0.35">
      <c r="A36" s="336">
        <v>32</v>
      </c>
      <c r="B36" s="242" t="s">
        <v>10406</v>
      </c>
      <c r="C36" s="243" t="s">
        <v>10385</v>
      </c>
      <c r="D36" s="242" t="s">
        <v>522</v>
      </c>
      <c r="E36" s="242" t="s">
        <v>10324</v>
      </c>
      <c r="F36" s="242" t="s">
        <v>10316</v>
      </c>
      <c r="G36" s="242" t="s">
        <v>10407</v>
      </c>
      <c r="H36" s="305" t="s">
        <v>10407</v>
      </c>
      <c r="I36" s="948" t="str">
        <f>HYPERLINK("https://www.google.com/maps/dir/Caldeira+Faial+A%C3%A7ores/Capelinhos+Faial+A%C3%A7ores/Marina+da+Horta+A%C3%A7ores/Peter+Caf%C3%A9+Sport+Horta+A%C3%A7ores","🗺 Rota dos Vulcões Faial")</f>
        <v>🗺 Rota dos Vulcões Faial</v>
      </c>
    </row>
    <row r="37" spans="1:9" ht="110" customHeight="1" x14ac:dyDescent="0.35">
      <c r="A37" s="338">
        <v>33</v>
      </c>
      <c r="B37" s="239" t="s">
        <v>10408</v>
      </c>
      <c r="C37" s="240" t="s">
        <v>1101</v>
      </c>
      <c r="D37" s="239" t="s">
        <v>522</v>
      </c>
      <c r="E37" s="239" t="s">
        <v>10320</v>
      </c>
      <c r="F37" s="239" t="s">
        <v>10388</v>
      </c>
      <c r="G37" s="239" t="s">
        <v>10409</v>
      </c>
      <c r="H37" s="304" t="s">
        <v>10409</v>
      </c>
      <c r="I37" s="947" t="str">
        <f>HYPERLINK("https://www.google.com/maps/dir/Faj%C3%A3+dos+Cubres+S%C3%A3o+Jorge+A%C3%A7ores/Faj%C3%A3+de+Santo+Cristo+S%C3%A3o+Jorge+A%C3%A7ores/Calheta+S%C3%A3o+Jorge+A%C3%A7ores/Velas+S%C3%A3o+Jorge+A%C3%A7ores","🗺 Rota das Fajãs São Jorge")</f>
        <v>🗺 Rota das Fajãs São Jorge</v>
      </c>
    </row>
    <row r="38" spans="1:9" ht="110" customHeight="1" x14ac:dyDescent="0.35">
      <c r="A38" s="336">
        <v>34</v>
      </c>
      <c r="B38" s="242" t="s">
        <v>10410</v>
      </c>
      <c r="C38" s="243" t="s">
        <v>4695</v>
      </c>
      <c r="D38" s="242" t="s">
        <v>522</v>
      </c>
      <c r="E38" s="242" t="s">
        <v>10324</v>
      </c>
      <c r="F38" s="242" t="s">
        <v>10316</v>
      </c>
      <c r="G38" s="242" t="s">
        <v>10411</v>
      </c>
      <c r="H38" s="305" t="s">
        <v>10411</v>
      </c>
      <c r="I38" s="948" t="str">
        <f>HYPERLINK("https://www.google.com/maps/dir/Cria%C3%A7%C3%A3o+Velha+Pico+A%C3%A7ores/Madalena+Pico+A%C3%A7ores/Museu+do+Vinho+Pico+A%C3%A7ores/Lajes+do+Pico+A%C3%A7ores","🗺 Rota Vinho do Pico")</f>
        <v>🗺 Rota Vinho do Pico</v>
      </c>
    </row>
    <row r="39" spans="1:9" ht="110" customHeight="1" x14ac:dyDescent="0.35">
      <c r="A39" s="338">
        <v>35</v>
      </c>
      <c r="B39" s="239" t="s">
        <v>10413</v>
      </c>
      <c r="C39" s="240" t="s">
        <v>10385</v>
      </c>
      <c r="D39" s="239" t="s">
        <v>522</v>
      </c>
      <c r="E39" s="239" t="s">
        <v>10345</v>
      </c>
      <c r="F39" s="239" t="s">
        <v>10414</v>
      </c>
      <c r="G39" s="239" t="s">
        <v>10415</v>
      </c>
      <c r="H39" s="304" t="s">
        <v>10415</v>
      </c>
      <c r="I39" s="947" t="str">
        <f>HYPERLINK("https://www.google.com/maps/dir/Sete+Cidades+S%C3%A3o+Miguel+A%C3%A7ores/Miradouro+Vista+do+Rei+S%C3%A3o+Miguel/Lagoa+do+Fogo+S%C3%A3o+Miguel+A%C3%A7ores/Ponta+Delgada+A%C3%A7ores","🗺 Rota Sete Cidades")</f>
        <v>🗺 Rota Sete Cidades</v>
      </c>
    </row>
    <row r="40" spans="1:9" ht="110" customHeight="1" x14ac:dyDescent="0.35">
      <c r="A40" s="336">
        <v>36</v>
      </c>
      <c r="B40" s="242" t="s">
        <v>10416</v>
      </c>
      <c r="C40" s="243" t="s">
        <v>10385</v>
      </c>
      <c r="D40" s="242" t="s">
        <v>522</v>
      </c>
      <c r="E40" s="242" t="s">
        <v>10345</v>
      </c>
      <c r="F40" s="242" t="s">
        <v>10316</v>
      </c>
      <c r="G40" s="242" t="s">
        <v>10417</v>
      </c>
      <c r="H40" s="305" t="s">
        <v>10417</v>
      </c>
      <c r="I40" s="948" t="str">
        <f>HYPERLINK("https://www.google.com/maps/dir/Algar+do+Carv%C3%A3o+Terceira+A%C3%A7ores/Furnas+do+Enxofre+Terceira+A%C3%A7ores/Angra+do+Hero%C3%ADsmo+A%C3%A7ores/Biscoitos+Terceira+A%C3%A7ores","🗺 Rota Basalto Furnas Enxofre Terceira")</f>
        <v>🗺 Rota Basalto Furnas Enxofre Terceira</v>
      </c>
    </row>
    <row r="41" spans="1:9" ht="110" customHeight="1" x14ac:dyDescent="0.35">
      <c r="A41" s="338">
        <v>37</v>
      </c>
      <c r="B41" s="239" t="s">
        <v>10418</v>
      </c>
      <c r="C41" s="240" t="s">
        <v>1101</v>
      </c>
      <c r="D41" s="239" t="s">
        <v>522</v>
      </c>
      <c r="E41" s="239" t="s">
        <v>10324</v>
      </c>
      <c r="F41" s="239" t="s">
        <v>10316</v>
      </c>
      <c r="G41" s="239" t="s">
        <v>10419</v>
      </c>
      <c r="H41" s="304" t="s">
        <v>10419</v>
      </c>
      <c r="I41" s="947" t="str">
        <f>HYPERLINK("https://www.google.com/maps/dir/Lagoa+Funda+das+Lajes+Flores+A%C3%A7ores/Lagoa+Rasa+Flores+A%C3%A7ores/Cascata+do+Po%C3%A7o+do+Bacalhau+Flores+A%C3%A7ores/Santa+Cruz+das+Flores+A%C3%A7ores","🗺 Rota Lagoas Cascatas Flores")</f>
        <v>🗺 Rota Lagoas Cascatas Flores</v>
      </c>
    </row>
    <row r="42" spans="1:9" ht="110" customHeight="1" x14ac:dyDescent="0.35">
      <c r="A42" s="336">
        <v>38</v>
      </c>
      <c r="B42" s="242" t="s">
        <v>10420</v>
      </c>
      <c r="C42" s="243" t="s">
        <v>10385</v>
      </c>
      <c r="D42" s="242" t="s">
        <v>522</v>
      </c>
      <c r="E42" s="242" t="s">
        <v>10345</v>
      </c>
      <c r="F42" s="242" t="s">
        <v>10316</v>
      </c>
      <c r="G42" s="242" t="s">
        <v>10421</v>
      </c>
      <c r="H42" s="305" t="s">
        <v>10421</v>
      </c>
      <c r="I42" s="948" t="str">
        <f>HYPERLINK("https://www.google.com/maps/dir/Caldeira+Velha+S%C3%A3o+Miguel+A%C3%A7ores/Lagoa+do+Fogo+S%C3%A3o+Miguel+A%C3%A7ores/Lagoa+das+Furnas+S%C3%A3o+Miguel+A%C3%A7ores","🗺 Rota Caldeira Velha Lagoa Fogo")</f>
        <v>🗺 Rota Caldeira Velha Lagoa Fogo</v>
      </c>
    </row>
    <row r="43" spans="1:9" ht="110" customHeight="1" x14ac:dyDescent="0.35">
      <c r="A43" s="338">
        <v>39</v>
      </c>
      <c r="B43" s="239" t="s">
        <v>10422</v>
      </c>
      <c r="C43" s="240" t="s">
        <v>1757</v>
      </c>
      <c r="D43" s="239" t="s">
        <v>522</v>
      </c>
      <c r="E43" s="239" t="s">
        <v>10423</v>
      </c>
      <c r="F43" s="239" t="s">
        <v>10388</v>
      </c>
      <c r="G43" s="239" t="s">
        <v>10424</v>
      </c>
      <c r="H43" s="304" t="s">
        <v>10424</v>
      </c>
      <c r="I43" s="947" t="str">
        <f>HYPERLINK("https://www.google.com/maps/dir/Casa+do+Vulc%C3%A3o+Pico+A%C3%A7ores/Caminho+da+Montanha+Pico+A%C3%A7ores/Topo+do+Pico+A%C3%A7ores","🗺 Rota Pico do Pico")</f>
        <v>🗺 Rota Pico do Pico</v>
      </c>
    </row>
    <row r="44" spans="1:9" ht="110" customHeight="1" x14ac:dyDescent="0.35">
      <c r="A44" s="336">
        <v>40</v>
      </c>
      <c r="B44" s="242" t="s">
        <v>10425</v>
      </c>
      <c r="C44" s="243" t="s">
        <v>10335</v>
      </c>
      <c r="D44" s="242" t="s">
        <v>522</v>
      </c>
      <c r="E44" s="242" t="s">
        <v>10345</v>
      </c>
      <c r="F44" s="242" t="s">
        <v>10316</v>
      </c>
      <c r="G44" s="242" t="s">
        <v>10426</v>
      </c>
      <c r="H44" s="305" t="s">
        <v>10426</v>
      </c>
      <c r="I44" s="948" t="str">
        <f>HYPERLINK("https://www.google.com/maps/dir/Museu+dos+Baleeiros+Lajes+do+Pico/Vigia+da+Queimada+Pico+A%C3%A7ores/Santo+Ant%C3%B3nio+Pico+A%C3%A7ores/Madalena+Pico+A%C3%A7ores","🗺 Rota dos Baleeiros Pico")</f>
        <v>🗺 Rota dos Baleeiros Pico</v>
      </c>
    </row>
    <row r="45" spans="1:9" ht="110" customHeight="1" x14ac:dyDescent="0.35">
      <c r="A45" s="338">
        <v>41</v>
      </c>
      <c r="B45" s="239" t="s">
        <v>10427</v>
      </c>
      <c r="C45" s="240" t="s">
        <v>10323</v>
      </c>
      <c r="D45" s="239" t="s">
        <v>913</v>
      </c>
      <c r="E45" s="239" t="s">
        <v>10327</v>
      </c>
      <c r="F45" s="239" t="s">
        <v>10428</v>
      </c>
      <c r="G45" s="239" t="s">
        <v>10429</v>
      </c>
      <c r="H45" s="304" t="s">
        <v>10429</v>
      </c>
      <c r="I45" s="947" t="str">
        <f>HYPERLINK("https://www.google.com/maps/dir/Lisboa+Pra%C3%A7a+do+Com%C3%A9rcio/Vila+Franca+de+Xira+Portugal/Santar%C3%A9m+Portugal/F%C3%A1tima+Portugal","🗺 Rota do Tejo Caminhos Fátima")</f>
        <v>🗺 Rota do Tejo Caminhos Fátima</v>
      </c>
    </row>
    <row r="46" spans="1:9" ht="110" customHeight="1" x14ac:dyDescent="0.35">
      <c r="A46" s="336">
        <v>42</v>
      </c>
      <c r="B46" s="242" t="s">
        <v>10430</v>
      </c>
      <c r="C46" s="243" t="s">
        <v>10323</v>
      </c>
      <c r="D46" s="242" t="s">
        <v>836</v>
      </c>
      <c r="E46" s="242" t="s">
        <v>10431</v>
      </c>
      <c r="F46" s="242" t="s">
        <v>10428</v>
      </c>
      <c r="G46" s="242" t="s">
        <v>10432</v>
      </c>
      <c r="H46" s="305" t="s">
        <v>10432</v>
      </c>
      <c r="I46" s="948" t="str">
        <f>HYPERLINK("https://www.google.com/maps/dir/Coimbra+Portugal/Serra+do+Sic%C3%B3+Portugal/Ansi%C3%A3o+Portugal/F%C3%A1tima+Portugal","🗺 Rota Carmelita Coimbra Fátima")</f>
        <v>🗺 Rota Carmelita Coimbra Fátima</v>
      </c>
    </row>
    <row r="47" spans="1:9" ht="110" customHeight="1" x14ac:dyDescent="0.35">
      <c r="A47" s="338">
        <v>43</v>
      </c>
      <c r="B47" s="239" t="s">
        <v>10433</v>
      </c>
      <c r="C47" s="240" t="s">
        <v>10323</v>
      </c>
      <c r="D47" s="239" t="s">
        <v>792</v>
      </c>
      <c r="E47" s="239" t="s">
        <v>10345</v>
      </c>
      <c r="F47" s="239" t="s">
        <v>10401</v>
      </c>
      <c r="G47" s="239" t="s">
        <v>10434</v>
      </c>
      <c r="H47" s="304" t="s">
        <v>10434</v>
      </c>
      <c r="I47" s="947" t="str">
        <f>HYPERLINK("https://www.google.com/maps/dir/Santu%C3%A1rio+do+Bom+Jesus+Braga/Santu%C3%A1rio+do+Sameiro+Braga/S%C3%A9+de+Braga+Portugal/Mosteiro+Tib%C3%A3es+Braga","🗺 Rota Santuários Braga")</f>
        <v>🗺 Rota Santuários Braga</v>
      </c>
    </row>
    <row r="48" spans="1:9" ht="110" customHeight="1" x14ac:dyDescent="0.35">
      <c r="A48" s="336">
        <v>44</v>
      </c>
      <c r="B48" s="242" t="s">
        <v>10435</v>
      </c>
      <c r="C48" s="243" t="s">
        <v>10335</v>
      </c>
      <c r="D48" s="242" t="s">
        <v>792</v>
      </c>
      <c r="E48" s="242" t="s">
        <v>10324</v>
      </c>
      <c r="F48" s="242" t="s">
        <v>10316</v>
      </c>
      <c r="G48" s="242" t="s">
        <v>10436</v>
      </c>
      <c r="H48" s="305" t="s">
        <v>10436</v>
      </c>
      <c r="I48" s="948" t="str">
        <f>HYPERLINK("https://www.google.com/maps/dir/Viana+do+Castelo+Portugal/Santu%C3%A1rio+Santa+Luzia+Viana/Museu+Traje+Viana+do+Castelo/Praia+de+Viana+do+Castelo","🗺 Rota Senhora da Agonia")</f>
        <v>🗺 Rota Senhora da Agonia</v>
      </c>
    </row>
    <row r="49" spans="1:9" ht="110" customHeight="1" x14ac:dyDescent="0.35">
      <c r="A49" s="338">
        <v>45</v>
      </c>
      <c r="B49" s="239" t="s">
        <v>10437</v>
      </c>
      <c r="C49" s="240" t="s">
        <v>10323</v>
      </c>
      <c r="D49" s="239" t="s">
        <v>913</v>
      </c>
      <c r="E49" s="239" t="s">
        <v>10345</v>
      </c>
      <c r="F49" s="239" t="s">
        <v>10428</v>
      </c>
      <c r="G49" s="239" t="s">
        <v>10438</v>
      </c>
      <c r="H49" s="304" t="s">
        <v>10438</v>
      </c>
      <c r="I49" s="947" t="str">
        <f>HYPERLINK("https://www.google.com/maps/dir/Santar%C3%A9m+Portugal/Almeirim+Portugal/Alpiar%C3%A7a+Portugal/Goleg%C3%A3+Portugal","🗺 Rota Caminhos da Paz Santarém")</f>
        <v>🗺 Rota Caminhos da Paz Santarém</v>
      </c>
    </row>
    <row r="50" spans="1:9" ht="110" customHeight="1" x14ac:dyDescent="0.35">
      <c r="A50" s="336">
        <v>46</v>
      </c>
      <c r="B50" s="242" t="s">
        <v>10439</v>
      </c>
      <c r="C50" s="243" t="s">
        <v>4653</v>
      </c>
      <c r="D50" s="242" t="s">
        <v>792</v>
      </c>
      <c r="E50" s="242" t="s">
        <v>10324</v>
      </c>
      <c r="F50" s="242" t="s">
        <v>10316</v>
      </c>
      <c r="G50" s="242" t="s">
        <v>10440</v>
      </c>
      <c r="H50" s="305" t="s">
        <v>10440</v>
      </c>
      <c r="I50" s="948" t="str">
        <f>HYPERLINK("https://www.google.com/maps/dir/Bisalh%C3%A3es+Vila+Real+Portugal/Molelos+Tondela+Portugal/Museu+do+Barro+Barcelos/Olaria+Bisalh%C3%A3es+Portugal","🗺 Rota Barro Negro")</f>
        <v>🗺 Rota Barro Negro</v>
      </c>
    </row>
    <row r="51" spans="1:9" ht="110" customHeight="1" x14ac:dyDescent="0.35">
      <c r="A51" s="338">
        <v>47</v>
      </c>
      <c r="B51" s="239" t="s">
        <v>10441</v>
      </c>
      <c r="C51" s="240" t="s">
        <v>10335</v>
      </c>
      <c r="D51" s="239" t="s">
        <v>792</v>
      </c>
      <c r="E51" s="239" t="s">
        <v>10345</v>
      </c>
      <c r="F51" s="239" t="s">
        <v>10316</v>
      </c>
      <c r="G51" s="239" t="s">
        <v>10442</v>
      </c>
      <c r="H51" s="304" t="s">
        <v>10442</v>
      </c>
      <c r="I51" s="947" t="str">
        <f>HYPERLINK("https://www.google.com/maps/dir/Vila+Verde+Portugal/Barcelos+Portugal/Museu+Etnogr%C3%A1fico+Vilarinho+das+Furnas/Braga+Portugal","🗺 Rota Namorar Portugal")</f>
        <v>🗺 Rota Namorar Portugal</v>
      </c>
    </row>
    <row r="52" spans="1:9" ht="110" customHeight="1" x14ac:dyDescent="0.35">
      <c r="A52" s="336">
        <v>48</v>
      </c>
      <c r="B52" s="242" t="s">
        <v>10443</v>
      </c>
      <c r="C52" s="243" t="s">
        <v>4653</v>
      </c>
      <c r="D52" s="242" t="s">
        <v>853</v>
      </c>
      <c r="E52" s="242" t="s">
        <v>10345</v>
      </c>
      <c r="F52" s="242" t="s">
        <v>10316</v>
      </c>
      <c r="G52" s="242" t="s">
        <v>10444</v>
      </c>
      <c r="H52" s="305" t="s">
        <v>10444</v>
      </c>
      <c r="I52" s="948" t="str">
        <f>HYPERLINK("https://www.google.com/maps/dir/Reguengos+de+Monsaraz+Portugal/Oficina+Mantas+Reguengos/Museu+Arqueol%C3%B3gico+Reguengos/Monsaraz+Portugal","🗺 Rota Mantas Reguengos")</f>
        <v>🗺 Rota Mantas Reguengos</v>
      </c>
    </row>
    <row r="53" spans="1:9" ht="110" customHeight="1" x14ac:dyDescent="0.35">
      <c r="A53" s="338">
        <v>49</v>
      </c>
      <c r="B53" s="239" t="s">
        <v>10445</v>
      </c>
      <c r="C53" s="240" t="s">
        <v>4653</v>
      </c>
      <c r="D53" s="239" t="s">
        <v>1219</v>
      </c>
      <c r="E53" s="239" t="s">
        <v>10345</v>
      </c>
      <c r="F53" s="239" t="s">
        <v>10316</v>
      </c>
      <c r="G53" s="239" t="s">
        <v>10446</v>
      </c>
      <c r="H53" s="304" t="s">
        <v>10446</v>
      </c>
      <c r="I53" s="947" t="str">
        <f>HYPERLINK("https://www.google.com/maps/dir/Estremoz+Portugal/Oficina+Bonecos+de+Estremoz/Borba+Portugal/Vila+Vi%C3%A7osa+Portugal","🗺 Rota Bonecos Estremoz")</f>
        <v>🗺 Rota Bonecos Estremoz</v>
      </c>
    </row>
    <row r="54" spans="1:9" ht="110" customHeight="1" x14ac:dyDescent="0.35">
      <c r="A54" s="336">
        <v>50</v>
      </c>
      <c r="B54" s="242" t="s">
        <v>10447</v>
      </c>
      <c r="C54" s="243" t="s">
        <v>10335</v>
      </c>
      <c r="D54" s="242" t="s">
        <v>1219</v>
      </c>
      <c r="E54" s="242" t="s">
        <v>2519</v>
      </c>
      <c r="F54" s="242" t="s">
        <v>10316</v>
      </c>
      <c r="G54" s="242" t="s">
        <v>10448</v>
      </c>
      <c r="H54" s="305" t="s">
        <v>10448</v>
      </c>
      <c r="I54" s="948" t="str">
        <f>HYPERLINK("https://www.google.com/maps/dir/Museu+do+Fado+Lisboa/Tasca+do+Chico+Lisboa/Fado+in+Chiado+Lisboa/Casa+de+Fado+Coimbra","🗺 Rota do Fado")</f>
        <v>🗺 Rota do Fado</v>
      </c>
    </row>
    <row r="55" spans="1:9" ht="110" customHeight="1" x14ac:dyDescent="0.35">
      <c r="A55" s="338">
        <v>51</v>
      </c>
      <c r="B55" s="239" t="s">
        <v>10449</v>
      </c>
      <c r="C55" s="240" t="s">
        <v>1101</v>
      </c>
      <c r="D55" s="239" t="s">
        <v>853</v>
      </c>
      <c r="E55" s="239" t="s">
        <v>2519</v>
      </c>
      <c r="F55" s="239" t="s">
        <v>10316</v>
      </c>
      <c r="G55" s="239" t="s">
        <v>10450</v>
      </c>
      <c r="H55" s="304" t="s">
        <v>10450</v>
      </c>
      <c r="I55" s="947" t="str">
        <f>HYPERLINK("https://www.google.com/maps/dir/Mourao+Portugal/Monsaraz+Portugal/Mour%C3%A3o+Alqueva+Portugal/Aldeia+da+Luz+Portugal/Portel+Portugal","🗺 Rota Aldeias Ribeirinhas Alqueva")</f>
        <v>🗺 Rota Aldeias Ribeirinhas Alqueva</v>
      </c>
    </row>
    <row r="56" spans="1:9" ht="110" customHeight="1" x14ac:dyDescent="0.35">
      <c r="A56" s="336">
        <v>52</v>
      </c>
      <c r="B56" s="242" t="s">
        <v>10451</v>
      </c>
      <c r="C56" s="243" t="s">
        <v>10363</v>
      </c>
      <c r="D56" s="242" t="s">
        <v>767</v>
      </c>
      <c r="E56" s="242" t="s">
        <v>10345</v>
      </c>
      <c r="F56" s="242" t="s">
        <v>10316</v>
      </c>
      <c r="G56" s="242" t="s">
        <v>10452</v>
      </c>
      <c r="H56" s="305" t="s">
        <v>10452</v>
      </c>
      <c r="I56" s="948" t="str">
        <f>HYPERLINK("https://www.google.com/maps/dir/Tavira+Portugal/Mercado+da+Ribeira+Tavira/Salinas+de+Tavira/Cacela+Velha+Portugal","🗺 Rota Dieta Mediterrânica Tavira")</f>
        <v>🗺 Rota Dieta Mediterrânica Tavira</v>
      </c>
    </row>
    <row r="57" spans="1:9" ht="110" customHeight="1" x14ac:dyDescent="0.35">
      <c r="A57" s="338">
        <v>53</v>
      </c>
      <c r="B57" s="239" t="s">
        <v>10454</v>
      </c>
      <c r="C57" s="240" t="s">
        <v>10385</v>
      </c>
      <c r="D57" s="239" t="s">
        <v>792</v>
      </c>
      <c r="E57" s="239" t="s">
        <v>10324</v>
      </c>
      <c r="F57" s="239" t="s">
        <v>10316</v>
      </c>
      <c r="G57" s="239" t="s">
        <v>10455</v>
      </c>
      <c r="H57" s="304" t="s">
        <v>10455</v>
      </c>
      <c r="I57" s="947" t="str">
        <f>HYPERLINK("https://www.google.com/maps/dir/Arouca+Geopark/Passadi%C3%A7os+do+Paiva+Arouca/Pedras+Parideiras+Arouca/Museu+Geol%C3%B3gico+Canelas+Arouca","🗺 Rota Geologia Arouca")</f>
        <v>🗺 Rota Geologia Arouca</v>
      </c>
    </row>
    <row r="58" spans="1:9" ht="110" customHeight="1" x14ac:dyDescent="0.35">
      <c r="A58" s="336">
        <v>54</v>
      </c>
      <c r="B58" s="242" t="s">
        <v>10456</v>
      </c>
      <c r="C58" s="243" t="s">
        <v>1101</v>
      </c>
      <c r="D58" s="242" t="s">
        <v>792</v>
      </c>
      <c r="E58" s="242" t="s">
        <v>2519</v>
      </c>
      <c r="F58" s="242" t="s">
        <v>10316</v>
      </c>
      <c r="G58" s="242" t="s">
        <v>10457</v>
      </c>
      <c r="H58" s="305" t="s">
        <v>10457</v>
      </c>
      <c r="I58" s="948" t="str">
        <f>HYPERLINK("https://www.google.com/maps/dir/Espigueiros+de+Soajo+Portugal/Castro+Laboreiro+Portugal/Lindoso+Portugal/Soajo+Portugal","🗺 Rota Granito Peneda Gerês")</f>
        <v>🗺 Rota Granito Peneda Gerês</v>
      </c>
    </row>
    <row r="59" spans="1:9" ht="110" customHeight="1" x14ac:dyDescent="0.35">
      <c r="A59" s="338">
        <v>55</v>
      </c>
      <c r="B59" s="239" t="s">
        <v>10458</v>
      </c>
      <c r="C59" s="240" t="s">
        <v>10459</v>
      </c>
      <c r="D59" s="239" t="s">
        <v>792</v>
      </c>
      <c r="E59" s="239" t="s">
        <v>2519</v>
      </c>
      <c r="F59" s="239" t="s">
        <v>10316</v>
      </c>
      <c r="G59" s="239" t="s">
        <v>10460</v>
      </c>
      <c r="H59" s="304" t="s">
        <v>10460</v>
      </c>
      <c r="I59" s="947" t="str">
        <f>HYPERLINK("https://www.google.com/maps/dir/Vidago+Palace+Portugal/Pedras+Salgadas+Spa+Portugal/Termas+de+Chaves+Portugal/Termas+Caldas+de+Moledo+Portugal","🗺 Rota Termas Norte")</f>
        <v>🗺 Rota Termas Norte</v>
      </c>
    </row>
    <row r="60" spans="1:9" ht="110" customHeight="1" x14ac:dyDescent="0.35">
      <c r="A60" s="336">
        <v>56</v>
      </c>
      <c r="B60" s="242" t="s">
        <v>10461</v>
      </c>
      <c r="C60" s="243" t="s">
        <v>10462</v>
      </c>
      <c r="D60" s="242" t="s">
        <v>853</v>
      </c>
      <c r="E60" s="242" t="s">
        <v>2519</v>
      </c>
      <c r="F60" s="242" t="s">
        <v>10316</v>
      </c>
      <c r="G60" s="242" t="s">
        <v>10463</v>
      </c>
      <c r="H60" s="305" t="s">
        <v>10463</v>
      </c>
      <c r="I60" s="948" t="str">
        <f>HYPERLINK("https://www.google.com/maps/dir/Comporta+Portugal/Melides+Portugal/Herdade+Pinheiros+Comporta/Gr%C3%A2ndola+Portugal","🗺 Rota Lixo Zero Costa Alentejana")</f>
        <v>🗺 Rota Lixo Zero Costa Alentejana</v>
      </c>
    </row>
    <row r="61" spans="1:9" ht="110" customHeight="1" x14ac:dyDescent="0.35">
      <c r="A61" s="338">
        <v>57</v>
      </c>
      <c r="B61" s="239" t="s">
        <v>10464</v>
      </c>
      <c r="C61" s="240" t="s">
        <v>4515</v>
      </c>
      <c r="D61" s="239" t="s">
        <v>913</v>
      </c>
      <c r="E61" s="239" t="s">
        <v>10345</v>
      </c>
      <c r="F61" s="239" t="s">
        <v>10316</v>
      </c>
      <c r="G61" s="239" t="s">
        <v>10465</v>
      </c>
      <c r="H61" s="304" t="s">
        <v>10465</v>
      </c>
      <c r="I61" s="947" t="str">
        <f>HYPERLINK("https://www.google.com/maps/dir/Bairro+Alto+Lisboa/Bordalo+II+Studio+Lisboa/Lx+Factory+Lisboa/Barreiro+Arte+Urbana","🗺 Rota Arte Urbana Lisboa")</f>
        <v>🗺 Rota Arte Urbana Lisboa</v>
      </c>
    </row>
    <row r="62" spans="1:9" ht="110" customHeight="1" x14ac:dyDescent="0.35">
      <c r="A62" s="336">
        <v>58</v>
      </c>
      <c r="B62" s="242" t="s">
        <v>10466</v>
      </c>
      <c r="C62" s="243" t="s">
        <v>10335</v>
      </c>
      <c r="D62" s="242" t="s">
        <v>913</v>
      </c>
      <c r="E62" s="242" t="s">
        <v>10345</v>
      </c>
      <c r="F62" s="242" t="s">
        <v>10316</v>
      </c>
      <c r="G62" s="242" t="s">
        <v>10467</v>
      </c>
      <c r="H62" s="305" t="s">
        <v>10467</v>
      </c>
      <c r="I62" s="948" t="str">
        <f>HYPERLINK("https://www.google.com/maps/dir/Moinhos+Torres+Vedras/Moinhos+Lourinh%C3%A3+Portugal/Moinhos+%C3%93bidos+Portugal/Moinhos+Caldas+da+Rainha","🗺 Rota Moinhos Vento Oeste")</f>
        <v>🗺 Rota Moinhos Vento Oeste</v>
      </c>
    </row>
    <row r="63" spans="1:9" ht="110" customHeight="1" x14ac:dyDescent="0.35">
      <c r="A63" s="338">
        <v>59</v>
      </c>
      <c r="B63" s="239" t="s">
        <v>10468</v>
      </c>
      <c r="C63" s="240" t="s">
        <v>10342</v>
      </c>
      <c r="D63" s="239" t="s">
        <v>913</v>
      </c>
      <c r="E63" s="239" t="s">
        <v>10345</v>
      </c>
      <c r="F63" s="239" t="s">
        <v>10316</v>
      </c>
      <c r="G63" s="239" t="s">
        <v>10469</v>
      </c>
      <c r="H63" s="304" t="s">
        <v>10469</v>
      </c>
      <c r="I63" s="947" t="str">
        <f>HYPERLINK("https://www.google.com/maps/dir/Museu+da+Lourinh%C3%A3+Portugal/Dino+Parque+Lourinh%C3%A3/Praia+Porto+Dinheiro+Lourinh%C3%A3/Peralta+Lourinh%C3%A3+Portugal","🗺 Rota Paleontologia Lourinhã")</f>
        <v>🗺 Rota Paleontologia Lourinhã</v>
      </c>
    </row>
    <row r="64" spans="1:9" ht="110" customHeight="1" x14ac:dyDescent="0.35">
      <c r="A64" s="336">
        <v>60</v>
      </c>
      <c r="B64" s="242" t="s">
        <v>10470</v>
      </c>
      <c r="C64" s="243" t="s">
        <v>10335</v>
      </c>
      <c r="D64" s="242" t="s">
        <v>767</v>
      </c>
      <c r="E64" s="242" t="s">
        <v>10345</v>
      </c>
      <c r="F64" s="242" t="s">
        <v>10316</v>
      </c>
      <c r="G64" s="242" t="s">
        <v>10471</v>
      </c>
      <c r="H64" s="305" t="s">
        <v>10471</v>
      </c>
      <c r="I64" s="948" t="str">
        <f>HYPERLINK("https://www.google.com/maps/dir/Alcoutim+Portugal/Sanl%C3%BAcar+Guadiana+Espanha/M%C3%A9rtola+Portugal/Castro+Marim+Portugal","🗺 Rota Contrabando Rio Guadiana")</f>
        <v>🗺 Rota Contrabando Rio Guadiana</v>
      </c>
    </row>
    <row r="65" spans="1:9" ht="110" customHeight="1" x14ac:dyDescent="0.35">
      <c r="A65" s="338">
        <v>61</v>
      </c>
      <c r="B65" s="239" t="s">
        <v>10472</v>
      </c>
      <c r="C65" s="240" t="s">
        <v>10319</v>
      </c>
      <c r="D65" s="239" t="s">
        <v>792</v>
      </c>
      <c r="E65" s="239" t="s">
        <v>10345</v>
      </c>
      <c r="F65" s="239" t="s">
        <v>10316</v>
      </c>
      <c r="G65" s="241" t="s">
        <v>10473</v>
      </c>
      <c r="H65" s="304" t="s">
        <v>10473</v>
      </c>
      <c r="I65" s="947" t="str">
        <f>HYPERLINK("https://www.google.com/maps/dir/S%C3%A9+de+Braga+Portugal/Bom+Jesus+Braga/Tib%C3%A3es+Braga+Portugal/Falperra+Braga+Portugal","🗺 Rota Barroco Bracarense")</f>
        <v>🗺 Rota Barroco Bracarense</v>
      </c>
    </row>
    <row r="66" spans="1:9" ht="110" customHeight="1" x14ac:dyDescent="0.35">
      <c r="A66" s="336">
        <v>62</v>
      </c>
      <c r="B66" s="242" t="s">
        <v>10474</v>
      </c>
      <c r="C66" s="243" t="s">
        <v>4515</v>
      </c>
      <c r="D66" s="242" t="s">
        <v>792</v>
      </c>
      <c r="E66" s="242" t="s">
        <v>2519</v>
      </c>
      <c r="F66" s="242" t="s">
        <v>10316</v>
      </c>
      <c r="G66" s="244" t="s">
        <v>10475</v>
      </c>
      <c r="H66" s="305" t="s">
        <v>10475</v>
      </c>
      <c r="I66" s="948" t="str">
        <f>HYPERLINK("https://www.google.com/maps/dir/Esta%C3%A7%C3%A3o+S%C3%A3o+Bento+Porto/Igreja+do+Carmo+Porto/Igreja+Santa+Cruz+Porto/Pal%C3%A1cio+de+Biscainhos+Braga","🗺 Rota Azulejo Norte")</f>
        <v>🗺 Rota Azulejo Norte</v>
      </c>
    </row>
    <row r="67" spans="1:9" ht="110" customHeight="1" x14ac:dyDescent="0.35">
      <c r="A67" s="338">
        <v>63</v>
      </c>
      <c r="B67" s="239" t="s">
        <v>10477</v>
      </c>
      <c r="C67" s="240" t="s">
        <v>10335</v>
      </c>
      <c r="D67" s="239" t="s">
        <v>792</v>
      </c>
      <c r="E67" s="239" t="s">
        <v>10324</v>
      </c>
      <c r="F67" s="239" t="s">
        <v>6767</v>
      </c>
      <c r="G67" s="239" t="s">
        <v>10478</v>
      </c>
      <c r="H67" s="304" t="s">
        <v>10478</v>
      </c>
      <c r="I67" s="947" t="str">
        <f>HYPERLINK("https://www.google.com/maps/dir/Cais+de+Gaia+Porto/R%C3%A9gua+Peso+da+R%C3%A9gua+Portugal/Pinh%C3%A3o+Portugal/Tua+Portugal","🗺 Rota Douro Barco Rabelo")</f>
        <v>🗺 Rota Douro Barco Rabelo</v>
      </c>
    </row>
    <row r="68" spans="1:9" ht="110" customHeight="1" x14ac:dyDescent="0.35">
      <c r="A68" s="336">
        <v>64</v>
      </c>
      <c r="B68" s="242" t="s">
        <v>10479</v>
      </c>
      <c r="C68" s="243" t="s">
        <v>10314</v>
      </c>
      <c r="D68" s="242" t="s">
        <v>792</v>
      </c>
      <c r="E68" s="242" t="s">
        <v>2519</v>
      </c>
      <c r="F68" s="242" t="s">
        <v>10316</v>
      </c>
      <c r="G68" s="244" t="s">
        <v>10480</v>
      </c>
      <c r="H68" s="305" t="s">
        <v>10481</v>
      </c>
      <c r="I68" s="948" t="str">
        <f>HYPERLINK("https://www.google.com/maps/dir/Braga+Portugal/Ponte+de+Lima+Portugal/Arcos+de+Valdevez+Portugal/Mon%C3%A7%C3%A3o+Portugal/Melga%C3%A7o+Portugal/Chaves+Portugal","🗺 Rota Invasões Francesas Norte")</f>
        <v>🗺 Rota Invasões Francesas Norte</v>
      </c>
    </row>
    <row r="69" spans="1:9" ht="110" customHeight="1" x14ac:dyDescent="0.35">
      <c r="A69" s="338">
        <v>65</v>
      </c>
      <c r="B69" s="239" t="s">
        <v>10482</v>
      </c>
      <c r="C69" s="240" t="s">
        <v>4653</v>
      </c>
      <c r="D69" s="239" t="s">
        <v>792</v>
      </c>
      <c r="E69" s="239" t="s">
        <v>10345</v>
      </c>
      <c r="F69" s="239" t="s">
        <v>10316</v>
      </c>
      <c r="G69" s="239" t="s">
        <v>10483</v>
      </c>
      <c r="H69" s="304" t="s">
        <v>10483</v>
      </c>
      <c r="I69" s="947" t="str">
        <f>HYPERLINK("https://www.google.com/maps/dir/P%C3%B3voa+de+Lanhoso+Portugal/Gondomar+Filigrana/Museu+do+Ouro+Travassos/Barcelos+Portugal","🗺 Rota Filigrana Póvoa Gondomar")</f>
        <v>🗺 Rota Filigrana Póvoa Gondomar</v>
      </c>
    </row>
    <row r="70" spans="1:9" ht="110" customHeight="1" x14ac:dyDescent="0.35">
      <c r="A70" s="336">
        <v>66</v>
      </c>
      <c r="B70" s="242" t="s">
        <v>10484</v>
      </c>
      <c r="C70" s="243" t="s">
        <v>10342</v>
      </c>
      <c r="D70" s="242" t="s">
        <v>792</v>
      </c>
      <c r="E70" s="242" t="s">
        <v>2519</v>
      </c>
      <c r="F70" s="242" t="s">
        <v>10316</v>
      </c>
      <c r="G70" s="244" t="s">
        <v>10485</v>
      </c>
      <c r="H70" s="305" t="s">
        <v>10485</v>
      </c>
      <c r="I70" s="948" t="str">
        <f>HYPERLINK("https://www.google.com/maps/dir/Cit%C3%A2nia+de+Briteiros+Guimar%C3%A3es/Cividade+Terroso+P%C3%B3voa+de+Varzim/Castro+de+Sabroso+Guimar%C3%A3es/Briteiros+Guimar%C3%A3es","🗺 Rota Castros Arte Castreja")</f>
        <v>🗺 Rota Castros Arte Castreja</v>
      </c>
    </row>
    <row r="71" spans="1:9" ht="110" customHeight="1" x14ac:dyDescent="0.35">
      <c r="A71" s="338">
        <v>67</v>
      </c>
      <c r="B71" s="239" t="s">
        <v>10486</v>
      </c>
      <c r="C71" s="240" t="s">
        <v>10335</v>
      </c>
      <c r="D71" s="239" t="s">
        <v>792</v>
      </c>
      <c r="E71" s="239" t="s">
        <v>2519</v>
      </c>
      <c r="F71" s="239" t="s">
        <v>10316</v>
      </c>
      <c r="G71" s="241" t="s">
        <v>10487</v>
      </c>
      <c r="H71" s="304" t="s">
        <v>10487</v>
      </c>
      <c r="I71" s="947" t="str">
        <f>HYPERLINK("https://www.google.com/maps/dir/Mirandela+Portugal/Macedo+de+Cavaleiros+Portugal/Bragan%C3%A7a+Portugal/Torre+de+Moncorvo+Portugal","🗺 Rota Pombais Trás-os-Montes")</f>
        <v>🗺 Rota Pombais Trás-os-Montes</v>
      </c>
    </row>
    <row r="72" spans="1:9" ht="110" customHeight="1" x14ac:dyDescent="0.35">
      <c r="A72" s="336">
        <v>68</v>
      </c>
      <c r="B72" s="242" t="s">
        <v>10488</v>
      </c>
      <c r="C72" s="243" t="s">
        <v>10335</v>
      </c>
      <c r="D72" s="242" t="s">
        <v>792</v>
      </c>
      <c r="E72" s="242" t="s">
        <v>10345</v>
      </c>
      <c r="F72" s="242" t="s">
        <v>10316</v>
      </c>
      <c r="G72" s="244" t="s">
        <v>10489</v>
      </c>
      <c r="H72" s="305" t="s">
        <v>10489</v>
      </c>
      <c r="I72" s="948" t="str">
        <f>HYPERLINK("https://www.google.com/maps/dir/Miranda+do+Douro+Portugal/Duas+Igrejas+Portugal/Sendim+Portugal/Vimioso+Portugal","🗺 Rota Língua Mirandesa")</f>
        <v>🗺 Rota Língua Mirandesa</v>
      </c>
    </row>
    <row r="73" spans="1:9" ht="110" customHeight="1" x14ac:dyDescent="0.35">
      <c r="A73" s="338">
        <v>69</v>
      </c>
      <c r="B73" s="239" t="s">
        <v>10490</v>
      </c>
      <c r="C73" s="240" t="s">
        <v>1101</v>
      </c>
      <c r="D73" s="239" t="s">
        <v>792</v>
      </c>
      <c r="E73" s="239" t="s">
        <v>2519</v>
      </c>
      <c r="F73" s="239" t="s">
        <v>10401</v>
      </c>
      <c r="G73" s="241" t="s">
        <v>10491</v>
      </c>
      <c r="H73" s="304" t="s">
        <v>10491</v>
      </c>
      <c r="I73" s="947" t="str">
        <f>HYPERLINK("https://www.google.com/maps/dir/Passadi%C3%A7os+do+Paiva+Arouca/Cascata+Fecha+de+Barjas+Ger%C3%AAs/Albufeira+da+Cani%C3%A7ada+Vieira+do+Minho/Terras+de+Bouro+Portugal","🗺 Rota Vale Lima Paiva Terras Bouro")</f>
        <v>🗺 Rota Vale Lima Paiva Terras Bouro</v>
      </c>
    </row>
    <row r="74" spans="1:9" ht="110" customHeight="1" x14ac:dyDescent="0.35">
      <c r="A74" s="336">
        <v>70</v>
      </c>
      <c r="B74" s="242" t="s">
        <v>10492</v>
      </c>
      <c r="C74" s="243" t="s">
        <v>10385</v>
      </c>
      <c r="D74" s="242" t="s">
        <v>792</v>
      </c>
      <c r="E74" s="242" t="s">
        <v>2519</v>
      </c>
      <c r="F74" s="242" t="s">
        <v>10316</v>
      </c>
      <c r="G74" s="244" t="s">
        <v>10493</v>
      </c>
      <c r="H74" s="305" t="s">
        <v>10493</v>
      </c>
      <c r="I74" s="948" t="str">
        <f>HYPERLINK("https://www.google.com/maps/dir/Lagoa+do+Marinho+Peneda+Ger%C3%AAs/Peneda+Portugal/Lindoso+Portugal/Castro+Laboreiro+Portugal","🗺 Rota Granito Lagoas Peneda")</f>
        <v>🗺 Rota Granito Lagoas Peneda</v>
      </c>
    </row>
    <row r="75" spans="1:9" ht="110" customHeight="1" x14ac:dyDescent="0.35">
      <c r="A75" s="338">
        <v>71</v>
      </c>
      <c r="B75" s="239" t="s">
        <v>10494</v>
      </c>
      <c r="C75" s="240" t="s">
        <v>10366</v>
      </c>
      <c r="D75" s="239" t="s">
        <v>792</v>
      </c>
      <c r="E75" s="239" t="s">
        <v>2519</v>
      </c>
      <c r="F75" s="239" t="s">
        <v>10316</v>
      </c>
      <c r="G75" s="241" t="s">
        <v>10495</v>
      </c>
      <c r="H75" s="304" t="s">
        <v>10495</v>
      </c>
      <c r="I75" s="947" t="str">
        <f>HYPERLINK("https://www.google.com/maps/dir/Minas+da+Panasqueira+Covilh%C3%A3/Minas+da+Borralha+Montalegre/Minas+de+Jales+Vila+Real/Minas+Tresminas+Portugal","🗺 Rota Minerais Minas Norte")</f>
        <v>🗺 Rota Minerais Minas Norte</v>
      </c>
    </row>
    <row r="76" spans="1:9" ht="110" customHeight="1" x14ac:dyDescent="0.35">
      <c r="A76" s="336">
        <v>72</v>
      </c>
      <c r="B76" s="242" t="s">
        <v>10496</v>
      </c>
      <c r="C76" s="243" t="s">
        <v>4653</v>
      </c>
      <c r="D76" s="242" t="s">
        <v>792</v>
      </c>
      <c r="E76" s="242" t="s">
        <v>10345</v>
      </c>
      <c r="F76" s="242" t="s">
        <v>10316</v>
      </c>
      <c r="G76" s="244" t="s">
        <v>10497</v>
      </c>
      <c r="H76" s="305" t="s">
        <v>10497</v>
      </c>
      <c r="I76" s="948" t="str">
        <f>HYPERLINK("https://www.google.com/maps/dir/Barcelos+Portugal/Centro+de+Artesanato+Barcelos/Museu+Cer%C3%A2mica+Barcelos/Viana+do+Castelo+Portugal","🗺 Rota Galo Barcelos")</f>
        <v>🗺 Rota Galo Barcelos</v>
      </c>
    </row>
    <row r="77" spans="1:9" ht="110" customHeight="1" x14ac:dyDescent="0.35">
      <c r="A77" s="338">
        <v>73</v>
      </c>
      <c r="B77" s="239" t="s">
        <v>10498</v>
      </c>
      <c r="C77" s="240" t="s">
        <v>10335</v>
      </c>
      <c r="D77" s="239" t="s">
        <v>792</v>
      </c>
      <c r="E77" s="239" t="s">
        <v>10345</v>
      </c>
      <c r="F77" s="239" t="s">
        <v>10499</v>
      </c>
      <c r="G77" s="239" t="s">
        <v>10500</v>
      </c>
      <c r="H77" s="304" t="s">
        <v>10501</v>
      </c>
      <c r="I77" s="947" t="str">
        <f>HYPERLINK("https://www.google.com/maps/dir/Museu+de+Serralves+Porto/Museu+Nacional+Soares+dos+Reis+Porto/Museu+do+Carro+El%C3%A9ctrico+Porto/Museu+do+Vinho+do+Porto","🗺 Rota Museus Porto")</f>
        <v>🗺 Rota Museus Porto</v>
      </c>
    </row>
    <row r="78" spans="1:9" ht="110" customHeight="1" x14ac:dyDescent="0.35">
      <c r="A78" s="336">
        <v>74</v>
      </c>
      <c r="B78" s="242" t="s">
        <v>10503</v>
      </c>
      <c r="C78" s="243" t="s">
        <v>1101</v>
      </c>
      <c r="D78" s="242" t="s">
        <v>792</v>
      </c>
      <c r="E78" s="242" t="s">
        <v>2519</v>
      </c>
      <c r="F78" s="242" t="s">
        <v>10369</v>
      </c>
      <c r="G78" s="244" t="s">
        <v>10504</v>
      </c>
      <c r="H78" s="305" t="s">
        <v>10504</v>
      </c>
      <c r="I78" s="948" t="str">
        <f>HYPERLINK("https://www.google.com/maps/dir/Chaves+Portugal/Vidago+Portugal/Amarante+Portugal/Marco+de+Canaveses+Portugal","🗺 Rota Rios Tâmega Corgo")</f>
        <v>🗺 Rota Rios Tâmega Corgo</v>
      </c>
    </row>
    <row r="79" spans="1:9" ht="110" customHeight="1" x14ac:dyDescent="0.35">
      <c r="A79" s="338">
        <v>75</v>
      </c>
      <c r="B79" s="239" t="s">
        <v>10505</v>
      </c>
      <c r="C79" s="240" t="s">
        <v>10319</v>
      </c>
      <c r="D79" s="239" t="s">
        <v>792</v>
      </c>
      <c r="E79" s="239" t="s">
        <v>2519</v>
      </c>
      <c r="F79" s="239" t="s">
        <v>10316</v>
      </c>
      <c r="G79" s="241" t="s">
        <v>10506</v>
      </c>
      <c r="H79" s="304" t="s">
        <v>10506</v>
      </c>
      <c r="I79" s="947" t="str">
        <f>HYPERLINK("https://www.google.com/maps/dir/Quinta+do+Crasto+R%C3%A9gua/Quinta+do+Portal+Sabrosa/Solar+de+Mateus+Vila+Real/Pinh%C3%A3o+Douro+Portugal","🗺 Rota Pedra Cal Alto Douro")</f>
        <v>🗺 Rota Pedra Cal Alto Douro</v>
      </c>
    </row>
    <row r="80" spans="1:9" ht="110" customHeight="1" x14ac:dyDescent="0.35">
      <c r="A80" s="336">
        <v>76</v>
      </c>
      <c r="B80" s="242" t="s">
        <v>10508</v>
      </c>
      <c r="C80" s="243" t="s">
        <v>10314</v>
      </c>
      <c r="D80" s="242" t="s">
        <v>792</v>
      </c>
      <c r="E80" s="242" t="s">
        <v>10345</v>
      </c>
      <c r="F80" s="242" t="s">
        <v>10316</v>
      </c>
      <c r="G80" s="244" t="s">
        <v>10509</v>
      </c>
      <c r="H80" s="305" t="s">
        <v>10510</v>
      </c>
      <c r="I80" s="948" t="str">
        <f>HYPERLINK("https://www.google.com/maps/dir/Regimento+de+Infantaria+Porto/Ponte+da+Arr%C3%A1bida+Porto/Coimbra+Portugal/Santar%C3%A9m+Portugal/Pontinha+Lisboa","🗺 Rota Revolução 25 Abril Norte")</f>
        <v>🗺 Rota Revolução 25 Abril Norte</v>
      </c>
    </row>
    <row r="81" spans="1:9" ht="110" customHeight="1" x14ac:dyDescent="0.35">
      <c r="A81" s="338">
        <v>77</v>
      </c>
      <c r="B81" s="239" t="s">
        <v>10511</v>
      </c>
      <c r="C81" s="240" t="s">
        <v>10323</v>
      </c>
      <c r="D81" s="239" t="s">
        <v>792</v>
      </c>
      <c r="E81" s="239" t="s">
        <v>10324</v>
      </c>
      <c r="F81" s="239" t="s">
        <v>10401</v>
      </c>
      <c r="G81" s="241" t="s">
        <v>10512</v>
      </c>
      <c r="H81" s="304" t="s">
        <v>10512</v>
      </c>
      <c r="I81" s="947" t="str">
        <f>HYPERLINK("https://www.google.com/maps/dir/Calced%C3%B3nia+Ger%C3%AAs+Portugal/Peneda+Santu%C3%A1rio+Ger%C3%AAs/Ermida+S%C3%A3o+Jo%C3%A3o+Ger%C3%AAs/Castro+Laboreiro+Portugal","🗺 Rota Santuários Rupestres Gerês")</f>
        <v>🗺 Rota Santuários Rupestres Gerês</v>
      </c>
    </row>
    <row r="82" spans="1:9" ht="110" customHeight="1" x14ac:dyDescent="0.35">
      <c r="A82" s="336">
        <v>78</v>
      </c>
      <c r="B82" s="242" t="s">
        <v>10514</v>
      </c>
      <c r="C82" s="243" t="s">
        <v>10335</v>
      </c>
      <c r="D82" s="242" t="s">
        <v>792</v>
      </c>
      <c r="E82" s="242" t="s">
        <v>10324</v>
      </c>
      <c r="F82" s="242" t="s">
        <v>10316</v>
      </c>
      <c r="G82" s="244" t="s">
        <v>10515</v>
      </c>
      <c r="H82" s="305" t="s">
        <v>10515</v>
      </c>
      <c r="I82" s="948" t="str">
        <f>HYPERLINK("https://www.google.com/maps/dir/Montalegre+Portugal/Ecomuseu+Barroso+Montalegre/Boticas+Portugal/Chaves+Portugal","🗺 Rota Ecomuseus Montalegre")</f>
        <v>🗺 Rota Ecomuseus Montalegre</v>
      </c>
    </row>
    <row r="83" spans="1:9" ht="110" customHeight="1" x14ac:dyDescent="0.35">
      <c r="A83" s="338">
        <v>79</v>
      </c>
      <c r="B83" s="239" t="s">
        <v>10516</v>
      </c>
      <c r="C83" s="240" t="s">
        <v>10398</v>
      </c>
      <c r="D83" s="239" t="s">
        <v>792</v>
      </c>
      <c r="E83" s="239" t="s">
        <v>2519</v>
      </c>
      <c r="F83" s="239" t="s">
        <v>10316</v>
      </c>
      <c r="G83" s="241" t="s">
        <v>10517</v>
      </c>
      <c r="H83" s="304" t="s">
        <v>10517</v>
      </c>
      <c r="I83" s="947" t="str">
        <f>HYPERLINK("https://www.google.com/maps/dir/Viana+do+Castelo+Praia/Caminha+Portugal/Moledo+do+Minho+Portugal/Vila+do+Conde+Praia","🗺 Rota Praias Litoral Norte")</f>
        <v>🗺 Rota Praias Litoral Norte</v>
      </c>
    </row>
    <row r="84" spans="1:9" ht="110" customHeight="1" x14ac:dyDescent="0.35">
      <c r="A84" s="336">
        <v>80</v>
      </c>
      <c r="B84" s="242" t="s">
        <v>10518</v>
      </c>
      <c r="C84" s="243" t="s">
        <v>4695</v>
      </c>
      <c r="D84" s="242" t="s">
        <v>792</v>
      </c>
      <c r="E84" s="242" t="s">
        <v>2519</v>
      </c>
      <c r="F84" s="242" t="s">
        <v>10316</v>
      </c>
      <c r="G84" s="244" t="s">
        <v>10519</v>
      </c>
      <c r="H84" s="305" t="s">
        <v>10519</v>
      </c>
      <c r="I84" s="948" t="str">
        <f>HYPERLINK("https://www.google.com/maps/dir/Nelas+Portugal/Viseu+Portugal/Tondela+Portugal/Carregal+do+Sal+Portugal","🗺 Rota Vinho do Dão")</f>
        <v>🗺 Rota Vinho do Dão</v>
      </c>
    </row>
    <row r="85" spans="1:9" ht="110" customHeight="1" x14ac:dyDescent="0.35">
      <c r="A85" s="338">
        <v>81</v>
      </c>
      <c r="B85" s="239" t="s">
        <v>10520</v>
      </c>
      <c r="C85" s="240" t="s">
        <v>10314</v>
      </c>
      <c r="D85" s="239" t="s">
        <v>836</v>
      </c>
      <c r="E85" s="239" t="s">
        <v>10336</v>
      </c>
      <c r="F85" s="239" t="s">
        <v>10316</v>
      </c>
      <c r="G85" s="241" t="s">
        <v>10521</v>
      </c>
      <c r="H85" s="304" t="s">
        <v>10521</v>
      </c>
      <c r="I85" s="947" t="str">
        <f>HYPERLINK("https://www.google.com/maps/dir/Guarda+Portugal/Belmonte+Portugal/Sabugal+Portugal/Penamacor+Portugal/Idanha-a-Nova+Portugal/Monsanto+Portugal","🗺 Rota Castelos da Beira")</f>
        <v>🗺 Rota Castelos da Beira</v>
      </c>
    </row>
    <row r="86" spans="1:9" ht="110" customHeight="1" x14ac:dyDescent="0.35">
      <c r="A86" s="336">
        <v>82</v>
      </c>
      <c r="B86" s="242" t="s">
        <v>10522</v>
      </c>
      <c r="C86" s="243" t="s">
        <v>10459</v>
      </c>
      <c r="D86" s="242" t="s">
        <v>836</v>
      </c>
      <c r="E86" s="242" t="s">
        <v>10336</v>
      </c>
      <c r="F86" s="242" t="s">
        <v>10316</v>
      </c>
      <c r="G86" s="244" t="s">
        <v>10523</v>
      </c>
      <c r="H86" s="305" t="s">
        <v>10524</v>
      </c>
      <c r="I86" s="948" t="str">
        <f>HYPERLINK("https://www.google.com/maps/dir/Termas+do+Luso+Portugal/Termas+da+Curia+Portugal/Termas+S%C3%A3o+Pedro+do+Sul/Termas+de+Monfortinho+Portugal","🗺 Rota Termas Centro")</f>
        <v>🗺 Rota Termas Centro</v>
      </c>
    </row>
    <row r="87" spans="1:9" ht="110" customHeight="1" x14ac:dyDescent="0.35">
      <c r="A87" s="338">
        <v>83</v>
      </c>
      <c r="B87" s="239" t="s">
        <v>10525</v>
      </c>
      <c r="C87" s="240" t="s">
        <v>10323</v>
      </c>
      <c r="D87" s="239" t="s">
        <v>836</v>
      </c>
      <c r="E87" s="239" t="s">
        <v>2519</v>
      </c>
      <c r="F87" s="239" t="s">
        <v>10316</v>
      </c>
      <c r="G87" s="241" t="s">
        <v>10526</v>
      </c>
      <c r="H87" s="304" t="s">
        <v>10526</v>
      </c>
      <c r="I87" s="947" t="str">
        <f>HYPERLINK("https://www.google.com/maps/dir/Mosteiro+Santa+Clara+Coimbra/Mosteiro+de+Lorv%C3%A3o+Portugal/Mosteiro+S%C3%A3o+Marcos+Tent%C3%BAgal/Mosteiro+Santa+Maria+Aguiar+Portugal","🗺 Rota Mosteiros Mondego")</f>
        <v>🗺 Rota Mosteiros Mondego</v>
      </c>
    </row>
    <row r="88" spans="1:9" ht="110" customHeight="1" x14ac:dyDescent="0.35">
      <c r="A88" s="336">
        <v>84</v>
      </c>
      <c r="B88" s="242" t="s">
        <v>10527</v>
      </c>
      <c r="C88" s="243" t="s">
        <v>10366</v>
      </c>
      <c r="D88" s="242" t="s">
        <v>836</v>
      </c>
      <c r="E88" s="242" t="s">
        <v>10345</v>
      </c>
      <c r="F88" s="242" t="s">
        <v>10316</v>
      </c>
      <c r="G88" s="244" t="s">
        <v>10528</v>
      </c>
      <c r="H88" s="305" t="s">
        <v>10528</v>
      </c>
      <c r="I88" s="948" t="str">
        <f>HYPERLINK("https://www.google.com/maps/dir/Lous%C3%A3+Moinhos+Papel/Tomar+Moinho+Papel/Vale+de+Papas+Coimbra/Museu+Papel+Tomar","🗺 Rota Papel Moinhos")</f>
        <v>🗺 Rota Papel Moinhos</v>
      </c>
    </row>
    <row r="89" spans="1:9" ht="110" customHeight="1" x14ac:dyDescent="0.35">
      <c r="A89" s="338">
        <v>85</v>
      </c>
      <c r="B89" s="239" t="s">
        <v>10529</v>
      </c>
      <c r="C89" s="240" t="s">
        <v>10363</v>
      </c>
      <c r="D89" s="239" t="s">
        <v>836</v>
      </c>
      <c r="E89" s="239" t="s">
        <v>2519</v>
      </c>
      <c r="F89" s="239" t="s">
        <v>10316</v>
      </c>
      <c r="G89" s="241" t="s">
        <v>10530</v>
      </c>
      <c r="H89" s="304" t="s">
        <v>10530</v>
      </c>
      <c r="I89" s="947" t="str">
        <f>HYPERLINK("https://www.google.com/maps/dir/Mealhada+Leit%C3%A3o+Portugal/Vila+Nova+de+Poiares+Portugal/Serra+da+Estrela+Queijo+Portugal/Gralheira+Cabrito+Portugal","🗺 Rota Gastronomia Centro")</f>
        <v>🗺 Rota Gastronomia Centro</v>
      </c>
    </row>
    <row r="90" spans="1:9" ht="110" customHeight="1" x14ac:dyDescent="0.35">
      <c r="A90" s="336">
        <v>86</v>
      </c>
      <c r="B90" s="242" t="s">
        <v>10531</v>
      </c>
      <c r="C90" s="243" t="s">
        <v>10342</v>
      </c>
      <c r="D90" s="242" t="s">
        <v>836</v>
      </c>
      <c r="E90" s="242" t="s">
        <v>2519</v>
      </c>
      <c r="F90" s="242" t="s">
        <v>10316</v>
      </c>
      <c r="G90" s="244" t="s">
        <v>10532</v>
      </c>
      <c r="H90" s="305" t="s">
        <v>10532</v>
      </c>
      <c r="I90" s="948" t="str">
        <f>HYPERLINK("https://www.google.com/maps/dir/Dino+Parque+Lourinh%C3%A3/Museu+da+Lourinh%C3%A3/Peniche+Fosseis+Portugal/Museu+Paleontologia+Our%C3%A9m","🗺 Rota Dinossauros Fósseis")</f>
        <v>🗺 Rota Dinossauros Fósseis</v>
      </c>
    </row>
    <row r="91" spans="1:9" ht="110" customHeight="1" x14ac:dyDescent="0.35">
      <c r="A91" s="338">
        <v>87</v>
      </c>
      <c r="B91" s="239" t="s">
        <v>10533</v>
      </c>
      <c r="C91" s="240" t="s">
        <v>10398</v>
      </c>
      <c r="D91" s="239" t="s">
        <v>836</v>
      </c>
      <c r="E91" s="239" t="s">
        <v>2519</v>
      </c>
      <c r="F91" s="239" t="s">
        <v>10369</v>
      </c>
      <c r="G91" s="241" t="s">
        <v>10534</v>
      </c>
      <c r="H91" s="304" t="s">
        <v>10534</v>
      </c>
      <c r="I91" s="947" t="str">
        <f>HYPERLINK("https://www.google.com/maps/dir/Nazar%C3%A9+Portugal/S%C3%A3o+Martinho+do+Porto+Portugal/Figueira+da+Foz+Portugal/%C3%8Dlhavo+Portugal/Aveiro+Portugal","🗺 Rota Litoral Centro")</f>
        <v>🗺 Rota Litoral Centro</v>
      </c>
    </row>
    <row r="92" spans="1:9" ht="110" customHeight="1" x14ac:dyDescent="0.35">
      <c r="A92" s="336">
        <v>88</v>
      </c>
      <c r="B92" s="242" t="s">
        <v>10535</v>
      </c>
      <c r="C92" s="243" t="s">
        <v>10385</v>
      </c>
      <c r="D92" s="242" t="s">
        <v>836</v>
      </c>
      <c r="E92" s="242" t="s">
        <v>10324</v>
      </c>
      <c r="F92" s="242" t="s">
        <v>10316</v>
      </c>
      <c r="G92" s="244" t="s">
        <v>10536</v>
      </c>
      <c r="H92" s="305" t="s">
        <v>10536</v>
      </c>
      <c r="I92" s="948" t="str">
        <f>HYPERLINK("https://www.google.com/maps/dir/Grutas+de+Mira+de+Aire+Portugal/Grutas+da+Moeda+F%C3%A1tima/Grutas+do+Alvados+Portugal/Grutas+do+Alviela+Portugal","🗺 Rota Grutas Calcárias")</f>
        <v>🗺 Rota Grutas Calcárias</v>
      </c>
    </row>
    <row r="93" spans="1:9" ht="110" customHeight="1" x14ac:dyDescent="0.35">
      <c r="A93" s="338">
        <v>89</v>
      </c>
      <c r="B93" s="239" t="s">
        <v>10537</v>
      </c>
      <c r="C93" s="240" t="s">
        <v>10363</v>
      </c>
      <c r="D93" s="239" t="s">
        <v>836</v>
      </c>
      <c r="E93" s="239" t="s">
        <v>10345</v>
      </c>
      <c r="F93" s="239" t="s">
        <v>10316</v>
      </c>
      <c r="G93" s="241" t="s">
        <v>10538</v>
      </c>
      <c r="H93" s="304" t="s">
        <v>10538</v>
      </c>
      <c r="I93" s="947" t="str">
        <f>HYPERLINK("https://www.google.com/maps/dir/Fund%C3%A3o+Portugal/Serra+da+Gardunha+Portugal/Castelo+Novo+Portugal/Alcongosta+Portugal","🗺 Rota Cereja do Fundão")</f>
        <v>🗺 Rota Cereja do Fundão</v>
      </c>
    </row>
    <row r="94" spans="1:9" ht="110" customHeight="1" x14ac:dyDescent="0.35">
      <c r="A94" s="336">
        <v>90</v>
      </c>
      <c r="B94" s="242" t="s">
        <v>10539</v>
      </c>
      <c r="C94" s="243" t="s">
        <v>10314</v>
      </c>
      <c r="D94" s="242" t="s">
        <v>836</v>
      </c>
      <c r="E94" s="242" t="s">
        <v>2519</v>
      </c>
      <c r="F94" s="242" t="s">
        <v>10316</v>
      </c>
      <c r="G94" s="244" t="s">
        <v>10540</v>
      </c>
      <c r="H94" s="305" t="s">
        <v>10540</v>
      </c>
      <c r="I94" s="948" t="str">
        <f>HYPERLINK("https://www.google.com/maps/dir/Convento+de+Cristo+Tomar/Castelo+de+Almourol+Portugal/Castelo+de+Pombal+Portugal/Tomar+Portugal","🗺 Rota Templários Reconquista")</f>
        <v>🗺 Rota Templários Reconquista</v>
      </c>
    </row>
    <row r="95" spans="1:9" ht="110" customHeight="1" x14ac:dyDescent="0.35">
      <c r="A95" s="338">
        <v>91</v>
      </c>
      <c r="B95" s="239" t="s">
        <v>10541</v>
      </c>
      <c r="C95" s="240" t="s">
        <v>4653</v>
      </c>
      <c r="D95" s="239" t="s">
        <v>836</v>
      </c>
      <c r="E95" s="239" t="s">
        <v>10345</v>
      </c>
      <c r="F95" s="239" t="s">
        <v>10316</v>
      </c>
      <c r="G95" s="241" t="s">
        <v>10542</v>
      </c>
      <c r="H95" s="304" t="s">
        <v>10542</v>
      </c>
      <c r="I95" s="947" t="str">
        <f>HYPERLINK("https://www.google.com/maps/dir/Museu+Francisco+Tavares+Proen%C3%A7a+J%C3%BAnior+Castelo+Branco/Ateliers+Castelo+Branco/Jardim+do+Pa%C3%A7o+Castelo+Branco","🗺 Rota Bordado Castelo Branco")</f>
        <v>🗺 Rota Bordado Castelo Branco</v>
      </c>
    </row>
    <row r="96" spans="1:9" ht="110" customHeight="1" x14ac:dyDescent="0.35">
      <c r="A96" s="336">
        <v>92</v>
      </c>
      <c r="B96" s="242" t="s">
        <v>10543</v>
      </c>
      <c r="C96" s="243" t="s">
        <v>1101</v>
      </c>
      <c r="D96" s="242" t="s">
        <v>836</v>
      </c>
      <c r="E96" s="242" t="s">
        <v>2519</v>
      </c>
      <c r="F96" s="242" t="s">
        <v>10401</v>
      </c>
      <c r="G96" s="244" t="s">
        <v>10544</v>
      </c>
      <c r="H96" s="305" t="s">
        <v>10544</v>
      </c>
      <c r="I96" s="948" t="str">
        <f>HYPERLINK("https://www.google.com/maps/dir/Lous%C3%A3+Portugal/Pi%C3%B3d%C3%A3o+Portugal/Aldeias+do+Xisto+Lous%C3%A3/Miranda+do+Corvo+Portugal","🗺 Rota Serra Lousã Aldeias Xisto")</f>
        <v>🗺 Rota Serra Lousã Aldeias Xisto</v>
      </c>
    </row>
    <row r="97" spans="1:9" ht="110" customHeight="1" x14ac:dyDescent="0.35">
      <c r="A97" s="338">
        <v>93</v>
      </c>
      <c r="B97" s="239" t="s">
        <v>10545</v>
      </c>
      <c r="C97" s="240" t="s">
        <v>10335</v>
      </c>
      <c r="D97" s="239" t="s">
        <v>836</v>
      </c>
      <c r="E97" s="239" t="s">
        <v>10345</v>
      </c>
      <c r="F97" s="239" t="s">
        <v>10401</v>
      </c>
      <c r="G97" s="241" t="s">
        <v>10546</v>
      </c>
      <c r="H97" s="304" t="s">
        <v>10546</v>
      </c>
      <c r="I97" s="947" t="str">
        <f>HYPERLINK("https://www.google.com/maps/dir/Figueira+da+Foz+Portugal/Salinas+do+Mondego+Portugal/Salinas+de+Monte+Real+Portugal/Estu%C3%A1rio+do+Mondego+Portugal","🗺 Rota Sal Salinas Mondego")</f>
        <v>🗺 Rota Sal Salinas Mondego</v>
      </c>
    </row>
    <row r="98" spans="1:9" ht="110" customHeight="1" x14ac:dyDescent="0.35">
      <c r="A98" s="336">
        <v>94</v>
      </c>
      <c r="B98" s="242" t="s">
        <v>10548</v>
      </c>
      <c r="C98" s="243" t="s">
        <v>10335</v>
      </c>
      <c r="D98" s="242" t="s">
        <v>836</v>
      </c>
      <c r="E98" s="242" t="s">
        <v>10324</v>
      </c>
      <c r="F98" s="242" t="s">
        <v>10316</v>
      </c>
      <c r="G98" s="244" t="s">
        <v>10549</v>
      </c>
      <c r="H98" s="305" t="s">
        <v>10549</v>
      </c>
      <c r="I98" s="948" t="str">
        <f>HYPERLINK("https://www.google.com/maps/dir/Viseu+Portugal/Seia+Portugal/Arganil+Portugal/G%C3%B3is+Portugal","🗺 Rota Música Tradicional Centro")</f>
        <v>🗺 Rota Música Tradicional Centro</v>
      </c>
    </row>
    <row r="99" spans="1:9" ht="110" customHeight="1" x14ac:dyDescent="0.35">
      <c r="A99" s="338">
        <v>95</v>
      </c>
      <c r="B99" s="239" t="s">
        <v>10550</v>
      </c>
      <c r="C99" s="240" t="s">
        <v>10366</v>
      </c>
      <c r="D99" s="239" t="s">
        <v>836</v>
      </c>
      <c r="E99" s="239" t="s">
        <v>10324</v>
      </c>
      <c r="F99" s="239" t="s">
        <v>10316</v>
      </c>
      <c r="G99" s="241" t="s">
        <v>10551</v>
      </c>
      <c r="H99" s="304" t="s">
        <v>10551</v>
      </c>
      <c r="I99" s="947" t="str">
        <f>HYPERLINK("https://www.google.com/maps/dir/Marinha+Grande+Portugal/Caldas+da+Rainha+Portugal/Tomar+Portugal/Abrantes+Portugal","🗺 Rota Revolução Industrial Tejo")</f>
        <v>🗺 Rota Revolução Industrial Tejo</v>
      </c>
    </row>
    <row r="100" spans="1:9" ht="110" customHeight="1" x14ac:dyDescent="0.35">
      <c r="A100" s="336">
        <v>96</v>
      </c>
      <c r="B100" s="242" t="s">
        <v>10552</v>
      </c>
      <c r="C100" s="243" t="s">
        <v>10314</v>
      </c>
      <c r="D100" s="242" t="s">
        <v>913</v>
      </c>
      <c r="E100" s="242" t="s">
        <v>2519</v>
      </c>
      <c r="F100" s="242" t="s">
        <v>10316</v>
      </c>
      <c r="G100" s="244" t="s">
        <v>10553</v>
      </c>
      <c r="H100" s="305" t="s">
        <v>10553</v>
      </c>
      <c r="I100" s="948" t="str">
        <f>HYPERLINK("https://www.google.com/maps/dir/Pal%C3%A1cio+Nacional+de+Mafra/Pal%C3%A1cio+Nacional+de+Queluz/Pal%C3%A1cio+da+Pena+Sintra/Pal%C3%A1cio+da+Ajuda+Lisboa","🗺 Rota Palácios Nacionais Lisboa")</f>
        <v>🗺 Rota Palácios Nacionais Lisboa</v>
      </c>
    </row>
    <row r="101" spans="1:9" ht="110" customHeight="1" x14ac:dyDescent="0.35">
      <c r="A101" s="338">
        <v>97</v>
      </c>
      <c r="B101" s="239" t="s">
        <v>10554</v>
      </c>
      <c r="C101" s="240" t="s">
        <v>10319</v>
      </c>
      <c r="D101" s="239" t="s">
        <v>913</v>
      </c>
      <c r="E101" s="239" t="s">
        <v>10324</v>
      </c>
      <c r="F101" s="239" t="s">
        <v>10401</v>
      </c>
      <c r="G101" s="241" t="s">
        <v>10555</v>
      </c>
      <c r="H101" s="304" t="s">
        <v>10555</v>
      </c>
      <c r="I101" s="947" t="str">
        <f>HYPERLINK("https://www.google.com/maps/dir/Mosteiro+dos+Jer%C3%B3nimos+Lisboa/Torre+de+Bel%C3%A9m+Lisboa/Convento+de+Cristo+Tomar/Mosteiro+da+Batalha+Portugal/Igreja+Jesus+Set%C3%BAbal","🗺 Rota Manuelina Lisboa")</f>
        <v>🗺 Rota Manuelina Lisboa</v>
      </c>
    </row>
    <row r="102" spans="1:9" ht="110" customHeight="1" x14ac:dyDescent="0.35">
      <c r="A102" s="336">
        <v>98</v>
      </c>
      <c r="B102" s="242" t="s">
        <v>10556</v>
      </c>
      <c r="C102" s="243" t="s">
        <v>10398</v>
      </c>
      <c r="D102" s="242" t="s">
        <v>913</v>
      </c>
      <c r="E102" s="242" t="s">
        <v>2519</v>
      </c>
      <c r="F102" s="242" t="s">
        <v>10316</v>
      </c>
      <c r="G102" s="244" t="s">
        <v>10557</v>
      </c>
      <c r="H102" s="305" t="s">
        <v>10557</v>
      </c>
      <c r="I102" s="948" t="str">
        <f>HYPERLINK("https://www.google.com/maps/dir/Cascais+Portugal/Guincho+Portugal/Cabo+da+Roca+Portugal/Arr%C3%A1bida+Set%C3%BAbal+Portugal","🗺 Rota Praias Fortalezas Lisboa")</f>
        <v>🗺 Rota Praias Fortalezas Lisboa</v>
      </c>
    </row>
    <row r="103" spans="1:9" ht="110" customHeight="1" x14ac:dyDescent="0.35">
      <c r="A103" s="338">
        <v>99</v>
      </c>
      <c r="B103" s="239" t="s">
        <v>10558</v>
      </c>
      <c r="C103" s="240" t="s">
        <v>10342</v>
      </c>
      <c r="D103" s="239" t="s">
        <v>913</v>
      </c>
      <c r="E103" s="239" t="s">
        <v>10345</v>
      </c>
      <c r="F103" s="239" t="s">
        <v>10316</v>
      </c>
      <c r="G103" s="241" t="s">
        <v>10559</v>
      </c>
      <c r="H103" s="304" t="s">
        <v>10559</v>
      </c>
      <c r="I103" s="947" t="str">
        <f>HYPERLINK("https://www.google.com/maps/dir/Freiria+Sintra+Villa+Romana/Villa+Card%C3%ADlio+Torres+Novas/Con%C3%ADmbriga+Portugal/Freixo+Porto","🗺 Rota Mosaicos Romanos Tejo")</f>
        <v>🗺 Rota Mosaicos Romanos Tejo</v>
      </c>
    </row>
    <row r="104" spans="1:9" ht="110" customHeight="1" x14ac:dyDescent="0.35">
      <c r="A104" s="336">
        <v>100</v>
      </c>
      <c r="B104" s="242" t="s">
        <v>10560</v>
      </c>
      <c r="C104" s="243" t="s">
        <v>1101</v>
      </c>
      <c r="D104" s="242" t="s">
        <v>913</v>
      </c>
      <c r="E104" s="242" t="s">
        <v>10345</v>
      </c>
      <c r="F104" s="242" t="s">
        <v>10369</v>
      </c>
      <c r="G104" s="244" t="s">
        <v>10561</v>
      </c>
      <c r="H104" s="305" t="s">
        <v>10561</v>
      </c>
      <c r="I104" s="948" t="str">
        <f>HYPERLINK("https://www.google.com/maps/dir/Alcochete+Portugal/Samouco+Portugal/Reserva+Natural+Estu%C3%A1rio+Tejo/Benavente+Portugal","🗺 Rota Estuário Tejo Aves")</f>
        <v>🗺 Rota Estuário Tejo Aves</v>
      </c>
    </row>
    <row r="105" spans="1:9" ht="110" customHeight="1" x14ac:dyDescent="0.35">
      <c r="A105" s="338">
        <v>101</v>
      </c>
      <c r="B105" s="239" t="s">
        <v>10562</v>
      </c>
      <c r="C105" s="240" t="s">
        <v>4515</v>
      </c>
      <c r="D105" s="239" t="s">
        <v>913</v>
      </c>
      <c r="E105" s="239" t="s">
        <v>10345</v>
      </c>
      <c r="F105" s="239" t="s">
        <v>10499</v>
      </c>
      <c r="G105" s="241" t="s">
        <v>10563</v>
      </c>
      <c r="H105" s="304" t="s">
        <v>10563</v>
      </c>
      <c r="I105" s="947" t="str">
        <f>HYPERLINK("https://www.google.com/maps/dir/Museu+Nacional+do+Azulejo+Lisboa/Esta%C3%A7%C3%A3o+do+Oriente+Lisboa/Igreja+S%C3%A3o+Roque+Lisboa/Pal%C3%A1cio+dos+Marqueses+da+Fronteira+Lisboa","🗺 Rota Azulejo Lisboa")</f>
        <v>🗺 Rota Azulejo Lisboa</v>
      </c>
    </row>
    <row r="106" spans="1:9" ht="110" customHeight="1" x14ac:dyDescent="0.35">
      <c r="A106" s="336">
        <v>102</v>
      </c>
      <c r="B106" s="242" t="s">
        <v>10565</v>
      </c>
      <c r="C106" s="243" t="s">
        <v>10314</v>
      </c>
      <c r="D106" s="242" t="s">
        <v>913</v>
      </c>
      <c r="E106" s="242" t="s">
        <v>10345</v>
      </c>
      <c r="F106" s="242" t="s">
        <v>10566</v>
      </c>
      <c r="G106" s="244" t="s">
        <v>10567</v>
      </c>
      <c r="H106" s="305" t="s">
        <v>10567</v>
      </c>
      <c r="I106" s="948" t="str">
        <f>HYPERLINK("https://www.google.com/maps/dir/Padr%C3%A3o+dos+Descobrimentos+Lisboa/Torre+de+Bel%C3%A9m+Lisboa/Mosteiro+dos+Jer%C3%B3nimos+Lisboa/Museu+de+Marinha+Lisboa","🗺 Rota Expansão Marítima")</f>
        <v>🗺 Rota Expansão Marítima</v>
      </c>
    </row>
    <row r="107" spans="1:9" ht="110" customHeight="1" x14ac:dyDescent="0.35">
      <c r="A107" s="338">
        <v>103</v>
      </c>
      <c r="B107" s="239" t="s">
        <v>10568</v>
      </c>
      <c r="C107" s="240" t="s">
        <v>10335</v>
      </c>
      <c r="D107" s="239" t="s">
        <v>913</v>
      </c>
      <c r="E107" s="239" t="s">
        <v>10345</v>
      </c>
      <c r="F107" s="239" t="s">
        <v>10428</v>
      </c>
      <c r="G107" s="241" t="s">
        <v>10569</v>
      </c>
      <c r="H107" s="304" t="s">
        <v>10569</v>
      </c>
      <c r="I107" s="947" t="str">
        <f>HYPERLINK("https://www.google.com/maps/dir/Museu+do+Fado+Lisboa/Mouraria+Lisboa/Alfama+Lisboa/Tasca+do+Chico+Lisboa/Tasca+Bota+Alta+Lisboa","🗺 Rota Fado Lisboa")</f>
        <v>🗺 Rota Fado Lisboa</v>
      </c>
    </row>
    <row r="108" spans="1:9" ht="110" customHeight="1" x14ac:dyDescent="0.35">
      <c r="A108" s="336">
        <v>104</v>
      </c>
      <c r="B108" s="242" t="s">
        <v>10570</v>
      </c>
      <c r="C108" s="243" t="s">
        <v>4695</v>
      </c>
      <c r="D108" s="242" t="s">
        <v>913</v>
      </c>
      <c r="E108" s="242" t="s">
        <v>10324</v>
      </c>
      <c r="F108" s="242" t="s">
        <v>10316</v>
      </c>
      <c r="G108" s="244" t="s">
        <v>10571</v>
      </c>
      <c r="H108" s="305" t="s">
        <v>10571</v>
      </c>
      <c r="I108" s="948" t="str">
        <f>HYPERLINK("https://www.google.com/maps/dir/Colares+Sintra+Portugal/Bucelas+Portugal/Arruda+dos+Vinhos+Portugal/Carcavelos+Portugal","🗺 Rota Vinho Lisboa")</f>
        <v>🗺 Rota Vinho Lisboa</v>
      </c>
    </row>
    <row r="109" spans="1:9" ht="110" customHeight="1" x14ac:dyDescent="0.35">
      <c r="A109" s="338">
        <v>105</v>
      </c>
      <c r="B109" s="239" t="s">
        <v>10572</v>
      </c>
      <c r="C109" s="240" t="s">
        <v>1101</v>
      </c>
      <c r="D109" s="239" t="s">
        <v>913</v>
      </c>
      <c r="E109" s="239" t="s">
        <v>2519</v>
      </c>
      <c r="F109" s="239" t="s">
        <v>10316</v>
      </c>
      <c r="G109" s="241" t="s">
        <v>10573</v>
      </c>
      <c r="H109" s="304" t="s">
        <v>10573</v>
      </c>
      <c r="I109" s="947" t="str">
        <f>HYPERLINK("https://www.google.com/maps/dir/Serra+de+Sintra+Portugal/Arr%C3%A1bida+Set%C3%BAbal+Portugal/Estu%C3%A1rio+do+Sado+Portugal/Estu%C3%A1rio+Tejo+Alcochete","🗺 Rota Parques Naturais Lisboa")</f>
        <v>🗺 Rota Parques Naturais Lisboa</v>
      </c>
    </row>
    <row r="110" spans="1:9" ht="110" customHeight="1" x14ac:dyDescent="0.35">
      <c r="A110" s="336">
        <v>106</v>
      </c>
      <c r="B110" s="242" t="s">
        <v>10574</v>
      </c>
      <c r="C110" s="243" t="s">
        <v>10314</v>
      </c>
      <c r="D110" s="242" t="s">
        <v>913</v>
      </c>
      <c r="E110" s="242" t="s">
        <v>10345</v>
      </c>
      <c r="F110" s="242" t="s">
        <v>10316</v>
      </c>
      <c r="G110" s="244" t="s">
        <v>10575</v>
      </c>
      <c r="H110" s="305" t="s">
        <v>10575</v>
      </c>
      <c r="I110" s="948" t="str">
        <f>HYPERLINK("https://www.google.com/maps/dir/Aqueduto+das+%C3%81guas+Livres+Lisboa/M%C3%A3e+de+%C3%81gua+Lisboa/Mafra+Portugal/Sintra+Portugal","🗺 Rota Aquedutos Fontes Lisboa")</f>
        <v>🗺 Rota Aquedutos Fontes Lisboa</v>
      </c>
    </row>
    <row r="111" spans="1:9" ht="110" customHeight="1" x14ac:dyDescent="0.35">
      <c r="A111" s="338">
        <v>107</v>
      </c>
      <c r="B111" s="239" t="s">
        <v>10576</v>
      </c>
      <c r="C111" s="240" t="s">
        <v>10335</v>
      </c>
      <c r="D111" s="239" t="s">
        <v>913</v>
      </c>
      <c r="E111" s="239" t="s">
        <v>10345</v>
      </c>
      <c r="F111" s="239" t="s">
        <v>10316</v>
      </c>
      <c r="G111" s="241" t="s">
        <v>10577</v>
      </c>
      <c r="H111" s="304" t="s">
        <v>10578</v>
      </c>
      <c r="I111" s="947" t="str">
        <f>HYPERLINK("https://www.google.com/maps/dir/Sintra+Portugal/Mafra+Portugal/Ericeira+Portugal/Est%C3%BAdio+Tobis+Lisboa","🗺 Rota Cinema Português")</f>
        <v>🗺 Rota Cinema Português</v>
      </c>
    </row>
    <row r="112" spans="1:9" ht="110" customHeight="1" x14ac:dyDescent="0.35">
      <c r="A112" s="336">
        <v>108</v>
      </c>
      <c r="B112" s="242" t="s">
        <v>10579</v>
      </c>
      <c r="C112" s="243" t="s">
        <v>10342</v>
      </c>
      <c r="D112" s="242" t="s">
        <v>853</v>
      </c>
      <c r="E112" s="242" t="s">
        <v>2519</v>
      </c>
      <c r="F112" s="242" t="s">
        <v>10316</v>
      </c>
      <c r="G112" s="244" t="s">
        <v>10580</v>
      </c>
      <c r="H112" s="305" t="s">
        <v>10580</v>
      </c>
      <c r="I112" s="948" t="str">
        <f>HYPERLINK("https://www.google.com/maps/dir/Cromeleque+dos+Almendres+%C3%89vora/Anta+Grande+do+Zambujeiro+%C3%89vora/Anta+de+Zambujeiro+%C3%89vora/Cromeleque+do+Xerez+Monsaraz","🗺 Rota Megalitismo Évora")</f>
        <v>🗺 Rota Megalitismo Évora</v>
      </c>
    </row>
    <row r="113" spans="1:9" ht="110" customHeight="1" x14ac:dyDescent="0.35">
      <c r="A113" s="338">
        <v>109</v>
      </c>
      <c r="B113" s="239" t="s">
        <v>10581</v>
      </c>
      <c r="C113" s="240" t="s">
        <v>1706</v>
      </c>
      <c r="D113" s="239" t="s">
        <v>853</v>
      </c>
      <c r="E113" s="239" t="s">
        <v>10582</v>
      </c>
      <c r="F113" s="239" t="s">
        <v>10316</v>
      </c>
      <c r="G113" s="241" t="s">
        <v>10583</v>
      </c>
      <c r="H113" s="304" t="s">
        <v>10583</v>
      </c>
      <c r="I113" s="947" t="str">
        <f>HYPERLINK("https://www.google.com/maps/dir/Observat%C3%B3rio+Astron%C3%B4mico+Cumeada+Alqueva/Dark+Sky+Alqueva+Monsaraz/Aldeia+da+Luz+Portugal/Mour%C3%A3o+Portugal","🗺 Rota Planície Estrelada Alqueva")</f>
        <v>🗺 Rota Planície Estrelada Alqueva</v>
      </c>
    </row>
    <row r="114" spans="1:9" ht="110" customHeight="1" x14ac:dyDescent="0.35">
      <c r="A114" s="336">
        <v>110</v>
      </c>
      <c r="B114" s="242" t="s">
        <v>10585</v>
      </c>
      <c r="C114" s="243" t="s">
        <v>10363</v>
      </c>
      <c r="D114" s="242" t="s">
        <v>853</v>
      </c>
      <c r="E114" s="242" t="s">
        <v>2519</v>
      </c>
      <c r="F114" s="242" t="s">
        <v>10316</v>
      </c>
      <c r="G114" s="242" t="s">
        <v>10586</v>
      </c>
      <c r="H114" s="305" t="s">
        <v>10586</v>
      </c>
      <c r="I114" s="948" t="str">
        <f>HYPERLINK("https://www.google.com/maps/dir/Reguengos+de+Monsaraz+Portugal/Moura+Portugal/Serpa+Portugal/Beja+Portugal","🗺 Rota Azeite Alentejo")</f>
        <v>🗺 Rota Azeite Alentejo</v>
      </c>
    </row>
    <row r="115" spans="1:9" ht="110" customHeight="1" x14ac:dyDescent="0.35">
      <c r="A115" s="338">
        <v>111</v>
      </c>
      <c r="B115" s="239" t="s">
        <v>10588</v>
      </c>
      <c r="C115" s="240" t="s">
        <v>10366</v>
      </c>
      <c r="D115" s="239" t="s">
        <v>853</v>
      </c>
      <c r="E115" s="239" t="s">
        <v>2519</v>
      </c>
      <c r="F115" s="239" t="s">
        <v>10316</v>
      </c>
      <c r="G115" s="241" t="s">
        <v>10589</v>
      </c>
      <c r="H115" s="304" t="s">
        <v>10589</v>
      </c>
      <c r="I115" s="947" t="str">
        <f>HYPERLINK("https://www.google.com/maps/dir/Coruche+Portugal/Herdade+do+Freixo+do+Meio+Montemor/Montargil+Portugal/Museu+da+Corti%C3%A7a+Coruche","🗺 Rota Cortiça Alentejo")</f>
        <v>🗺 Rota Cortiça Alentejo</v>
      </c>
    </row>
    <row r="116" spans="1:9" ht="110" customHeight="1" x14ac:dyDescent="0.35">
      <c r="A116" s="336">
        <v>112</v>
      </c>
      <c r="B116" s="242" t="s">
        <v>10590</v>
      </c>
      <c r="C116" s="243" t="s">
        <v>1101</v>
      </c>
      <c r="D116" s="242" t="s">
        <v>853</v>
      </c>
      <c r="E116" s="242" t="s">
        <v>2519</v>
      </c>
      <c r="F116" s="242" t="s">
        <v>10401</v>
      </c>
      <c r="G116" s="244" t="s">
        <v>10591</v>
      </c>
      <c r="H116" s="305" t="s">
        <v>10591</v>
      </c>
      <c r="I116" s="948" t="str">
        <f>HYPERLINK("https://www.google.com/maps/dir/Castro+Verde+Portugal/Serpa+Portugal/Moura+Portugal/Beja+Portugal","🗺 Rota Aves Planície")</f>
        <v>🗺 Rota Aves Planície</v>
      </c>
    </row>
    <row r="117" spans="1:9" ht="110" customHeight="1" x14ac:dyDescent="0.35">
      <c r="A117" s="338">
        <v>113</v>
      </c>
      <c r="B117" s="239" t="s">
        <v>10592</v>
      </c>
      <c r="C117" s="240" t="s">
        <v>10335</v>
      </c>
      <c r="D117" s="239" t="s">
        <v>853</v>
      </c>
      <c r="E117" s="239" t="s">
        <v>2519</v>
      </c>
      <c r="F117" s="239" t="s">
        <v>10316</v>
      </c>
      <c r="G117" s="241" t="s">
        <v>10593</v>
      </c>
      <c r="H117" s="304" t="s">
        <v>10593</v>
      </c>
      <c r="I117" s="947" t="str">
        <f>HYPERLINK("https://www.google.com/maps/dir/%C3%89vora+Portugal/Beja+Portugal/Cuba+Portugal/Vidigueira+Portugal","🗺 Rota Cante Alentejano")</f>
        <v>🗺 Rota Cante Alentejano</v>
      </c>
    </row>
    <row r="118" spans="1:9" ht="110" customHeight="1" x14ac:dyDescent="0.35">
      <c r="A118" s="336">
        <v>114</v>
      </c>
      <c r="B118" s="242" t="s">
        <v>10594</v>
      </c>
      <c r="C118" s="243" t="s">
        <v>10363</v>
      </c>
      <c r="D118" s="242" t="s">
        <v>853</v>
      </c>
      <c r="E118" s="242" t="s">
        <v>10336</v>
      </c>
      <c r="F118" s="242" t="s">
        <v>10316</v>
      </c>
      <c r="G118" s="244" t="s">
        <v>10595</v>
      </c>
      <c r="H118" s="305" t="s">
        <v>10595</v>
      </c>
      <c r="I118" s="948" t="str">
        <f>HYPERLINK("https://www.google.com/maps/dir/Herdade+do+Espor%C3%A3o+Alentejo/Herdade+Malhadinha+Nova+Beja/Herdade+da+Comenda+da+Igreja+Montemor/Herdade+dos+Grous+Beja","🗺 Rota Herdades Alentejo Rural")</f>
        <v>🗺 Rota Herdades Alentejo Rural</v>
      </c>
    </row>
    <row r="119" spans="1:9" ht="110" customHeight="1" x14ac:dyDescent="0.35">
      <c r="A119" s="338">
        <v>115</v>
      </c>
      <c r="B119" s="239" t="s">
        <v>10596</v>
      </c>
      <c r="C119" s="240" t="s">
        <v>10314</v>
      </c>
      <c r="D119" s="239" t="s">
        <v>853</v>
      </c>
      <c r="E119" s="239" t="s">
        <v>10336</v>
      </c>
      <c r="F119" s="239" t="s">
        <v>10316</v>
      </c>
      <c r="G119" s="241" t="s">
        <v>10597</v>
      </c>
      <c r="H119" s="304" t="s">
        <v>10597</v>
      </c>
      <c r="I119" s="947" t="str">
        <f>HYPERLINK("https://www.google.com/maps/dir/Marv%C3%A3o+Portugal/Castelo+de+Vide+Portugal/Portalegre+Portugal/Elvas+Portugal/%C3%89vora+Portugal/Serpa+Portugal/M%C3%A9rtola+Portugal","🗺 Rota Castelos Medievais Alentejo")</f>
        <v>🗺 Rota Castelos Medievais Alentejo</v>
      </c>
    </row>
    <row r="120" spans="1:9" ht="110" customHeight="1" x14ac:dyDescent="0.35">
      <c r="A120" s="336">
        <v>116</v>
      </c>
      <c r="B120" s="242" t="s">
        <v>10598</v>
      </c>
      <c r="C120" s="243" t="s">
        <v>10335</v>
      </c>
      <c r="D120" s="242" t="s">
        <v>853</v>
      </c>
      <c r="E120" s="242" t="s">
        <v>10336</v>
      </c>
      <c r="F120" s="242" t="s">
        <v>10316</v>
      </c>
      <c r="G120" s="244" t="s">
        <v>10599</v>
      </c>
      <c r="H120" s="305" t="s">
        <v>10599</v>
      </c>
      <c r="I120" s="948" t="str">
        <f>HYPERLINK("https://www.google.com/maps/dir/Monsaraz+Portugal/M%C3%A9rtola+Portugal/Moura+Portugal/Barrancos+Portugal/Mour%C3%A3o+Portugal","🗺 Rota Aldeias Brancas Alentejo")</f>
        <v>🗺 Rota Aldeias Brancas Alentejo</v>
      </c>
    </row>
    <row r="121" spans="1:9" ht="110" customHeight="1" x14ac:dyDescent="0.35">
      <c r="A121" s="338">
        <v>117</v>
      </c>
      <c r="B121" s="239" t="s">
        <v>10600</v>
      </c>
      <c r="C121" s="240" t="s">
        <v>4653</v>
      </c>
      <c r="D121" s="239" t="s">
        <v>853</v>
      </c>
      <c r="E121" s="239" t="s">
        <v>10345</v>
      </c>
      <c r="F121" s="239" t="s">
        <v>10316</v>
      </c>
      <c r="G121" s="241" t="s">
        <v>10601</v>
      </c>
      <c r="H121" s="304" t="s">
        <v>10601</v>
      </c>
      <c r="I121" s="947" t="str">
        <f>HYPERLINK("https://www.google.com/maps/dir/Estremoz+Portugal/Borba+Portugal/Vila+Vi%C3%A7osa+Portugal/Pedreiras+M%C3%A1rmores+Alentejo","🗺 Rota Mármore Estremoz")</f>
        <v>🗺 Rota Mármore Estremoz</v>
      </c>
    </row>
    <row r="122" spans="1:9" ht="110" customHeight="1" x14ac:dyDescent="0.35">
      <c r="A122" s="336">
        <v>118</v>
      </c>
      <c r="B122" s="242" t="s">
        <v>10602</v>
      </c>
      <c r="C122" s="243" t="s">
        <v>10342</v>
      </c>
      <c r="D122" s="242" t="s">
        <v>853</v>
      </c>
      <c r="E122" s="242" t="s">
        <v>2519</v>
      </c>
      <c r="F122" s="242" t="s">
        <v>10316</v>
      </c>
      <c r="G122" s="244" t="s">
        <v>10603</v>
      </c>
      <c r="H122" s="305" t="s">
        <v>10603</v>
      </c>
      <c r="I122" s="948" t="str">
        <f>HYPERLINK("https://www.google.com/maps/dir/Gruta+do+Escoural+Montemor/Cromeleque+dos+Almendres+%C3%89vora/Anta+Zambujeiro+%C3%89vora/S%C3%A3o+Br%C3%A1s+de+Alportel+Portugal","🗺 Rota Pré-História Alentejo")</f>
        <v>🗺 Rota Pré-História Alentejo</v>
      </c>
    </row>
    <row r="123" spans="1:9" ht="110" customHeight="1" x14ac:dyDescent="0.35">
      <c r="A123" s="338">
        <v>119</v>
      </c>
      <c r="B123" s="239" t="s">
        <v>10604</v>
      </c>
      <c r="C123" s="240" t="s">
        <v>1101</v>
      </c>
      <c r="D123" s="239" t="s">
        <v>853</v>
      </c>
      <c r="E123" s="239" t="s">
        <v>2519</v>
      </c>
      <c r="F123" s="239" t="s">
        <v>10350</v>
      </c>
      <c r="G123" s="241" t="s">
        <v>10605</v>
      </c>
      <c r="H123" s="304" t="s">
        <v>10605</v>
      </c>
      <c r="I123" s="947" t="str">
        <f>HYPERLINK("https://www.google.com/maps/dir/Alqueva+Portugal/Monsaraz+Portugal/Aldeia+da+Luz+Portugal/Mour%C3%A3o+Portugal","🗺 Rota Espelhos Água Barragens")</f>
        <v>🗺 Rota Espelhos Água Barragens</v>
      </c>
    </row>
    <row r="124" spans="1:9" ht="110" customHeight="1" x14ac:dyDescent="0.35">
      <c r="A124" s="336">
        <v>120</v>
      </c>
      <c r="B124" s="242" t="s">
        <v>10606</v>
      </c>
      <c r="C124" s="243" t="s">
        <v>4515</v>
      </c>
      <c r="D124" s="242" t="s">
        <v>853</v>
      </c>
      <c r="E124" s="242" t="s">
        <v>10324</v>
      </c>
      <c r="F124" s="242" t="s">
        <v>10316</v>
      </c>
      <c r="G124" s="244" t="s">
        <v>10607</v>
      </c>
      <c r="H124" s="305" t="s">
        <v>10607</v>
      </c>
      <c r="I124" s="948" t="str">
        <f>HYPERLINK("https://www.google.com/maps/dir/%C3%89vora+Portugal/Elvas+Portugal/Estremoz+Portugal/Portalegre+Portugal","🗺 Rota Laços Azuis Azulejo Alentejo")</f>
        <v>🗺 Rota Laços Azuis Azulejo Alentejo</v>
      </c>
    </row>
    <row r="125" spans="1:9" ht="110" customHeight="1" x14ac:dyDescent="0.35">
      <c r="A125" s="338">
        <v>121</v>
      </c>
      <c r="B125" s="239" t="s">
        <v>10608</v>
      </c>
      <c r="C125" s="240" t="s">
        <v>10335</v>
      </c>
      <c r="D125" s="239" t="s">
        <v>853</v>
      </c>
      <c r="E125" s="239" t="s">
        <v>10324</v>
      </c>
      <c r="F125" s="239" t="s">
        <v>10316</v>
      </c>
      <c r="G125" s="241" t="s">
        <v>10609</v>
      </c>
      <c r="H125" s="304" t="s">
        <v>10609</v>
      </c>
      <c r="I125" s="947" t="str">
        <f>HYPERLINK("https://www.google.com/maps/dir/Coudelaria+de+Alter+do+Ch%C3%A3o+Portugal/Alter+do+Ch%C3%A3o+Portugal/Goleg%C3%A3+Portugal/Coudelaria+Nacional+Santar%C3%A9m","🗺 Rota Cavalos Lusitano")</f>
        <v>🗺 Rota Cavalos Lusitano</v>
      </c>
    </row>
    <row r="126" spans="1:9" ht="110" customHeight="1" x14ac:dyDescent="0.35">
      <c r="A126" s="336">
        <v>122</v>
      </c>
      <c r="B126" s="242" t="s">
        <v>10610</v>
      </c>
      <c r="C126" s="243" t="s">
        <v>4653</v>
      </c>
      <c r="D126" s="242" t="s">
        <v>853</v>
      </c>
      <c r="E126" s="242" t="s">
        <v>10345</v>
      </c>
      <c r="F126" s="242" t="s">
        <v>10316</v>
      </c>
      <c r="G126" s="244" t="s">
        <v>10611</v>
      </c>
      <c r="H126" s="305" t="s">
        <v>10611</v>
      </c>
      <c r="I126" s="948" t="str">
        <f>HYPERLINK("https://www.google.com/maps/dir/Reguengos+de+Monsaraz+Portugal/Cuba+Portugal/Alc%C3%A1cer+do+Sal+Portugal/Mora+Portugal","🗺 Rota Linho Tecidos Alentejo")</f>
        <v>🗺 Rota Linho Tecidos Alentejo</v>
      </c>
    </row>
    <row r="127" spans="1:9" ht="110" customHeight="1" x14ac:dyDescent="0.35">
      <c r="A127" s="338">
        <v>123</v>
      </c>
      <c r="B127" s="239" t="s">
        <v>10613</v>
      </c>
      <c r="C127" s="240" t="s">
        <v>1101</v>
      </c>
      <c r="D127" s="239" t="s">
        <v>767</v>
      </c>
      <c r="E127" s="239" t="s">
        <v>2519</v>
      </c>
      <c r="F127" s="239" t="s">
        <v>10401</v>
      </c>
      <c r="G127" s="241" t="s">
        <v>10614</v>
      </c>
      <c r="H127" s="304" t="s">
        <v>10614</v>
      </c>
      <c r="I127" s="947" t="str">
        <f>HYPERLINK("https://www.google.com/maps/dir/Monchique+Portugal/Alte+Portugal/Queren%C3%A7a+Portugal/Loul%C3%A9+Portugal","🗺 Rota Barrocal Algarvio")</f>
        <v>🗺 Rota Barrocal Algarvio</v>
      </c>
    </row>
    <row r="128" spans="1:9" ht="110" customHeight="1" x14ac:dyDescent="0.35">
      <c r="A128" s="336">
        <v>124</v>
      </c>
      <c r="B128" s="242" t="s">
        <v>10615</v>
      </c>
      <c r="C128" s="243" t="s">
        <v>10314</v>
      </c>
      <c r="D128" s="242" t="s">
        <v>767</v>
      </c>
      <c r="E128" s="242" t="s">
        <v>2519</v>
      </c>
      <c r="F128" s="242" t="s">
        <v>10316</v>
      </c>
      <c r="G128" s="244" t="s">
        <v>10616</v>
      </c>
      <c r="H128" s="305" t="s">
        <v>10616</v>
      </c>
      <c r="I128" s="948" t="str">
        <f>HYPERLINK("https://www.google.com/maps/dir/Silves+Portugal/Loul%C3%A9+Portugal/Faro+Portugal/Tavira+Portugal","🗺 Rota Islâmica Algarve")</f>
        <v>🗺 Rota Islâmica Algarve</v>
      </c>
    </row>
    <row r="129" spans="1:9" ht="110" customHeight="1" x14ac:dyDescent="0.35">
      <c r="A129" s="338">
        <v>125</v>
      </c>
      <c r="B129" s="239" t="s">
        <v>10617</v>
      </c>
      <c r="C129" s="240" t="s">
        <v>10335</v>
      </c>
      <c r="D129" s="239" t="s">
        <v>767</v>
      </c>
      <c r="E129" s="239" t="s">
        <v>2519</v>
      </c>
      <c r="F129" s="239" t="s">
        <v>10316</v>
      </c>
      <c r="G129" s="241" t="s">
        <v>10618</v>
      </c>
      <c r="H129" s="304" t="s">
        <v>10618</v>
      </c>
      <c r="I129" s="947" t="str">
        <f>HYPERLINK("https://www.google.com/maps/dir/Cabo+de+S%C3%A3o+Vicente+Sagres/Farol+do+Cabo+Carvoeiro/Farol+da+Ponta+do+Altar/Farol+de+Santa+Maria+Faro","🗺 Rota Faróis Algarve")</f>
        <v>🗺 Rota Faróis Algarve</v>
      </c>
    </row>
    <row r="130" spans="1:9" ht="110" customHeight="1" x14ac:dyDescent="0.35">
      <c r="A130" s="336">
        <v>126</v>
      </c>
      <c r="B130" s="242" t="s">
        <v>10619</v>
      </c>
      <c r="C130" s="243" t="s">
        <v>1101</v>
      </c>
      <c r="D130" s="242" t="s">
        <v>767</v>
      </c>
      <c r="E130" s="242" t="s">
        <v>2519</v>
      </c>
      <c r="F130" s="242" t="s">
        <v>10620</v>
      </c>
      <c r="G130" s="244" t="s">
        <v>10621</v>
      </c>
      <c r="H130" s="305" t="s">
        <v>10621</v>
      </c>
      <c r="I130" s="948" t="str">
        <f>HYPERLINK("https://www.google.com/maps/dir/Olh%C3%A3o+Portugal/Ilha+Culatra+Olh%C3%A3o/Ilha+Armona+Olh%C3%A3o/Fuseta+Portugal/Cacela+Velha+Portugal","🗺 Rota Ria Formosa Ilhas Barreira")</f>
        <v>🗺 Rota Ria Formosa Ilhas Barreira</v>
      </c>
    </row>
    <row r="131" spans="1:9" ht="110" customHeight="1" x14ac:dyDescent="0.35">
      <c r="A131" s="338">
        <v>127</v>
      </c>
      <c r="B131" s="239" t="s">
        <v>10622</v>
      </c>
      <c r="C131" s="240" t="s">
        <v>10363</v>
      </c>
      <c r="D131" s="239" t="s">
        <v>767</v>
      </c>
      <c r="E131" s="239" t="s">
        <v>10345</v>
      </c>
      <c r="F131" s="239" t="s">
        <v>10316</v>
      </c>
      <c r="G131" s="241" t="s">
        <v>10623</v>
      </c>
      <c r="H131" s="304" t="s">
        <v>10623</v>
      </c>
      <c r="I131" s="947" t="str">
        <f>HYPERLINK("https://www.google.com/maps/dir/Silves+Portugal/S%C3%A3o+Br%C3%A1s+de+Alportel+Portugal/Loul%C3%A9+Portugal/Tavira+Portugal","🗺 Rota Alfarrobais")</f>
        <v>🗺 Rota Alfarrobais</v>
      </c>
    </row>
    <row r="132" spans="1:9" ht="110" customHeight="1" x14ac:dyDescent="0.35">
      <c r="A132" s="336">
        <v>128</v>
      </c>
      <c r="B132" s="242" t="s">
        <v>10624</v>
      </c>
      <c r="C132" s="243" t="s">
        <v>10314</v>
      </c>
      <c r="D132" s="242" t="s">
        <v>767</v>
      </c>
      <c r="E132" s="242" t="s">
        <v>10345</v>
      </c>
      <c r="F132" s="242" t="s">
        <v>10316</v>
      </c>
      <c r="G132" s="244" t="s">
        <v>10625</v>
      </c>
      <c r="H132" s="305" t="s">
        <v>10626</v>
      </c>
      <c r="I132" s="948" t="str">
        <f>HYPERLINK("https://www.google.com/maps/dir/Lagos+Portugal/Portim%C3%A3o+Portugal/Silves+Portugal/Faro+Portugal","🗺 Rota Quilombos Resistência")</f>
        <v>🗺 Rota Quilombos Resistência</v>
      </c>
    </row>
    <row r="133" spans="1:9" ht="110" customHeight="1" x14ac:dyDescent="0.35">
      <c r="A133" s="338">
        <v>129</v>
      </c>
      <c r="B133" s="239" t="s">
        <v>10627</v>
      </c>
      <c r="C133" s="240" t="s">
        <v>10363</v>
      </c>
      <c r="D133" s="239" t="s">
        <v>767</v>
      </c>
      <c r="E133" s="239" t="s">
        <v>10345</v>
      </c>
      <c r="F133" s="239" t="s">
        <v>10316</v>
      </c>
      <c r="G133" s="241" t="s">
        <v>10628</v>
      </c>
      <c r="H133" s="304" t="s">
        <v>10628</v>
      </c>
      <c r="I133" s="947" t="str">
        <f>HYPERLINK("https://www.google.com/maps/dir/Sagres+Portugal/Lagos+Portugal/Portim%C3%A3o+Portugal/Ria+Formosa+Olh%C3%A3o+Portugal","🗺 Rota Algas Marisquagem")</f>
        <v>🗺 Rota Algas Marisquagem</v>
      </c>
    </row>
    <row r="134" spans="1:9" ht="110" customHeight="1" x14ac:dyDescent="0.35">
      <c r="A134" s="336">
        <v>130</v>
      </c>
      <c r="B134" s="242" t="s">
        <v>10629</v>
      </c>
      <c r="C134" s="243" t="s">
        <v>10335</v>
      </c>
      <c r="D134" s="242" t="s">
        <v>767</v>
      </c>
      <c r="E134" s="242" t="s">
        <v>10324</v>
      </c>
      <c r="F134" s="242" t="s">
        <v>10316</v>
      </c>
      <c r="G134" s="244" t="s">
        <v>10630</v>
      </c>
      <c r="H134" s="305" t="s">
        <v>10630</v>
      </c>
      <c r="I134" s="948" t="str">
        <f>HYPERLINK("https://www.google.com/maps/dir/Loul%C3%A9+Portugal/Faro+Portugal/Portim%C3%A3o+Portugal/Silves+Portugal","🗺 Rota Carnaval Festas Populares")</f>
        <v>🗺 Rota Carnaval Festas Populares</v>
      </c>
    </row>
    <row r="135" spans="1:9" ht="110" customHeight="1" x14ac:dyDescent="0.35">
      <c r="A135" s="338">
        <v>131</v>
      </c>
      <c r="B135" s="239" t="s">
        <v>10631</v>
      </c>
      <c r="C135" s="240" t="s">
        <v>1757</v>
      </c>
      <c r="D135" s="239" t="s">
        <v>767</v>
      </c>
      <c r="E135" s="239" t="s">
        <v>2519</v>
      </c>
      <c r="F135" s="239" t="s">
        <v>10401</v>
      </c>
      <c r="G135" s="241" t="s">
        <v>10632</v>
      </c>
      <c r="H135" s="304" t="s">
        <v>10632</v>
      </c>
      <c r="I135" s="947" t="str">
        <f>HYPERLINK("https://www.google.com/maps/dir/Monchique+Portugal/F%C3%B3ia+Monchique+Portugal/Caldas+de+Monchique+Portugal/Aljezur+Portugal","🗺 Rota Serra de Monchique")</f>
        <v>🗺 Rota Serra de Monchique</v>
      </c>
    </row>
    <row r="136" spans="1:9" ht="110" customHeight="1" x14ac:dyDescent="0.35">
      <c r="A136" s="336">
        <v>132</v>
      </c>
      <c r="B136" s="242" t="s">
        <v>10633</v>
      </c>
      <c r="C136" s="243" t="s">
        <v>1101</v>
      </c>
      <c r="D136" s="242" t="s">
        <v>767</v>
      </c>
      <c r="E136" s="242" t="s">
        <v>2519</v>
      </c>
      <c r="F136" s="242" t="s">
        <v>10350</v>
      </c>
      <c r="G136" s="244" t="s">
        <v>10634</v>
      </c>
      <c r="H136" s="305" t="s">
        <v>10634</v>
      </c>
      <c r="I136" s="948" t="str">
        <f>HYPERLINK("https://www.google.com/maps/dir/Alcoutim+Portugal/Castro+Marim+Portugal/M%C3%A9rtola+Portugal/Pulo+do+Lobo+M%C3%A9rtola","🗺 Rota Rios Algarve Guadiana")</f>
        <v>🗺 Rota Rios Algarve Guadiana</v>
      </c>
    </row>
    <row r="137" spans="1:9" ht="110" customHeight="1" x14ac:dyDescent="0.35">
      <c r="A137" s="338">
        <v>133</v>
      </c>
      <c r="B137" s="239" t="s">
        <v>10635</v>
      </c>
      <c r="C137" s="240" t="s">
        <v>1101</v>
      </c>
      <c r="D137" s="239" t="s">
        <v>524</v>
      </c>
      <c r="E137" s="239" t="s">
        <v>10636</v>
      </c>
      <c r="F137" s="239" t="s">
        <v>10388</v>
      </c>
      <c r="G137" s="241" t="s">
        <v>10637</v>
      </c>
      <c r="H137" s="304" t="s">
        <v>10637</v>
      </c>
      <c r="I137" s="947" t="str">
        <f>HYPERLINK("https://www.google.com/maps/dir/Levada+do+Caldeir%C3%A3o+Verde+Madeira/Levada+das+25+Fontes+Madeira/Levada+do+Norte+Madeira/Levada+do+Rei+Madeira","🗺 Rota Levadas Históricas Madeira")</f>
        <v>🗺 Rota Levadas Históricas Madeira</v>
      </c>
    </row>
    <row r="138" spans="1:9" ht="110" customHeight="1" x14ac:dyDescent="0.35">
      <c r="A138" s="336">
        <v>134</v>
      </c>
      <c r="B138" s="242" t="s">
        <v>10638</v>
      </c>
      <c r="C138" s="243" t="s">
        <v>1757</v>
      </c>
      <c r="D138" s="242" t="s">
        <v>524</v>
      </c>
      <c r="E138" s="242" t="s">
        <v>10336</v>
      </c>
      <c r="F138" s="242" t="s">
        <v>10388</v>
      </c>
      <c r="G138" s="244" t="s">
        <v>10639</v>
      </c>
      <c r="H138" s="305" t="s">
        <v>10639</v>
      </c>
      <c r="I138" s="948" t="str">
        <f>HYPERLINK("https://www.google.com/maps/dir/Pico+do+Arieiro+Madeira/Pico+Ruivo+Madeira/Pico+Grande+Madeira/Encumeada+Madeira","🗺 Rota Picos Cumes Madeira")</f>
        <v>🗺 Rota Picos Cumes Madeira</v>
      </c>
    </row>
    <row r="139" spans="1:9" ht="110" customHeight="1" x14ac:dyDescent="0.35">
      <c r="A139" s="338">
        <v>135</v>
      </c>
      <c r="B139" s="239" t="s">
        <v>10641</v>
      </c>
      <c r="C139" s="240" t="s">
        <v>4653</v>
      </c>
      <c r="D139" s="239" t="s">
        <v>524</v>
      </c>
      <c r="E139" s="239" t="s">
        <v>10345</v>
      </c>
      <c r="F139" s="239" t="s">
        <v>10316</v>
      </c>
      <c r="G139" s="241" t="s">
        <v>10642</v>
      </c>
      <c r="H139" s="304" t="s">
        <v>10642</v>
      </c>
      <c r="I139" s="947" t="str">
        <f>HYPERLINK("https://www.google.com/maps/dir/Museu+do+Bordado+Madeira+Funchal/Camacha+Vime+Madeira/Machico+Madeira/Santana+Madeira","🗺 Rota Bordado Vime Madeira")</f>
        <v>🗺 Rota Bordado Vime Madeira</v>
      </c>
    </row>
    <row r="140" spans="1:9" ht="110" customHeight="1" x14ac:dyDescent="0.35">
      <c r="A140" s="336">
        <v>136</v>
      </c>
      <c r="B140" s="242" t="s">
        <v>10643</v>
      </c>
      <c r="C140" s="243" t="s">
        <v>4695</v>
      </c>
      <c r="D140" s="242" t="s">
        <v>524</v>
      </c>
      <c r="E140" s="242" t="s">
        <v>2519</v>
      </c>
      <c r="F140" s="242" t="s">
        <v>10316</v>
      </c>
      <c r="G140" s="244" t="s">
        <v>10644</v>
      </c>
      <c r="H140" s="305" t="s">
        <v>10644</v>
      </c>
      <c r="I140" s="948" t="str">
        <f>HYPERLINK("https://www.google.com/maps/dir/C%C3%A2mara+de+Lobos+Madeira/Estreito+de+C%C3%A2mara+de+Lobos+Madeira/Blandy+Wine+Lodge+Funchal/Jardim+do+Mar+Madeira","🗺 Rota Poios Vinha Madeira")</f>
        <v>🗺 Rota Poios Vinha Madeira</v>
      </c>
    </row>
    <row r="141" spans="1:9" ht="110" customHeight="1" x14ac:dyDescent="0.35">
      <c r="A141" s="338">
        <v>137</v>
      </c>
      <c r="B141" s="239" t="s">
        <v>10645</v>
      </c>
      <c r="C141" s="240" t="s">
        <v>10314</v>
      </c>
      <c r="D141" s="239" t="s">
        <v>524</v>
      </c>
      <c r="E141" s="239" t="s">
        <v>10345</v>
      </c>
      <c r="F141" s="239" t="s">
        <v>10428</v>
      </c>
      <c r="G141" s="241" t="s">
        <v>10646</v>
      </c>
      <c r="H141" s="304" t="s">
        <v>10646</v>
      </c>
      <c r="I141" s="947" t="str">
        <f>HYPERLINK("https://www.google.com/maps/dir/Mercado+dos+Lavradores+Funchal/S%C3%A9+do+Funchal+Madeira/Fortaleza+S%C3%A3o+Tiago+Funchal/Monte+Palace+Madeira","🗺 Rota Sítios Históricos Funchal")</f>
        <v>🗺 Rota Sítios Históricos Funchal</v>
      </c>
    </row>
    <row r="142" spans="1:9" ht="110" customHeight="1" x14ac:dyDescent="0.35">
      <c r="A142" s="336">
        <v>138</v>
      </c>
      <c r="B142" s="242" t="s">
        <v>10647</v>
      </c>
      <c r="C142" s="243" t="s">
        <v>10398</v>
      </c>
      <c r="D142" s="242" t="s">
        <v>524</v>
      </c>
      <c r="E142" s="242" t="s">
        <v>2519</v>
      </c>
      <c r="F142" s="242" t="s">
        <v>10316</v>
      </c>
      <c r="G142" s="244" t="s">
        <v>10648</v>
      </c>
      <c r="H142" s="305" t="s">
        <v>10648</v>
      </c>
      <c r="I142" s="948" t="str">
        <f>HYPERLINK("https://www.google.com/maps/dir/Cabo+Gir%C3%A3o+Madeira/Miradouro+do+Pared%C3%A3o+Madeira/Ponta+de+S%C3%A3o+Louren%C3%A7o+Madeira/Miradouro+do+Guindaste+Madeira","🗺 Rota Falésias Miradouros Madeira")</f>
        <v>🗺 Rota Falésias Miradouros Madeira</v>
      </c>
    </row>
    <row r="143" spans="1:9" ht="110" customHeight="1" x14ac:dyDescent="0.35">
      <c r="A143" s="338">
        <v>139</v>
      </c>
      <c r="B143" s="239" t="s">
        <v>10649</v>
      </c>
      <c r="C143" s="240" t="s">
        <v>10335</v>
      </c>
      <c r="D143" s="239" t="s">
        <v>524</v>
      </c>
      <c r="E143" s="239" t="s">
        <v>2519</v>
      </c>
      <c r="F143" s="239" t="s">
        <v>10316</v>
      </c>
      <c r="G143" s="241" t="s">
        <v>10650</v>
      </c>
      <c r="H143" s="304" t="s">
        <v>10650</v>
      </c>
      <c r="I143" s="947" t="str">
        <f>HYPERLINK("https://www.google.com/maps/dir/Funchal+Madeira/Santana+Madeira/C%C3%A2mara+de+Lobos+Madeira/Monte+Madeira","🗺 Rota Cultura Festas Madeira")</f>
        <v>🗺 Rota Cultura Festas Madeira</v>
      </c>
    </row>
    <row r="144" spans="1:9" ht="110" customHeight="1" x14ac:dyDescent="0.35">
      <c r="A144" s="336">
        <v>140</v>
      </c>
      <c r="B144" s="242" t="s">
        <v>10651</v>
      </c>
      <c r="C144" s="243" t="s">
        <v>1101</v>
      </c>
      <c r="D144" s="242" t="s">
        <v>524</v>
      </c>
      <c r="E144" s="242" t="s">
        <v>2519</v>
      </c>
      <c r="F144" s="242" t="s">
        <v>10401</v>
      </c>
      <c r="G144" s="244" t="s">
        <v>10652</v>
      </c>
      <c r="H144" s="305" t="s">
        <v>10652</v>
      </c>
      <c r="I144" s="948" t="str">
        <f>HYPERLINK("https://www.google.com/maps/dir/Ribeiro+Frio+Madeira/Fanal+Porto+Moniz+Madeira/Encumeada+Madeira/Pico+do+Arieiro+Madeira","🗺 Rota Fauna Flora Endémica Madeira")</f>
        <v>🗺 Rota Fauna Flora Endémica Madeira</v>
      </c>
    </row>
    <row r="145" spans="1:9" ht="110" customHeight="1" x14ac:dyDescent="0.35">
      <c r="A145" s="338">
        <v>141</v>
      </c>
      <c r="B145" s="239" t="s">
        <v>10653</v>
      </c>
      <c r="C145" s="240" t="s">
        <v>10385</v>
      </c>
      <c r="D145" s="239" t="s">
        <v>522</v>
      </c>
      <c r="E145" s="239" t="s">
        <v>10654</v>
      </c>
      <c r="F145" s="239" t="s">
        <v>10655</v>
      </c>
      <c r="G145" s="241" t="s">
        <v>10656</v>
      </c>
      <c r="H145" s="304" t="s">
        <v>10656</v>
      </c>
      <c r="I145" s="947" t="str">
        <f>HYPERLINK("https://www.google.com/maps/dir/Sete+Cidades+S%C3%A3o+Miguel+A%C3%A7ores/Furnas+S%C3%A3o+Miguel+A%C3%A7ores/Caldeira+Faial+A%C3%A7ores/Caldeira+Graciosa+A%C3%A7ores/Pico+A%C3%A7ores","🗺 Rota Vulcões Activos Açores")</f>
        <v>🗺 Rota Vulcões Activos Açores</v>
      </c>
    </row>
    <row r="146" spans="1:9" ht="110" customHeight="1" x14ac:dyDescent="0.35">
      <c r="A146" s="336">
        <v>142</v>
      </c>
      <c r="B146" s="242" t="s">
        <v>10657</v>
      </c>
      <c r="C146" s="243" t="s">
        <v>1101</v>
      </c>
      <c r="D146" s="242" t="s">
        <v>522</v>
      </c>
      <c r="E146" s="242" t="s">
        <v>10336</v>
      </c>
      <c r="F146" s="242" t="s">
        <v>6767</v>
      </c>
      <c r="G146" s="244" t="s">
        <v>10658</v>
      </c>
      <c r="H146" s="305" t="s">
        <v>10658</v>
      </c>
      <c r="I146" s="948" t="str">
        <f>HYPERLINK("https://www.google.com/maps/dir/Lajes+do+Pico+A%C3%A7ores/Madalena+Pico+A%C3%A7ores/Vila+Franca+do+Campo+S%C3%A3o+Miguel/Horta+Faial+A%C3%A7ores","🗺 Rota Cetáceos Açores")</f>
        <v>🗺 Rota Cetáceos Açores</v>
      </c>
    </row>
    <row r="147" spans="1:9" ht="110" customHeight="1" x14ac:dyDescent="0.35">
      <c r="A147" s="338">
        <v>143</v>
      </c>
      <c r="B147" s="239" t="s">
        <v>10659</v>
      </c>
      <c r="C147" s="240" t="s">
        <v>1101</v>
      </c>
      <c r="D147" s="239" t="s">
        <v>522</v>
      </c>
      <c r="E147" s="239" t="s">
        <v>2519</v>
      </c>
      <c r="F147" s="239" t="s">
        <v>10388</v>
      </c>
      <c r="G147" s="241" t="s">
        <v>10660</v>
      </c>
      <c r="H147" s="304" t="s">
        <v>10660</v>
      </c>
      <c r="I147" s="947" t="str">
        <f>HYPERLINK("https://www.google.com/maps/dir/Faj%C3%A3+dos+Cubres+S%C3%A3o+Jorge/Faj%C3%A3+de+Santo+Cristo+S%C3%A3o+Jorge/Faj%C3%A3+do+Ouvidor+S%C3%A3o+Jorge/Calheta+S%C3%A3o+Jorge+A%C3%A7ores","🗺 Rota Fajãs São Jorge Açores")</f>
        <v>🗺 Rota Fajãs São Jorge Açores</v>
      </c>
    </row>
    <row r="148" spans="1:9" ht="110" customHeight="1" x14ac:dyDescent="0.35">
      <c r="A148" s="336">
        <v>144</v>
      </c>
      <c r="B148" s="242" t="s">
        <v>10661</v>
      </c>
      <c r="C148" s="243" t="s">
        <v>10363</v>
      </c>
      <c r="D148" s="242" t="s">
        <v>522</v>
      </c>
      <c r="E148" s="242" t="s">
        <v>10345</v>
      </c>
      <c r="F148" s="242" t="s">
        <v>10316</v>
      </c>
      <c r="G148" s="244" t="s">
        <v>10662</v>
      </c>
      <c r="H148" s="305" t="s">
        <v>10662</v>
      </c>
      <c r="I148" s="948" t="str">
        <f>HYPERLINK("https://www.google.com/maps/dir/Gorreana+Ribeira+Grande+S%C3%A3o+Miguel/Porto+Formoso+S%C3%A3o+Miguel+A%C3%A7ores/Ribeira+Grande+A%C3%A7ores","🗺 Rota Chá Açores")</f>
        <v>🗺 Rota Chá Açores</v>
      </c>
    </row>
    <row r="149" spans="1:9" ht="110" customHeight="1" x14ac:dyDescent="0.35">
      <c r="A149" s="338">
        <v>145</v>
      </c>
      <c r="B149" s="239" t="s">
        <v>10663</v>
      </c>
      <c r="C149" s="240" t="s">
        <v>4653</v>
      </c>
      <c r="D149" s="239" t="s">
        <v>522</v>
      </c>
      <c r="E149" s="239" t="s">
        <v>10345</v>
      </c>
      <c r="F149" s="239" t="s">
        <v>10316</v>
      </c>
      <c r="G149" s="241" t="s">
        <v>10664</v>
      </c>
      <c r="H149" s="304" t="s">
        <v>10664</v>
      </c>
      <c r="I149" s="947" t="str">
        <f>HYPERLINK("https://www.google.com/maps/dir/Angra+do+Hero%C3%ADsmo+A%C3%A7ores/Ceramica+de+Angra+Terceira/Praia+da+Vit%C3%B3ria+Terceira+A%C3%A7ores","🗺 Rota Cerâmica Angra")</f>
        <v>🗺 Rota Cerâmica Angra</v>
      </c>
    </row>
    <row r="150" spans="1:9" ht="110" customHeight="1" x14ac:dyDescent="0.35">
      <c r="A150" s="336">
        <v>146</v>
      </c>
      <c r="B150" s="242" t="s">
        <v>10665</v>
      </c>
      <c r="C150" s="243" t="s">
        <v>4653</v>
      </c>
      <c r="D150" s="242" t="s">
        <v>522</v>
      </c>
      <c r="E150" s="242" t="s">
        <v>2519</v>
      </c>
      <c r="F150" s="242" t="s">
        <v>10655</v>
      </c>
      <c r="G150" s="244" t="s">
        <v>10666</v>
      </c>
      <c r="H150" s="305" t="s">
        <v>10666</v>
      </c>
      <c r="I150" s="948" t="str">
        <f>HYPERLINK("https://www.google.com/maps/dir/Pico+A%C3%A7ores+Bordados/Flores+A%C3%A7ores+Rendas/Santa+Maria+A%C3%A7ores+Tape%C3%A7aria","🗺 Rota Bordados Rendas Ilhas")</f>
        <v>🗺 Rota Bordados Rendas Ilhas</v>
      </c>
    </row>
    <row r="151" spans="1:9" ht="110" customHeight="1" x14ac:dyDescent="0.35">
      <c r="A151" s="338">
        <v>147</v>
      </c>
      <c r="B151" s="239" t="s">
        <v>10667</v>
      </c>
      <c r="C151" s="240" t="s">
        <v>10385</v>
      </c>
      <c r="D151" s="239" t="s">
        <v>522</v>
      </c>
      <c r="E151" s="239" t="s">
        <v>10336</v>
      </c>
      <c r="F151" s="239" t="s">
        <v>10316</v>
      </c>
      <c r="G151" s="241" t="s">
        <v>10668</v>
      </c>
      <c r="H151" s="304" t="s">
        <v>10668</v>
      </c>
      <c r="I151" s="947" t="str">
        <f>HYPERLINK("https://www.google.com/maps/dir/Algar+do+Carv%C3%A3o+Terceira+A%C3%A7ores/Furna+do+Enxofre+Graciosa+A%C3%A7ores/Gruta+das+Torres+Pico+A%C3%A7ores","🗺 Rota Grutas Tubos Lava Açores")</f>
        <v>🗺 Rota Grutas Tubos Lava Açores</v>
      </c>
    </row>
    <row r="152" spans="1:9" ht="110" customHeight="1" x14ac:dyDescent="0.35">
      <c r="A152" s="336">
        <v>148</v>
      </c>
      <c r="B152" s="242" t="s">
        <v>10669</v>
      </c>
      <c r="C152" s="243" t="s">
        <v>10459</v>
      </c>
      <c r="D152" s="242" t="s">
        <v>522</v>
      </c>
      <c r="E152" s="242" t="s">
        <v>2519</v>
      </c>
      <c r="F152" s="242" t="s">
        <v>10316</v>
      </c>
      <c r="G152" s="244" t="s">
        <v>10670</v>
      </c>
      <c r="H152" s="305" t="s">
        <v>10670</v>
      </c>
      <c r="I152" s="948" t="str">
        <f>HYPERLINK("https://www.google.com/maps/dir/Furnas+S%C3%A3o+Miguel+A%C3%A7ores/Ribeira+Grande+A%C3%A7ores/Poca+da+Dona+Beija+Furnas+A%C3%A7ores/Caldeira+Velha+S%C3%A3o+Miguel+A%C3%A7ores","🗺 Rota Poças Termais Açores")</f>
        <v>🗺 Rota Poças Termais Açores</v>
      </c>
    </row>
    <row r="153" spans="1:9" ht="110" customHeight="1" x14ac:dyDescent="0.35">
      <c r="A153" s="338">
        <v>149</v>
      </c>
      <c r="B153" s="239" t="s">
        <v>10671</v>
      </c>
      <c r="C153" s="240" t="s">
        <v>4695</v>
      </c>
      <c r="D153" s="239" t="s">
        <v>522</v>
      </c>
      <c r="E153" s="239" t="s">
        <v>2519</v>
      </c>
      <c r="F153" s="239" t="s">
        <v>10350</v>
      </c>
      <c r="G153" s="241" t="s">
        <v>10672</v>
      </c>
      <c r="H153" s="304" t="s">
        <v>10672</v>
      </c>
      <c r="I153" s="947" t="str">
        <f>HYPERLINK("https://www.google.com/maps/dir/Cria%C3%A7%C3%A3o+Velha+Pico+A%C3%A7ores/Museu+do+Vinho+Pico/Madalena+Pico+A%C3%A7ores/S%C3%A3o+Roque+do+Pico+A%C3%A7ores","🗺 Rota Vinho do Pico UNESCO")</f>
        <v>🗺 Rota Vinho do Pico UNESCO</v>
      </c>
    </row>
    <row r="154" spans="1:9" ht="110" customHeight="1" x14ac:dyDescent="0.35">
      <c r="A154" s="336">
        <v>150</v>
      </c>
      <c r="B154" s="242" t="s">
        <v>10673</v>
      </c>
      <c r="C154" s="243" t="s">
        <v>4515</v>
      </c>
      <c r="D154" s="242" t="s">
        <v>522</v>
      </c>
      <c r="E154" s="242" t="s">
        <v>10654</v>
      </c>
      <c r="F154" s="242" t="s">
        <v>10655</v>
      </c>
      <c r="G154" s="244" t="s">
        <v>10674</v>
      </c>
      <c r="H154" s="305" t="s">
        <v>10674</v>
      </c>
      <c r="I154" s="948" t="str">
        <f>HYPERLINK("https://www.google.com/maps/dir/Pico+A%C3%A7ores/Flores+A%C3%A7ores/Graciosa+A%C3%A7ores/S%C3%A3o+Jorge+A%C3%A7ores/Corvo+A%C3%A7ores","🗺 Rota Fotografia Açores")</f>
        <v>🗺 Rota Fotografia Açores</v>
      </c>
    </row>
    <row r="155" spans="1:9" ht="110" customHeight="1" x14ac:dyDescent="0.35">
      <c r="A155" s="338">
        <v>151</v>
      </c>
      <c r="B155" s="239" t="s">
        <v>10675</v>
      </c>
      <c r="C155" s="240" t="s">
        <v>10323</v>
      </c>
      <c r="D155" s="239" t="s">
        <v>1219</v>
      </c>
      <c r="E155" s="239" t="s">
        <v>10676</v>
      </c>
      <c r="F155" s="239" t="s">
        <v>10428</v>
      </c>
      <c r="G155" s="241" t="s">
        <v>10677</v>
      </c>
      <c r="H155" s="304" t="s">
        <v>10677</v>
      </c>
      <c r="I155" s="947" t="str">
        <f>HYPERLINK("https://www.google.com/maps/dir/Porto+Portugal/Tui+Espanha/Pontevedra+Espanha/Santiago+de+Compostela+Espanha","🗺 Rota Caminho de Santiago Variantes")</f>
        <v>🗺 Rota Caminho de Santiago Variantes</v>
      </c>
    </row>
    <row r="156" spans="1:9" ht="110" customHeight="1" x14ac:dyDescent="0.35">
      <c r="A156" s="336">
        <v>152</v>
      </c>
      <c r="B156" s="242" t="s">
        <v>10678</v>
      </c>
      <c r="C156" s="243" t="s">
        <v>1101</v>
      </c>
      <c r="D156" s="242" t="s">
        <v>1219</v>
      </c>
      <c r="E156" s="242" t="s">
        <v>10654</v>
      </c>
      <c r="F156" s="242" t="s">
        <v>10316</v>
      </c>
      <c r="G156" s="244" t="s">
        <v>10679</v>
      </c>
      <c r="H156" s="305" t="s">
        <v>10679</v>
      </c>
      <c r="I156" s="948" t="str">
        <f>HYPERLINK("https://www.google.com/maps/dir/Peneda+Ger%C3%AAs+Portugal/Montesinho+Portugal/Serra+da+Estrela+Portugal/Ria+Formosa+Portugal","🗺 Rota Biodiversidade Portugal")</f>
        <v>🗺 Rota Biodiversidade Portugal</v>
      </c>
    </row>
    <row r="157" spans="1:9" ht="110" customHeight="1" x14ac:dyDescent="0.35">
      <c r="A157" s="338">
        <v>153</v>
      </c>
      <c r="B157" s="239" t="s">
        <v>10680</v>
      </c>
      <c r="C157" s="240" t="s">
        <v>10335</v>
      </c>
      <c r="D157" s="239" t="s">
        <v>1219</v>
      </c>
      <c r="E157" s="239" t="s">
        <v>10654</v>
      </c>
      <c r="F157" s="239" t="s">
        <v>10316</v>
      </c>
      <c r="G157" s="241" t="s">
        <v>10681</v>
      </c>
      <c r="H157" s="304" t="s">
        <v>10681</v>
      </c>
      <c r="I157" s="947" t="str">
        <f>HYPERLINK("https://www.google.com/maps/dir/Miranda+do+Douro+Portugal/%C3%89vora+Portugal/Faro+Portugal/Lisboa+Portugal","🗺 Rota Línguas Culturas Portugal")</f>
        <v>🗺 Rota Línguas Culturas Portugal</v>
      </c>
    </row>
    <row r="158" spans="1:9" ht="20" customHeight="1" x14ac:dyDescent="0.35">
      <c r="A158" s="336">
        <v>154</v>
      </c>
      <c r="B158" s="242"/>
      <c r="C158" s="243"/>
      <c r="D158" s="242"/>
      <c r="E158" s="242"/>
      <c r="F158" s="242"/>
      <c r="G158" s="242"/>
      <c r="H158" s="242"/>
      <c r="I158" s="948" t="str">
        <f>HYPERLINK("https://maps.google.com/?q=Portugal","🗺 ")</f>
        <v xml:space="preserve">🗺 </v>
      </c>
    </row>
    <row r="159" spans="1:9" ht="110" customHeight="1" x14ac:dyDescent="0.35">
      <c r="A159" s="338">
        <v>155</v>
      </c>
      <c r="B159" s="239" t="s">
        <v>10682</v>
      </c>
      <c r="C159" s="240" t="s">
        <v>10319</v>
      </c>
      <c r="D159" s="239" t="s">
        <v>792</v>
      </c>
      <c r="E159" s="239" t="s">
        <v>10345</v>
      </c>
      <c r="F159" s="239" t="s">
        <v>10401</v>
      </c>
      <c r="G159" s="241" t="s">
        <v>10683</v>
      </c>
      <c r="H159" s="305" t="s">
        <v>10683</v>
      </c>
      <c r="I159" s="947" t="str">
        <f>HYPERLINK("https://www.google.com/maps/dir/S%C3%A9+de+Braga+Portugal/Bom+Jesus+Braga/Sameiro+Braga+Portugal/Tib%C3%A3es+Mosteiro+Braga/Cit%C3%A2nia+de+Briteiros+Guimar%C3%A3es","🗺 Circuito Barroco Bracarense")</f>
        <v>🗺 Circuito Barroco Bracarense</v>
      </c>
    </row>
    <row r="160" spans="1:9" ht="110" customHeight="1" x14ac:dyDescent="0.35">
      <c r="A160" s="336">
        <v>156</v>
      </c>
      <c r="B160" s="242" t="s">
        <v>10684</v>
      </c>
      <c r="C160" s="243" t="s">
        <v>10398</v>
      </c>
      <c r="D160" s="242" t="s">
        <v>836</v>
      </c>
      <c r="E160" s="242" t="s">
        <v>10345</v>
      </c>
      <c r="F160" s="242" t="s">
        <v>10369</v>
      </c>
      <c r="G160" s="244" t="s">
        <v>10685</v>
      </c>
      <c r="H160" s="304" t="s">
        <v>10685</v>
      </c>
      <c r="I160" s="948" t="str">
        <f>HYPERLINK("https://www.google.com/maps/dir/Aveiro+Portugal/Museu+de+Aveiro/Costa+Nova+do+Prado+Aveiro/Torreira+Aveiro/S%C3%A3o+Jacinto+Aveiro","🗺 Circuito Ria de Aveiro")</f>
        <v>🗺 Circuito Ria de Aveiro</v>
      </c>
    </row>
    <row r="161" spans="1:9" ht="110" customHeight="1" x14ac:dyDescent="0.35">
      <c r="A161" s="338">
        <v>157</v>
      </c>
      <c r="B161" s="239" t="s">
        <v>10686</v>
      </c>
      <c r="C161" s="240" t="s">
        <v>1101</v>
      </c>
      <c r="D161" s="239" t="s">
        <v>792</v>
      </c>
      <c r="E161" s="239" t="s">
        <v>10345</v>
      </c>
      <c r="F161" s="239" t="s">
        <v>10316</v>
      </c>
      <c r="G161" s="241" t="s">
        <v>10687</v>
      </c>
      <c r="H161" s="305" t="s">
        <v>10687</v>
      </c>
      <c r="I161" s="947" t="str">
        <f>HYPERLINK("https://www.google.com/maps/dir/Soajo+Espigueiros+Portugal/Lindoso+Portugal/Castro+do+Lindoso+Portugal/Ponte+da+Barca+Portugal","🗺 Circuito Espigueiros Soajo Lindoso")</f>
        <v>🗺 Circuito Espigueiros Soajo Lindoso</v>
      </c>
    </row>
    <row r="162" spans="1:9" ht="110" customHeight="1" x14ac:dyDescent="0.35">
      <c r="A162" s="336">
        <v>158</v>
      </c>
      <c r="B162" s="242" t="s">
        <v>10688</v>
      </c>
      <c r="C162" s="243" t="s">
        <v>10314</v>
      </c>
      <c r="D162" s="242" t="s">
        <v>792</v>
      </c>
      <c r="E162" s="242" t="s">
        <v>10345</v>
      </c>
      <c r="F162" s="242" t="s">
        <v>10316</v>
      </c>
      <c r="G162" s="244" t="s">
        <v>10689</v>
      </c>
      <c r="H162" s="304" t="s">
        <v>10689</v>
      </c>
      <c r="I162" s="948" t="str">
        <f>HYPERLINK("https://www.google.com/maps/dir/Guimar%C3%A3es+Castelo+Portugal/Braga+Portugal/P%C3%B3voa+de+Lanhoso+Castelo/Penafiel+Portugal","🗺 Circuito Castelos do Minho")</f>
        <v>🗺 Circuito Castelos do Minho</v>
      </c>
    </row>
    <row r="163" spans="1:9" ht="110" customHeight="1" x14ac:dyDescent="0.35">
      <c r="A163" s="338">
        <v>159</v>
      </c>
      <c r="B163" s="239" t="s">
        <v>10690</v>
      </c>
      <c r="C163" s="240" t="s">
        <v>1101</v>
      </c>
      <c r="D163" s="239" t="s">
        <v>792</v>
      </c>
      <c r="E163" s="239" t="s">
        <v>10345</v>
      </c>
      <c r="F163" s="239" t="s">
        <v>10316</v>
      </c>
      <c r="G163" s="241" t="s">
        <v>10691</v>
      </c>
      <c r="H163" s="305" t="s">
        <v>10691</v>
      </c>
      <c r="I163" s="947" t="str">
        <f>HYPERLINK("https://www.google.com/maps/dir/Cascata+do+Arado+Ger%C3%AAs/Vilarinho+das+Furnas+Ger%C3%AAs/Mata+da+Albergaria+Ger%C3%AAs/Portela+do+Homem+Ger%C3%AAs","🗺 Circuito Gerês Portas Parque")</f>
        <v>🗺 Circuito Gerês Portas Parque</v>
      </c>
    </row>
    <row r="164" spans="1:9" ht="110" customHeight="1" x14ac:dyDescent="0.35">
      <c r="A164" s="336">
        <v>160</v>
      </c>
      <c r="B164" s="242" t="s">
        <v>10692</v>
      </c>
      <c r="C164" s="243" t="s">
        <v>10398</v>
      </c>
      <c r="D164" s="242" t="s">
        <v>913</v>
      </c>
      <c r="E164" s="242" t="s">
        <v>10345</v>
      </c>
      <c r="F164" s="242" t="s">
        <v>10401</v>
      </c>
      <c r="G164" s="244" t="s">
        <v>10693</v>
      </c>
      <c r="H164" s="304" t="s">
        <v>10693</v>
      </c>
      <c r="I164" s="948" t="str">
        <f>HYPERLINK("https://www.google.com/maps/dir/Pal%C3%A1cio+Nacional+de+Sintra/Cabo+da+Roca+Portugal/Cascais+Portugal/Estoril+Portugal","🗺 Circuito Sintra Cabo Roca Cascais")</f>
        <v>🗺 Circuito Sintra Cabo Roca Cascais</v>
      </c>
    </row>
    <row r="165" spans="1:9" ht="110" customHeight="1" x14ac:dyDescent="0.35">
      <c r="A165" s="338">
        <v>161</v>
      </c>
      <c r="B165" s="239" t="s">
        <v>10694</v>
      </c>
      <c r="C165" s="240" t="s">
        <v>10314</v>
      </c>
      <c r="D165" s="239" t="s">
        <v>913</v>
      </c>
      <c r="E165" s="239" t="s">
        <v>10345</v>
      </c>
      <c r="F165" s="239" t="s">
        <v>10428</v>
      </c>
      <c r="G165" s="241" t="s">
        <v>10695</v>
      </c>
      <c r="H165" s="305" t="s">
        <v>10695</v>
      </c>
      <c r="I165" s="947" t="str">
        <f>HYPERLINK("https://www.google.com/maps/dir/Padr%C3%A3o+dos+Descobrimentos+Lisboa/Torre+de+Bel%C3%A9m+Lisboa/Mosteiro+dos+Jer%C3%B3nimos+Lisboa/MAAT+Lisboa/LX+Factory+Lisboa","🗺 Circuito Histórico Belém")</f>
        <v>🗺 Circuito Histórico Belém</v>
      </c>
    </row>
    <row r="166" spans="1:9" ht="110" customHeight="1" x14ac:dyDescent="0.35">
      <c r="A166" s="336">
        <v>162</v>
      </c>
      <c r="B166" s="242" t="s">
        <v>10696</v>
      </c>
      <c r="C166" s="243" t="s">
        <v>1101</v>
      </c>
      <c r="D166" s="242" t="s">
        <v>836</v>
      </c>
      <c r="E166" s="242" t="s">
        <v>10345</v>
      </c>
      <c r="F166" s="242" t="s">
        <v>10316</v>
      </c>
      <c r="G166" s="244" t="s">
        <v>10697</v>
      </c>
      <c r="H166" s="304" t="s">
        <v>10697</v>
      </c>
      <c r="I166" s="948" t="str">
        <f>HYPERLINK("https://www.google.com/maps/dir/Coimbra+Portugal/Figueira+da+Foz+Portugal/Mata+Nacional+de+Leiria+Portugal/Aveiro+Portugal","🗺 Circuito Mondego Serras Rio")</f>
        <v>🗺 Circuito Mondego Serras Rio</v>
      </c>
    </row>
    <row r="167" spans="1:9" ht="110" customHeight="1" x14ac:dyDescent="0.35">
      <c r="A167" s="338">
        <v>163</v>
      </c>
      <c r="B167" s="239" t="s">
        <v>10698</v>
      </c>
      <c r="C167" s="240" t="s">
        <v>10314</v>
      </c>
      <c r="D167" s="239" t="s">
        <v>836</v>
      </c>
      <c r="E167" s="239" t="s">
        <v>10345</v>
      </c>
      <c r="F167" s="239" t="s">
        <v>10316</v>
      </c>
      <c r="G167" s="241" t="s">
        <v>10699</v>
      </c>
      <c r="H167" s="305" t="s">
        <v>10699</v>
      </c>
      <c r="I167" s="947" t="str">
        <f>HYPERLINK("https://www.google.com/maps/dir/Monsanto+Portugal/Idanha-a-Velha+Portugal/Penha+Garcia+Portugal/Castelo+Novo+Portugal","🗺 Circuito Aldeias Históricas Beira")</f>
        <v>🗺 Circuito Aldeias Históricas Beira</v>
      </c>
    </row>
    <row r="168" spans="1:9" ht="110" customHeight="1" x14ac:dyDescent="0.35">
      <c r="A168" s="336">
        <v>164</v>
      </c>
      <c r="B168" s="242" t="s">
        <v>10700</v>
      </c>
      <c r="C168" s="243" t="s">
        <v>1706</v>
      </c>
      <c r="D168" s="242" t="s">
        <v>853</v>
      </c>
      <c r="E168" s="242" t="s">
        <v>10345</v>
      </c>
      <c r="F168" s="242" t="s">
        <v>10316</v>
      </c>
      <c r="G168" s="244" t="s">
        <v>10701</v>
      </c>
      <c r="H168" s="304" t="s">
        <v>10701</v>
      </c>
      <c r="I168" s="948" t="str">
        <f>HYPERLINK("https://www.google.com/maps/dir/Cromeleque+dos+Almendres+%C3%89vora/Anta+Grande+do+Zambujeiro+%C3%89vora/Monsaraz+Portugal/Alqueva+Dark+Sky+Portugal","🗺 Circuito Almendres Dark Sky Alqueva")</f>
        <v>🗺 Circuito Almendres Dark Sky Alqueva</v>
      </c>
    </row>
    <row r="169" spans="1:9" ht="110" customHeight="1" x14ac:dyDescent="0.35">
      <c r="A169" s="338">
        <v>165</v>
      </c>
      <c r="B169" s="239" t="s">
        <v>10702</v>
      </c>
      <c r="C169" s="240" t="s">
        <v>4653</v>
      </c>
      <c r="D169" s="239" t="s">
        <v>853</v>
      </c>
      <c r="E169" s="239" t="s">
        <v>10345</v>
      </c>
      <c r="F169" s="239" t="s">
        <v>10316</v>
      </c>
      <c r="G169" s="241" t="s">
        <v>10703</v>
      </c>
      <c r="H169" s="305" t="s">
        <v>10703</v>
      </c>
      <c r="I169" s="947" t="str">
        <f>HYPERLINK("https://www.google.com/maps/dir/Estremoz+Portugal/Borba+Portugal/Vila+Vi%C3%A7osa+Portugal","🗺 Circuito Mármore Alentejano")</f>
        <v>🗺 Circuito Mármore Alentejano</v>
      </c>
    </row>
    <row r="170" spans="1:9" ht="110" customHeight="1" x14ac:dyDescent="0.35">
      <c r="A170" s="336">
        <v>166</v>
      </c>
      <c r="B170" s="242" t="s">
        <v>10704</v>
      </c>
      <c r="C170" s="243" t="s">
        <v>1101</v>
      </c>
      <c r="D170" s="242" t="s">
        <v>853</v>
      </c>
      <c r="E170" s="242" t="s">
        <v>10345</v>
      </c>
      <c r="F170" s="242" t="s">
        <v>10316</v>
      </c>
      <c r="G170" s="244" t="s">
        <v>10705</v>
      </c>
      <c r="H170" s="304" t="s">
        <v>10705</v>
      </c>
      <c r="I170" s="948" t="str">
        <f>HYPERLINK("https://www.google.com/maps/dir/%C3%89vora+Portugal/Montemor-o-Novo+Portugal/Portel+Portugal/Serpa+Portugal","🗺 Circuito Planície Alentejana Montado")</f>
        <v>🗺 Circuito Planície Alentejana Montado</v>
      </c>
    </row>
    <row r="171" spans="1:9" ht="110" customHeight="1" x14ac:dyDescent="0.35">
      <c r="A171" s="338">
        <v>167</v>
      </c>
      <c r="B171" s="239" t="s">
        <v>10706</v>
      </c>
      <c r="C171" s="240" t="s">
        <v>1101</v>
      </c>
      <c r="D171" s="239" t="s">
        <v>767</v>
      </c>
      <c r="E171" s="239" t="s">
        <v>10345</v>
      </c>
      <c r="F171" s="239" t="s">
        <v>10316</v>
      </c>
      <c r="G171" s="241" t="s">
        <v>10707</v>
      </c>
      <c r="H171" s="305" t="s">
        <v>10707</v>
      </c>
      <c r="I171" s="947" t="str">
        <f>HYPERLINK("https://www.google.com/maps/dir/Monchique+Portugal/Alte+Portugal/Queren%C3%A7a+Portugal/Loul%C3%A9+Portugal","🗺 Circuito Serras do Algarve")</f>
        <v>🗺 Circuito Serras do Algarve</v>
      </c>
    </row>
    <row r="172" spans="1:9" ht="110" customHeight="1" x14ac:dyDescent="0.35">
      <c r="A172" s="336">
        <v>168</v>
      </c>
      <c r="B172" s="242" t="s">
        <v>10708</v>
      </c>
      <c r="C172" s="243" t="s">
        <v>10398</v>
      </c>
      <c r="D172" s="242" t="s">
        <v>767</v>
      </c>
      <c r="E172" s="242" t="s">
        <v>10345</v>
      </c>
      <c r="F172" s="242" t="s">
        <v>10316</v>
      </c>
      <c r="G172" s="244" t="s">
        <v>10709</v>
      </c>
      <c r="H172" s="304" t="s">
        <v>10709</v>
      </c>
      <c r="I172" s="948" t="str">
        <f>HYPERLINK("https://www.google.com/maps/dir/Sagres+Portugal/Cabo+de+S%C3%A3o+Vicente+Portugal/Bordeira+Aljezur+Portugal/Carrapateira+Portugal/Aljezur+Portugal","🗺 Circuito Costa Vicentina Barlavento")</f>
        <v>🗺 Circuito Costa Vicentina Barlavento</v>
      </c>
    </row>
    <row r="173" spans="1:9" ht="110" customHeight="1" x14ac:dyDescent="0.35">
      <c r="A173" s="338">
        <v>169</v>
      </c>
      <c r="B173" s="239" t="s">
        <v>10710</v>
      </c>
      <c r="C173" s="240" t="s">
        <v>1101</v>
      </c>
      <c r="D173" s="239" t="s">
        <v>767</v>
      </c>
      <c r="E173" s="239" t="s">
        <v>10345</v>
      </c>
      <c r="F173" s="239" t="s">
        <v>10620</v>
      </c>
      <c r="G173" s="241" t="s">
        <v>10711</v>
      </c>
      <c r="H173" s="305" t="s">
        <v>10711</v>
      </c>
      <c r="I173" s="947" t="str">
        <f>HYPERLINK("https://www.google.com/maps/dir/Faro+Portugal/Ilha+Culatra+Olh%C3%A3o+Portugal/Praia+de+Armona+Olh%C3%A3o/Fuseta+Portugal","🗺 Circuito Ria Formosa Ilhas Barreira")</f>
        <v>🗺 Circuito Ria Formosa Ilhas Barreira</v>
      </c>
    </row>
    <row r="174" spans="1:9" ht="110" customHeight="1" x14ac:dyDescent="0.35">
      <c r="A174" s="336">
        <v>170</v>
      </c>
      <c r="B174" s="242" t="s">
        <v>10712</v>
      </c>
      <c r="C174" s="243" t="s">
        <v>10385</v>
      </c>
      <c r="D174" s="242" t="s">
        <v>522</v>
      </c>
      <c r="E174" s="242" t="s">
        <v>10345</v>
      </c>
      <c r="F174" s="242" t="s">
        <v>10316</v>
      </c>
      <c r="G174" s="244" t="s">
        <v>10713</v>
      </c>
      <c r="H174" s="304" t="s">
        <v>10713</v>
      </c>
      <c r="I174" s="948" t="str">
        <f>HYPERLINK("https://www.google.com/maps/dir/Ponta+Delgada+A%C3%A7ores/Sete+Cidades+S%C3%A3o+Miguel+A%C3%A7ores/Lagoa+do+Fogo+S%C3%A3o+Miguel/Furnas+S%C3%A3o+Miguel+A%C3%A7ores/Nordeste+S%C3%A3o+Miguel+A%C3%A7ores","🗺 Circuito Ilha São Miguel 1 Dia")</f>
        <v>🗺 Circuito Ilha São Miguel 1 Dia</v>
      </c>
    </row>
    <row r="175" spans="1:9" ht="110" customHeight="1" x14ac:dyDescent="0.35">
      <c r="A175" s="338">
        <v>171</v>
      </c>
      <c r="B175" s="239" t="s">
        <v>10714</v>
      </c>
      <c r="C175" s="240" t="s">
        <v>10385</v>
      </c>
      <c r="D175" s="239" t="s">
        <v>522</v>
      </c>
      <c r="E175" s="239" t="s">
        <v>10345</v>
      </c>
      <c r="F175" s="239" t="s">
        <v>10316</v>
      </c>
      <c r="G175" s="241" t="s">
        <v>10715</v>
      </c>
      <c r="H175" s="305" t="s">
        <v>10715</v>
      </c>
      <c r="I175" s="947" t="str">
        <f>HYPERLINK("https://www.google.com/maps/dir/Horta+Faial+A%C3%A7ores/Caldeira+Faial+A%C3%A7ores/Capelinhos+Faial+A%C3%A7ores/Castelo+Branco+Faial+A%C3%A7ores","🗺 Circuito Ilha Faial A Ilha Azul")</f>
        <v>🗺 Circuito Ilha Faial A Ilha Azul</v>
      </c>
    </row>
    <row r="176" spans="1:9" ht="110" customHeight="1" x14ac:dyDescent="0.35">
      <c r="A176" s="336">
        <v>172</v>
      </c>
      <c r="B176" s="242" t="s">
        <v>10716</v>
      </c>
      <c r="C176" s="243" t="s">
        <v>1101</v>
      </c>
      <c r="D176" s="242" t="s">
        <v>524</v>
      </c>
      <c r="E176" s="242" t="s">
        <v>10345</v>
      </c>
      <c r="F176" s="242" t="s">
        <v>10401</v>
      </c>
      <c r="G176" s="244" t="s">
        <v>10717</v>
      </c>
      <c r="H176" s="304" t="s">
        <v>10717</v>
      </c>
      <c r="I176" s="948" t="str">
        <f>HYPERLINK("https://www.google.com/maps/dir/Levada+do+Caldeir%C3%A3o+Verde+Santana+Madeira/Raba%C3%A7al+25+Fontes+Madeira/Paul+da+Serra+Madeira/Ribeiro+Frio+Madeira","🗺 Circuito Levadas Madeira Norte Rabaçal")</f>
        <v>🗺 Circuito Levadas Madeira Norte Rabaçal</v>
      </c>
    </row>
    <row r="177" spans="1:9" ht="110" customHeight="1" x14ac:dyDescent="0.35">
      <c r="A177" s="338">
        <v>173</v>
      </c>
      <c r="B177" s="239" t="s">
        <v>10718</v>
      </c>
      <c r="C177" s="240" t="s">
        <v>1757</v>
      </c>
      <c r="D177" s="239" t="s">
        <v>524</v>
      </c>
      <c r="E177" s="239" t="s">
        <v>10345</v>
      </c>
      <c r="F177" s="239" t="s">
        <v>10401</v>
      </c>
      <c r="G177" s="241" t="s">
        <v>10719</v>
      </c>
      <c r="H177" s="305" t="s">
        <v>10719</v>
      </c>
      <c r="I177" s="947" t="str">
        <f>HYPERLINK("https://www.google.com/maps/dir/Pico+do+Arieiro+Madeira/Achada+do+Teixeira+Madeira/Pico+Ruivo+Madeira/Santana+Madeira","🗺 Circuito Pico Arieiro ao Ruivo Madeira")</f>
        <v>🗺 Circuito Pico Arieiro ao Ruivo Madeira</v>
      </c>
    </row>
    <row r="178" spans="1:9" ht="110" customHeight="1" x14ac:dyDescent="0.35">
      <c r="A178" s="336">
        <v>174</v>
      </c>
      <c r="B178" s="242" t="s">
        <v>10720</v>
      </c>
      <c r="C178" s="243" t="s">
        <v>4695</v>
      </c>
      <c r="D178" s="242" t="s">
        <v>792</v>
      </c>
      <c r="E178" s="242" t="s">
        <v>10345</v>
      </c>
      <c r="F178" s="242" t="s">
        <v>10316</v>
      </c>
      <c r="G178" s="244" t="s">
        <v>10721</v>
      </c>
      <c r="H178" s="304" t="s">
        <v>10721</v>
      </c>
      <c r="I178" s="948" t="str">
        <f>HYPERLINK("https://www.google.com/maps/dir/Miradouro+Casal+de+Loivos+Pinh%C3%A3o+Douro/Pinh%C3%A3o+Douro+Portugal/R%C3%A9gua+Peso+da+R%C3%A9gua+Portugal/Lamego+Portugal","🗺 Circuito Douro Vinhateiro")</f>
        <v>🗺 Circuito Douro Vinhateiro</v>
      </c>
    </row>
    <row r="180" spans="1:9" x14ac:dyDescent="0.35">
      <c r="A180" s="1353" t="s">
        <v>10722</v>
      </c>
      <c r="B180" s="1354"/>
      <c r="C180" s="1354"/>
      <c r="D180" s="1354"/>
      <c r="E180" s="1354"/>
      <c r="F180" s="1354"/>
      <c r="G180" s="1354"/>
      <c r="H180" s="1354"/>
      <c r="I180" s="1354"/>
    </row>
  </sheetData>
  <mergeCells count="4">
    <mergeCell ref="A1:I1"/>
    <mergeCell ref="A180:I180"/>
    <mergeCell ref="A4:I4"/>
    <mergeCell ref="A2:I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8"/>
  <sheetViews>
    <sheetView topLeftCell="B4" workbookViewId="0">
      <pane xSplit="1" ySplit="1" topLeftCell="C5" activePane="bottomRight" state="frozen"/>
      <selection activeCell="B4" sqref="B4"/>
      <selection pane="topRight" activeCell="C4" sqref="C4"/>
      <selection pane="bottomLeft" activeCell="B5" sqref="B5"/>
      <selection pane="bottomRight" sqref="A1:H1"/>
    </sheetView>
  </sheetViews>
  <sheetFormatPr defaultRowHeight="14.5" x14ac:dyDescent="0.35"/>
  <cols>
    <col min="1" max="1" width="12" customWidth="1"/>
    <col min="2" max="2" width="28" customWidth="1"/>
    <col min="3" max="3" width="25" customWidth="1"/>
    <col min="4" max="4" width="35" customWidth="1"/>
    <col min="5" max="5" width="8" customWidth="1"/>
    <col min="6" max="6" width="14" customWidth="1"/>
    <col min="7" max="7" width="55" customWidth="1"/>
    <col min="8" max="8" width="18" customWidth="1"/>
  </cols>
  <sheetData>
    <row r="1" spans="1:8" ht="30" customHeight="1" x14ac:dyDescent="0.35">
      <c r="A1" s="1542" t="s">
        <v>10723</v>
      </c>
      <c r="B1" s="1313"/>
      <c r="C1" s="1313"/>
      <c r="D1" s="1313"/>
      <c r="E1" s="1313"/>
      <c r="F1" s="1313"/>
      <c r="G1" s="1313"/>
      <c r="H1" s="1313"/>
    </row>
    <row r="2" spans="1:8" ht="24" customHeight="1" x14ac:dyDescent="0.35">
      <c r="A2" s="1543" t="s">
        <v>10724</v>
      </c>
      <c r="B2" s="1313"/>
      <c r="C2" s="1313"/>
      <c r="D2" s="1313"/>
      <c r="E2" s="1313"/>
      <c r="F2" s="1313"/>
      <c r="G2" s="1313"/>
      <c r="H2" s="1313"/>
    </row>
    <row r="3" spans="1:8" ht="20" customHeight="1" x14ac:dyDescent="0.35">
      <c r="A3" s="1" t="s">
        <v>10725</v>
      </c>
      <c r="B3" s="1" t="s">
        <v>10726</v>
      </c>
      <c r="C3" s="1" t="s">
        <v>10727</v>
      </c>
      <c r="D3" s="1" t="s">
        <v>10728</v>
      </c>
      <c r="E3" s="1" t="s">
        <v>10729</v>
      </c>
      <c r="F3" s="1" t="s">
        <v>10730</v>
      </c>
      <c r="G3" s="1" t="s">
        <v>10731</v>
      </c>
      <c r="H3" s="1" t="s">
        <v>10732</v>
      </c>
    </row>
    <row r="4" spans="1:8" ht="35" customHeight="1" x14ac:dyDescent="0.35">
      <c r="A4" s="2" t="s">
        <v>10733</v>
      </c>
      <c r="B4" s="3" t="s">
        <v>10734</v>
      </c>
      <c r="C4" s="3" t="s">
        <v>2365</v>
      </c>
      <c r="D4" s="3" t="s">
        <v>10735</v>
      </c>
      <c r="E4" s="3">
        <v>1</v>
      </c>
      <c r="F4" s="3" t="s">
        <v>10736</v>
      </c>
      <c r="G4" s="3" t="s">
        <v>10737</v>
      </c>
      <c r="H4" s="4" t="s">
        <v>10738</v>
      </c>
    </row>
    <row r="5" spans="1:8" ht="35" customHeight="1" x14ac:dyDescent="0.35">
      <c r="A5" s="2" t="s">
        <v>10733</v>
      </c>
      <c r="B5" s="3" t="s">
        <v>1332</v>
      </c>
      <c r="C5" s="3" t="s">
        <v>10739</v>
      </c>
      <c r="D5" s="3" t="s">
        <v>10740</v>
      </c>
      <c r="E5" s="3">
        <v>2</v>
      </c>
      <c r="F5" s="3" t="s">
        <v>10741</v>
      </c>
      <c r="G5" s="3" t="s">
        <v>10742</v>
      </c>
      <c r="H5" s="4" t="s">
        <v>10738</v>
      </c>
    </row>
    <row r="6" spans="1:8" ht="35" customHeight="1" x14ac:dyDescent="0.35">
      <c r="A6" s="2" t="s">
        <v>10733</v>
      </c>
      <c r="B6" s="3" t="s">
        <v>10743</v>
      </c>
      <c r="C6" s="3" t="s">
        <v>792</v>
      </c>
      <c r="D6" s="3" t="s">
        <v>10744</v>
      </c>
      <c r="E6" s="3">
        <v>2</v>
      </c>
      <c r="F6" s="3" t="s">
        <v>10745</v>
      </c>
      <c r="G6" s="3" t="s">
        <v>10746</v>
      </c>
      <c r="H6" s="4" t="s">
        <v>10738</v>
      </c>
    </row>
    <row r="7" spans="1:8" ht="35" customHeight="1" x14ac:dyDescent="0.35">
      <c r="A7" s="5" t="s">
        <v>10747</v>
      </c>
      <c r="B7" s="3" t="s">
        <v>10748</v>
      </c>
      <c r="C7" s="3" t="s">
        <v>10749</v>
      </c>
      <c r="D7" s="3" t="s">
        <v>10750</v>
      </c>
      <c r="E7" s="3">
        <v>2</v>
      </c>
      <c r="F7" s="3" t="s">
        <v>10751</v>
      </c>
      <c r="G7" s="3" t="s">
        <v>10752</v>
      </c>
      <c r="H7" s="4" t="s">
        <v>10738</v>
      </c>
    </row>
    <row r="8" spans="1:8" ht="35" customHeight="1" x14ac:dyDescent="0.35">
      <c r="A8" s="5" t="s">
        <v>10747</v>
      </c>
      <c r="B8" s="3" t="s">
        <v>10753</v>
      </c>
      <c r="C8" s="3" t="s">
        <v>10754</v>
      </c>
      <c r="D8" s="3" t="s">
        <v>10755</v>
      </c>
      <c r="E8" s="3">
        <v>2</v>
      </c>
      <c r="F8" s="3" t="s">
        <v>10756</v>
      </c>
      <c r="G8" s="3" t="s">
        <v>10757</v>
      </c>
      <c r="H8" s="4" t="s">
        <v>10738</v>
      </c>
    </row>
    <row r="9" spans="1:8" ht="35" customHeight="1" x14ac:dyDescent="0.35">
      <c r="A9" s="5" t="s">
        <v>10747</v>
      </c>
      <c r="B9" s="3" t="s">
        <v>2452</v>
      </c>
      <c r="C9" s="3" t="s">
        <v>10758</v>
      </c>
      <c r="D9" s="3" t="s">
        <v>10759</v>
      </c>
      <c r="E9" s="3">
        <v>2</v>
      </c>
      <c r="F9" s="3" t="s">
        <v>10736</v>
      </c>
      <c r="G9" s="3" t="s">
        <v>10760</v>
      </c>
      <c r="H9" s="4" t="s">
        <v>10738</v>
      </c>
    </row>
    <row r="10" spans="1:8" ht="35" customHeight="1" x14ac:dyDescent="0.35">
      <c r="A10" s="6" t="s">
        <v>10761</v>
      </c>
      <c r="B10" s="3" t="s">
        <v>1439</v>
      </c>
      <c r="C10" s="3" t="s">
        <v>10762</v>
      </c>
      <c r="D10" s="3" t="s">
        <v>10763</v>
      </c>
      <c r="E10" s="3">
        <v>2</v>
      </c>
      <c r="F10" s="3" t="s">
        <v>10764</v>
      </c>
      <c r="G10" s="3" t="s">
        <v>10765</v>
      </c>
      <c r="H10" s="4" t="s">
        <v>10738</v>
      </c>
    </row>
    <row r="11" spans="1:8" ht="35" customHeight="1" x14ac:dyDescent="0.35">
      <c r="A11" s="6" t="s">
        <v>10761</v>
      </c>
      <c r="B11" s="3" t="s">
        <v>10766</v>
      </c>
      <c r="C11" s="3" t="s">
        <v>10767</v>
      </c>
      <c r="D11" s="3" t="s">
        <v>10768</v>
      </c>
      <c r="E11" s="3">
        <v>2</v>
      </c>
      <c r="F11" s="3" t="s">
        <v>10745</v>
      </c>
      <c r="G11" s="3" t="s">
        <v>10769</v>
      </c>
      <c r="H11" s="4" t="s">
        <v>10738</v>
      </c>
    </row>
    <row r="12" spans="1:8" ht="35" customHeight="1" x14ac:dyDescent="0.35">
      <c r="A12" s="6" t="s">
        <v>10761</v>
      </c>
      <c r="B12" s="3" t="s">
        <v>10770</v>
      </c>
      <c r="C12" s="3" t="s">
        <v>10771</v>
      </c>
      <c r="D12" s="3" t="s">
        <v>10772</v>
      </c>
      <c r="E12" s="3">
        <v>1</v>
      </c>
      <c r="F12" s="3" t="s">
        <v>10736</v>
      </c>
      <c r="G12" s="3" t="s">
        <v>10773</v>
      </c>
      <c r="H12" s="4" t="s">
        <v>10738</v>
      </c>
    </row>
    <row r="13" spans="1:8" ht="35" customHeight="1" x14ac:dyDescent="0.35">
      <c r="A13" s="7" t="s">
        <v>10774</v>
      </c>
      <c r="B13" s="3" t="s">
        <v>10775</v>
      </c>
      <c r="C13" s="3" t="s">
        <v>10776</v>
      </c>
      <c r="D13" s="3" t="s">
        <v>10777</v>
      </c>
      <c r="E13" s="3">
        <v>2</v>
      </c>
      <c r="F13" s="3" t="s">
        <v>10751</v>
      </c>
      <c r="G13" s="3" t="s">
        <v>10778</v>
      </c>
      <c r="H13" s="4" t="s">
        <v>10738</v>
      </c>
    </row>
    <row r="14" spans="1:8" ht="35" customHeight="1" x14ac:dyDescent="0.35">
      <c r="A14" s="7" t="s">
        <v>10774</v>
      </c>
      <c r="B14" s="3" t="s">
        <v>10779</v>
      </c>
      <c r="C14" s="3" t="s">
        <v>853</v>
      </c>
      <c r="D14" s="3" t="s">
        <v>10780</v>
      </c>
      <c r="E14" s="3">
        <v>1</v>
      </c>
      <c r="F14" s="3" t="s">
        <v>10736</v>
      </c>
      <c r="G14" s="3" t="s">
        <v>10781</v>
      </c>
      <c r="H14" s="4" t="s">
        <v>10738</v>
      </c>
    </row>
    <row r="15" spans="1:8" ht="35" customHeight="1" x14ac:dyDescent="0.35">
      <c r="A15" s="7" t="s">
        <v>10774</v>
      </c>
      <c r="B15" s="3" t="s">
        <v>10782</v>
      </c>
      <c r="C15" s="3" t="s">
        <v>10783</v>
      </c>
      <c r="D15" s="3" t="s">
        <v>10784</v>
      </c>
      <c r="E15" s="3">
        <v>2</v>
      </c>
      <c r="F15" s="3" t="s">
        <v>10785</v>
      </c>
      <c r="G15" s="3" t="s">
        <v>10786</v>
      </c>
      <c r="H15" s="4" t="s">
        <v>10738</v>
      </c>
    </row>
    <row r="16" spans="1:8" ht="35" customHeight="1" x14ac:dyDescent="0.35">
      <c r="A16" s="7" t="s">
        <v>10774</v>
      </c>
      <c r="B16" s="3" t="s">
        <v>10787</v>
      </c>
      <c r="C16" s="3" t="s">
        <v>2745</v>
      </c>
      <c r="D16" s="3" t="s">
        <v>10788</v>
      </c>
      <c r="E16" s="3">
        <v>1</v>
      </c>
      <c r="F16" s="3" t="s">
        <v>10745</v>
      </c>
      <c r="G16" s="3" t="s">
        <v>10789</v>
      </c>
      <c r="H16" s="4" t="s">
        <v>10738</v>
      </c>
    </row>
    <row r="17" spans="1:8" ht="35" customHeight="1" x14ac:dyDescent="0.35">
      <c r="A17" s="8" t="s">
        <v>10790</v>
      </c>
      <c r="B17" s="3" t="s">
        <v>10791</v>
      </c>
      <c r="C17" s="3" t="s">
        <v>10792</v>
      </c>
      <c r="D17" s="3" t="s">
        <v>10793</v>
      </c>
      <c r="E17" s="3">
        <v>2</v>
      </c>
      <c r="F17" s="3" t="s">
        <v>10741</v>
      </c>
      <c r="G17" s="3" t="s">
        <v>10794</v>
      </c>
      <c r="H17" s="4" t="s">
        <v>10738</v>
      </c>
    </row>
    <row r="18" spans="1:8" ht="35" customHeight="1" x14ac:dyDescent="0.35">
      <c r="A18" s="8" t="s">
        <v>10790</v>
      </c>
      <c r="B18" s="3" t="s">
        <v>10795</v>
      </c>
      <c r="C18" s="3" t="s">
        <v>767</v>
      </c>
      <c r="D18" s="3" t="s">
        <v>10796</v>
      </c>
      <c r="E18" s="3">
        <v>2</v>
      </c>
      <c r="F18" s="3" t="s">
        <v>10745</v>
      </c>
      <c r="G18" s="3" t="s">
        <v>10797</v>
      </c>
      <c r="H18" s="4" t="s">
        <v>10738</v>
      </c>
    </row>
    <row r="19" spans="1:8" ht="35" customHeight="1" x14ac:dyDescent="0.35">
      <c r="A19" s="8" t="s">
        <v>10790</v>
      </c>
      <c r="B19" s="3" t="s">
        <v>10798</v>
      </c>
      <c r="C19" s="3" t="s">
        <v>10799</v>
      </c>
      <c r="D19" s="3" t="s">
        <v>10800</v>
      </c>
      <c r="E19" s="3">
        <v>2</v>
      </c>
      <c r="F19" s="3" t="s">
        <v>10751</v>
      </c>
      <c r="G19" s="3" t="s">
        <v>10801</v>
      </c>
      <c r="H19" s="4" t="s">
        <v>10738</v>
      </c>
    </row>
    <row r="20" spans="1:8" ht="35" customHeight="1" x14ac:dyDescent="0.35">
      <c r="A20" s="9" t="s">
        <v>10802</v>
      </c>
      <c r="B20" s="3" t="s">
        <v>10803</v>
      </c>
      <c r="C20" s="3" t="s">
        <v>524</v>
      </c>
      <c r="D20" s="3" t="s">
        <v>10804</v>
      </c>
      <c r="E20" s="3">
        <v>4</v>
      </c>
      <c r="F20" s="3" t="s">
        <v>10805</v>
      </c>
      <c r="G20" s="3" t="s">
        <v>10806</v>
      </c>
      <c r="H20" s="4" t="s">
        <v>10738</v>
      </c>
    </row>
    <row r="21" spans="1:8" ht="35" customHeight="1" x14ac:dyDescent="0.35">
      <c r="A21" s="9" t="s">
        <v>10802</v>
      </c>
      <c r="B21" s="3" t="s">
        <v>1561</v>
      </c>
      <c r="C21" s="3" t="s">
        <v>522</v>
      </c>
      <c r="D21" s="3" t="s">
        <v>10807</v>
      </c>
      <c r="E21" s="3">
        <v>4</v>
      </c>
      <c r="F21" s="3" t="s">
        <v>10808</v>
      </c>
      <c r="G21" s="3" t="s">
        <v>10809</v>
      </c>
      <c r="H21" s="4" t="s">
        <v>10738</v>
      </c>
    </row>
    <row r="23" spans="1:8" x14ac:dyDescent="0.35">
      <c r="B23" s="1541" t="s">
        <v>10810</v>
      </c>
      <c r="C23" s="1313"/>
      <c r="D23" s="1313"/>
      <c r="E23" s="1313"/>
      <c r="F23" s="1313"/>
      <c r="G23" s="1313"/>
      <c r="H23" s="1313"/>
    </row>
    <row r="24" spans="1:8" ht="20" customHeight="1" x14ac:dyDescent="0.35">
      <c r="B24" s="1540" t="s">
        <v>10811</v>
      </c>
      <c r="C24" s="1313"/>
      <c r="D24" s="1313"/>
      <c r="E24" s="1313"/>
      <c r="F24" s="1313"/>
      <c r="G24" s="1313"/>
      <c r="H24" s="1313"/>
    </row>
    <row r="25" spans="1:8" ht="20" customHeight="1" x14ac:dyDescent="0.35">
      <c r="B25" s="1540" t="s">
        <v>10812</v>
      </c>
      <c r="C25" s="1313"/>
      <c r="D25" s="1313"/>
      <c r="E25" s="1313"/>
      <c r="F25" s="1313"/>
      <c r="G25" s="1313"/>
      <c r="H25" s="1313"/>
    </row>
    <row r="26" spans="1:8" ht="20" customHeight="1" x14ac:dyDescent="0.35">
      <c r="B26" s="1540" t="s">
        <v>10813</v>
      </c>
      <c r="C26" s="1313"/>
      <c r="D26" s="1313"/>
      <c r="E26" s="1313"/>
      <c r="F26" s="1313"/>
      <c r="G26" s="1313"/>
      <c r="H26" s="1313"/>
    </row>
    <row r="27" spans="1:8" ht="20" customHeight="1" x14ac:dyDescent="0.35">
      <c r="B27" s="1540" t="s">
        <v>10814</v>
      </c>
      <c r="C27" s="1313"/>
      <c r="D27" s="1313"/>
      <c r="E27" s="1313"/>
      <c r="F27" s="1313"/>
      <c r="G27" s="1313"/>
      <c r="H27" s="1313"/>
    </row>
    <row r="28" spans="1:8" ht="20" customHeight="1" x14ac:dyDescent="0.35">
      <c r="B28" s="1540" t="s">
        <v>10815</v>
      </c>
      <c r="C28" s="1313"/>
      <c r="D28" s="1313"/>
      <c r="E28" s="1313"/>
      <c r="F28" s="1313"/>
      <c r="G28" s="1313"/>
      <c r="H28" s="1313"/>
    </row>
  </sheetData>
  <mergeCells count="8">
    <mergeCell ref="B28:H28"/>
    <mergeCell ref="B23:H23"/>
    <mergeCell ref="A1:H1"/>
    <mergeCell ref="B26:H26"/>
    <mergeCell ref="B27:H27"/>
    <mergeCell ref="A2:H2"/>
    <mergeCell ref="B24:H24"/>
    <mergeCell ref="B25:H25"/>
  </mergeCells>
  <hyperlinks>
    <hyperlink ref="H4" r:id="rId1" xr:uid="{00000000-0004-0000-1C00-000000000000}"/>
    <hyperlink ref="H5" r:id="rId2" xr:uid="{00000000-0004-0000-1C00-000001000000}"/>
    <hyperlink ref="H6" r:id="rId3" xr:uid="{00000000-0004-0000-1C00-000002000000}"/>
    <hyperlink ref="H7" r:id="rId4" xr:uid="{00000000-0004-0000-1C00-000003000000}"/>
    <hyperlink ref="H8" r:id="rId5" xr:uid="{00000000-0004-0000-1C00-000004000000}"/>
    <hyperlink ref="H9" r:id="rId6" xr:uid="{00000000-0004-0000-1C00-000005000000}"/>
    <hyperlink ref="H10" r:id="rId7" xr:uid="{00000000-0004-0000-1C00-000006000000}"/>
    <hyperlink ref="H11" r:id="rId8" xr:uid="{00000000-0004-0000-1C00-000007000000}"/>
    <hyperlink ref="H12" r:id="rId9" xr:uid="{00000000-0004-0000-1C00-000008000000}"/>
    <hyperlink ref="H13" r:id="rId10" xr:uid="{00000000-0004-0000-1C00-000009000000}"/>
    <hyperlink ref="H14" r:id="rId11" xr:uid="{00000000-0004-0000-1C00-00000A000000}"/>
    <hyperlink ref="H15" r:id="rId12" xr:uid="{00000000-0004-0000-1C00-00000B000000}"/>
    <hyperlink ref="H16" r:id="rId13" xr:uid="{00000000-0004-0000-1C00-00000C000000}"/>
    <hyperlink ref="H17" r:id="rId14" xr:uid="{00000000-0004-0000-1C00-00000D000000}"/>
    <hyperlink ref="H18" r:id="rId15" xr:uid="{00000000-0004-0000-1C00-00000E000000}"/>
    <hyperlink ref="H19" r:id="rId16" xr:uid="{00000000-0004-0000-1C00-00000F000000}"/>
    <hyperlink ref="H20" r:id="rId17" xr:uid="{00000000-0004-0000-1C00-000010000000}"/>
    <hyperlink ref="H21" r:id="rId18" xr:uid="{00000000-0004-0000-1C00-000011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68"/>
  <sheetViews>
    <sheetView workbookViewId="0">
      <pane ySplit="3" topLeftCell="A13" activePane="bottomLeft" state="frozen"/>
      <selection activeCell="B1" sqref="B1"/>
      <selection pane="bottomLeft" activeCell="H72" sqref="H72"/>
    </sheetView>
  </sheetViews>
  <sheetFormatPr defaultRowHeight="14.5" x14ac:dyDescent="0.35"/>
  <cols>
    <col min="1" max="1" width="4" customWidth="1"/>
    <col min="2" max="2" width="36" customWidth="1"/>
    <col min="3" max="3" width="12" customWidth="1"/>
    <col min="4" max="4" width="32" customWidth="1"/>
    <col min="5" max="5" width="18" customWidth="1"/>
    <col min="6" max="6" width="12" customWidth="1"/>
    <col min="7" max="7" width="52" customWidth="1"/>
    <col min="8" max="8" width="20" customWidth="1"/>
    <col min="9" max="9" width="52" customWidth="1"/>
    <col min="10" max="10" width="58" customWidth="1"/>
  </cols>
  <sheetData>
    <row r="1" spans="1:10" ht="32" customHeight="1" x14ac:dyDescent="0.35">
      <c r="A1" s="1544" t="s">
        <v>18458</v>
      </c>
      <c r="B1" s="1545"/>
      <c r="C1" s="1545"/>
      <c r="D1" s="1545"/>
      <c r="E1" s="1545"/>
      <c r="F1" s="1545"/>
      <c r="G1" s="1545"/>
      <c r="H1" s="1545"/>
      <c r="I1" s="1545"/>
      <c r="J1" s="1545"/>
    </row>
    <row r="2" spans="1:10" ht="16" customHeight="1" x14ac:dyDescent="0.35">
      <c r="A2" s="1546" t="s">
        <v>16557</v>
      </c>
      <c r="B2" s="1547"/>
      <c r="C2" s="1547"/>
      <c r="D2" s="1547"/>
      <c r="E2" s="1547"/>
      <c r="F2" s="1547"/>
      <c r="G2" s="1547"/>
      <c r="H2" s="1547"/>
      <c r="I2" s="1547"/>
      <c r="J2" s="1547"/>
    </row>
    <row r="3" spans="1:10" ht="24" customHeight="1" x14ac:dyDescent="0.35">
      <c r="A3" s="238" t="s">
        <v>141</v>
      </c>
      <c r="B3" s="238" t="s">
        <v>6270</v>
      </c>
      <c r="C3" s="238" t="s">
        <v>1324</v>
      </c>
      <c r="D3" s="238" t="s">
        <v>6739</v>
      </c>
      <c r="E3" s="238" t="s">
        <v>619</v>
      </c>
      <c r="F3" s="238" t="s">
        <v>16425</v>
      </c>
      <c r="G3" s="37" t="s">
        <v>2264</v>
      </c>
      <c r="H3" s="238" t="s">
        <v>8764</v>
      </c>
      <c r="I3" s="303" t="s">
        <v>8</v>
      </c>
      <c r="J3" s="238" t="s">
        <v>789</v>
      </c>
    </row>
    <row r="4" spans="1:10" ht="22" customHeight="1" x14ac:dyDescent="0.35">
      <c r="A4" s="1479" t="s">
        <v>12988</v>
      </c>
      <c r="B4" s="1313"/>
      <c r="C4" s="1313"/>
      <c r="D4" s="1313"/>
      <c r="E4" s="1313"/>
      <c r="F4" s="1313"/>
      <c r="G4" s="1313"/>
      <c r="H4" s="1313"/>
      <c r="I4" s="1313"/>
    </row>
    <row r="5" spans="1:10" ht="110" customHeight="1" x14ac:dyDescent="0.35">
      <c r="A5" s="338">
        <v>1</v>
      </c>
      <c r="B5" s="239" t="s">
        <v>6751</v>
      </c>
      <c r="C5" s="240" t="s">
        <v>12989</v>
      </c>
      <c r="D5" s="239" t="s">
        <v>12990</v>
      </c>
      <c r="E5" s="239" t="s">
        <v>792</v>
      </c>
      <c r="F5" s="239" t="s">
        <v>12991</v>
      </c>
      <c r="G5" s="239" t="s">
        <v>12992</v>
      </c>
      <c r="H5" s="239" t="s">
        <v>3096</v>
      </c>
      <c r="I5" s="304" t="s">
        <v>12993</v>
      </c>
      <c r="J5" s="257" t="str">
        <f>HYPERLINK("https://www.google.com/maps/search/Parque%20Biol%C3%B3gico%20de%20Gaia%20Insetos%20e%20Polinizadores%20Portugal/@41.0591,-8.5983,17z","🔍 Parque Biológico de Gaia")</f>
        <v>🔍 Parque Biológico de Gaia</v>
      </c>
    </row>
    <row r="6" spans="1:10" ht="110" customHeight="1" x14ac:dyDescent="0.35">
      <c r="A6" s="336">
        <v>2</v>
      </c>
      <c r="B6" s="242" t="s">
        <v>12994</v>
      </c>
      <c r="C6" s="243" t="s">
        <v>12989</v>
      </c>
      <c r="D6" s="242" t="s">
        <v>12995</v>
      </c>
      <c r="E6" s="242" t="s">
        <v>836</v>
      </c>
      <c r="F6" s="242" t="s">
        <v>12996</v>
      </c>
      <c r="G6" s="242" t="s">
        <v>12997</v>
      </c>
      <c r="H6" s="242" t="s">
        <v>3096</v>
      </c>
      <c r="I6" s="305" t="s">
        <v>12998</v>
      </c>
      <c r="J6" s="258" t="str">
        <f>HYPERLINK("https://www.google.com/maps/search/EBIO%20de%20Coimbra%20/%20Jardim%20Bot%C3%A2nico%20da%20UC%20Insetos%20e%20Polinizadores%20Portugal/@40.2063,-8.418,17z","🔍 EBIO de Coimbra / Jardim Bo…")</f>
        <v>🔍 EBIO de Coimbra / Jardim Bo…</v>
      </c>
    </row>
    <row r="7" spans="1:10" ht="110" customHeight="1" x14ac:dyDescent="0.35">
      <c r="A7" s="338">
        <v>3</v>
      </c>
      <c r="B7" s="239" t="s">
        <v>12999</v>
      </c>
      <c r="C7" s="240" t="s">
        <v>12989</v>
      </c>
      <c r="D7" s="239" t="s">
        <v>13000</v>
      </c>
      <c r="E7" s="239" t="s">
        <v>913</v>
      </c>
      <c r="F7" s="239" t="s">
        <v>13001</v>
      </c>
      <c r="G7" s="239" t="s">
        <v>13002</v>
      </c>
      <c r="H7" s="239" t="s">
        <v>3096</v>
      </c>
      <c r="I7" s="304" t="s">
        <v>13003</v>
      </c>
      <c r="J7" s="257" t="str">
        <f>HYPERLINK("https://www.google.com/maps/search/Rede%20Esta%C3%A7%C3%B5es%20Biodiversidade%20Tagis%20%28Lisboa%29%20Insetos%20e%20Polinizadores%20Portugal/@38.7223,-9.1393,17z","🔍 Rede Estações Biodiversidad…")</f>
        <v>🔍 Rede Estações Biodiversidad…</v>
      </c>
    </row>
    <row r="8" spans="1:10" ht="110" customHeight="1" x14ac:dyDescent="0.35">
      <c r="A8" s="336">
        <v>4</v>
      </c>
      <c r="B8" s="242" t="s">
        <v>13004</v>
      </c>
      <c r="C8" s="243" t="s">
        <v>12989</v>
      </c>
      <c r="D8" s="242" t="s">
        <v>13005</v>
      </c>
      <c r="E8" s="242" t="s">
        <v>767</v>
      </c>
      <c r="F8" s="242" t="s">
        <v>13006</v>
      </c>
      <c r="G8" s="242" t="s">
        <v>13007</v>
      </c>
      <c r="H8" s="242" t="s">
        <v>3096</v>
      </c>
      <c r="I8" s="305" t="s">
        <v>13008</v>
      </c>
      <c r="J8" s="258" t="str">
        <f>HYPERLINK("https://www.google.com/maps/search/Centro%20Ci%C3%AAncia%20Viva%20do%20Algarve%20Insetos%20e%20Polinizadores%20Portugal/@37.0194,-7.9322,17z","🔍 Centro Ciência Viva do Alga…")</f>
        <v>🔍 Centro Ciência Viva do Alga…</v>
      </c>
    </row>
    <row r="9" spans="1:10" ht="110" customHeight="1" x14ac:dyDescent="0.35">
      <c r="A9" s="338">
        <v>5</v>
      </c>
      <c r="B9" s="239" t="s">
        <v>13009</v>
      </c>
      <c r="C9" s="240" t="s">
        <v>12989</v>
      </c>
      <c r="D9" s="239" t="s">
        <v>13010</v>
      </c>
      <c r="E9" s="239" t="s">
        <v>15058</v>
      </c>
      <c r="F9" s="239" t="s">
        <v>13011</v>
      </c>
      <c r="G9" s="239" t="s">
        <v>13012</v>
      </c>
      <c r="H9" s="239" t="s">
        <v>3096</v>
      </c>
      <c r="I9" s="304" t="s">
        <v>13013</v>
      </c>
      <c r="J9" s="239" t="s">
        <v>13014</v>
      </c>
    </row>
    <row r="10" spans="1:10" ht="110" customHeight="1" x14ac:dyDescent="0.35">
      <c r="A10" s="336">
        <v>6</v>
      </c>
      <c r="B10" s="242" t="s">
        <v>13015</v>
      </c>
      <c r="C10" s="243" t="s">
        <v>12989</v>
      </c>
      <c r="D10" s="242" t="s">
        <v>13016</v>
      </c>
      <c r="E10" s="242" t="s">
        <v>15058</v>
      </c>
      <c r="F10" s="242" t="s">
        <v>13017</v>
      </c>
      <c r="G10" s="242" t="s">
        <v>13018</v>
      </c>
      <c r="H10" s="242" t="s">
        <v>3096</v>
      </c>
      <c r="I10" s="305" t="s">
        <v>13019</v>
      </c>
      <c r="J10" s="242" t="s">
        <v>13014</v>
      </c>
    </row>
    <row r="11" spans="1:10" ht="110" customHeight="1" x14ac:dyDescent="0.35">
      <c r="A11" s="338">
        <v>7</v>
      </c>
      <c r="B11" s="239" t="s">
        <v>13020</v>
      </c>
      <c r="C11" s="240" t="s">
        <v>12989</v>
      </c>
      <c r="D11" s="239" t="s">
        <v>13021</v>
      </c>
      <c r="E11" s="239" t="s">
        <v>15058</v>
      </c>
      <c r="F11" s="239" t="s">
        <v>13022</v>
      </c>
      <c r="G11" s="239" t="s">
        <v>13023</v>
      </c>
      <c r="H11" s="239" t="s">
        <v>3096</v>
      </c>
      <c r="I11" s="304" t="s">
        <v>13024</v>
      </c>
      <c r="J11" s="239" t="s">
        <v>13014</v>
      </c>
    </row>
    <row r="12" spans="1:10" ht="110" customHeight="1" x14ac:dyDescent="0.35">
      <c r="A12" s="336">
        <v>8</v>
      </c>
      <c r="B12" s="242" t="s">
        <v>13025</v>
      </c>
      <c r="C12" s="243" t="s">
        <v>12989</v>
      </c>
      <c r="D12" s="244" t="s">
        <v>13026</v>
      </c>
      <c r="E12" s="242" t="s">
        <v>853</v>
      </c>
      <c r="F12" s="242" t="s">
        <v>13027</v>
      </c>
      <c r="G12" s="242" t="s">
        <v>13028</v>
      </c>
      <c r="H12" s="242" t="s">
        <v>3096</v>
      </c>
      <c r="I12" s="305" t="s">
        <v>13029</v>
      </c>
      <c r="J12" s="258" t="str">
        <f>HYPERLINK("https://www.google.com/maps/search/Herdade%20da%20Mitra%20%28U%C3%89vora%29%20Insetos%20e%20Polinizadores%20Portugal/@38.495,-8.007,17z","🔍 Herdade da Mitra (UÉvora)")</f>
        <v>🔍 Herdade da Mitra (UÉvora)</v>
      </c>
    </row>
    <row r="13" spans="1:10" ht="56" x14ac:dyDescent="0.35">
      <c r="A13" s="338">
        <v>9</v>
      </c>
      <c r="B13" s="239" t="s">
        <v>13030</v>
      </c>
      <c r="C13" s="240" t="s">
        <v>12989</v>
      </c>
      <c r="D13" s="239" t="s">
        <v>13031</v>
      </c>
      <c r="E13" s="239" t="s">
        <v>853</v>
      </c>
      <c r="F13" s="239" t="s">
        <v>13032</v>
      </c>
      <c r="G13" s="239" t="s">
        <v>6044</v>
      </c>
      <c r="H13" s="239" t="s">
        <v>3096</v>
      </c>
      <c r="I13" s="304" t="s">
        <v>13033</v>
      </c>
      <c r="J13" s="257" t="str">
        <f>HYPERLINK("https://www.google.com/maps/search/Parque%20Natural%20do%20Vale%20do%20Guadiana%20Insetos%20e%20Polinizadores%20Portugal/@37.662,-7.419,17z","🔍 Parque Natural do Vale do G…")</f>
        <v>🔍 Parque Natural do Vale do G…</v>
      </c>
    </row>
    <row r="14" spans="1:10" ht="110" customHeight="1" x14ac:dyDescent="0.35">
      <c r="A14" s="336">
        <v>10</v>
      </c>
      <c r="B14" s="242" t="s">
        <v>13034</v>
      </c>
      <c r="C14" s="243" t="s">
        <v>12989</v>
      </c>
      <c r="D14" s="242" t="s">
        <v>13035</v>
      </c>
      <c r="E14" s="242" t="s">
        <v>913</v>
      </c>
      <c r="F14" s="242" t="s">
        <v>13036</v>
      </c>
      <c r="G14" s="242" t="s">
        <v>6039</v>
      </c>
      <c r="H14" s="242" t="s">
        <v>3096</v>
      </c>
      <c r="I14" s="305" t="s">
        <v>13037</v>
      </c>
      <c r="J14" s="258" t="str">
        <f>HYPERLINK("https://www.google.com/maps/search/Mata%20de%20Sesimbra%20%28Arr%C3%A1bida%29%20Insetos%20e%20Polinizadores%20Portugal/@38.468,-9.1,17z","🔍 Mata de Sesimbra (Arrábida)")</f>
        <v>🔍 Mata de Sesimbra (Arrábida)</v>
      </c>
    </row>
    <row r="15" spans="1:10" ht="110" customHeight="1" x14ac:dyDescent="0.35">
      <c r="A15" s="338">
        <v>11</v>
      </c>
      <c r="B15" s="239" t="s">
        <v>13038</v>
      </c>
      <c r="C15" s="240" t="s">
        <v>12989</v>
      </c>
      <c r="D15" s="239" t="s">
        <v>13039</v>
      </c>
      <c r="E15" s="239" t="s">
        <v>913</v>
      </c>
      <c r="F15" s="239" t="s">
        <v>13040</v>
      </c>
      <c r="G15" s="239" t="s">
        <v>13041</v>
      </c>
      <c r="H15" s="239" t="s">
        <v>3096</v>
      </c>
      <c r="I15" s="304" t="s">
        <v>13042</v>
      </c>
      <c r="J15" s="257" t="str">
        <f>HYPERLINK("https://www.google.com/maps/search/Vale%20de%20Milha%C3%A7os%20%28Azeit%C3%A3o%29%20Insetos%20e%20Polinizadores%20Portugal/@38.511,-9.038,17z","🔍 Vale de Milhaços (Azeitão)")</f>
        <v>🔍 Vale de Milhaços (Azeitão)</v>
      </c>
    </row>
    <row r="16" spans="1:10" ht="110" customHeight="1" x14ac:dyDescent="0.35">
      <c r="A16" s="336">
        <v>12</v>
      </c>
      <c r="B16" s="242" t="s">
        <v>13043</v>
      </c>
      <c r="C16" s="243" t="s">
        <v>12989</v>
      </c>
      <c r="D16" s="244" t="s">
        <v>13044</v>
      </c>
      <c r="E16" s="242" t="s">
        <v>792</v>
      </c>
      <c r="F16" s="242" t="s">
        <v>13045</v>
      </c>
      <c r="G16" s="242" t="s">
        <v>5860</v>
      </c>
      <c r="H16" s="242" t="s">
        <v>3096</v>
      </c>
      <c r="I16" s="305" t="s">
        <v>13046</v>
      </c>
      <c r="J16" s="258" t="str">
        <f>HYPERLINK("https://www.google.com/maps/search/Esta%C3%A7%C3%A3o%20Experimental%20de%20Montemuro%20%28U.Tr%C3%A1s-os-Montes%29%20Insetos%20e%20Polinizadores%20Portugal/@41.012,-7.982,17z","🔍 Estação Experimental de Mon…")</f>
        <v>🔍 Estação Experimental de Mon…</v>
      </c>
    </row>
    <row r="17" spans="1:10" ht="110" customHeight="1" x14ac:dyDescent="0.35">
      <c r="A17" s="338">
        <v>13</v>
      </c>
      <c r="B17" s="239" t="s">
        <v>13047</v>
      </c>
      <c r="C17" s="240" t="s">
        <v>12989</v>
      </c>
      <c r="D17" s="241" t="s">
        <v>13048</v>
      </c>
      <c r="E17" s="239" t="s">
        <v>792</v>
      </c>
      <c r="F17" s="239" t="s">
        <v>13049</v>
      </c>
      <c r="G17" s="239" t="s">
        <v>2817</v>
      </c>
      <c r="H17" s="239" t="s">
        <v>3096</v>
      </c>
      <c r="I17" s="304" t="s">
        <v>13050</v>
      </c>
      <c r="J17" s="257" t="str">
        <f>HYPERLINK("https://www.google.com/maps/search/Agrobiotech%20%E2%80%94%20P%C3%B3lo%20de%20Bragan%C3%A7a%20%28IPB%29%20Insetos%20e%20Polinizadores%20Portugal/@41.801,-6.751,17z","🔍 Agrobiotech — Pólo de Braga…")</f>
        <v>🔍 Agrobiotech — Pólo de Braga…</v>
      </c>
    </row>
    <row r="18" spans="1:10" ht="110" customHeight="1" x14ac:dyDescent="0.35">
      <c r="A18" s="336">
        <v>14</v>
      </c>
      <c r="B18" s="242" t="s">
        <v>7149</v>
      </c>
      <c r="C18" s="243" t="s">
        <v>12989</v>
      </c>
      <c r="D18" s="242" t="s">
        <v>13051</v>
      </c>
      <c r="E18" s="242" t="s">
        <v>524</v>
      </c>
      <c r="F18" s="242" t="s">
        <v>13052</v>
      </c>
      <c r="G18" s="242" t="s">
        <v>13053</v>
      </c>
      <c r="H18" s="242" t="s">
        <v>3096</v>
      </c>
      <c r="I18" s="305" t="s">
        <v>13054</v>
      </c>
      <c r="J18" s="258" t="str">
        <f>HYPERLINK("https://www.google.com/maps/search/Jardim%20Bot%C3%A2nico%20da%20Madeira%20Insetos%20e%20Polinizadores%20Portugal/@32.66,-16.912,17z","🔍 Jardim Botânico da Madeira")</f>
        <v>🔍 Jardim Botânico da Madeira</v>
      </c>
    </row>
    <row r="19" spans="1:10" ht="110" customHeight="1" x14ac:dyDescent="0.35">
      <c r="A19" s="338">
        <v>15</v>
      </c>
      <c r="B19" s="239" t="s">
        <v>13055</v>
      </c>
      <c r="C19" s="240" t="s">
        <v>12989</v>
      </c>
      <c r="D19" s="241" t="s">
        <v>13056</v>
      </c>
      <c r="E19" s="239" t="s">
        <v>522</v>
      </c>
      <c r="F19" s="239" t="s">
        <v>13057</v>
      </c>
      <c r="G19" s="239" t="s">
        <v>2817</v>
      </c>
      <c r="H19" s="239" t="s">
        <v>3096</v>
      </c>
      <c r="I19" s="304" t="s">
        <v>13058</v>
      </c>
      <c r="J19" s="257" t="str">
        <f>HYPERLINK("https://www.google.com/maps/search/Reserva%20Natural%20da%20Caldeira%20do%20Faial%20Insetos%20e%20Polinizadores%20Portugal/@38.594,-28.718,17z","🔍 Reserva Natural da Caldeira…")</f>
        <v>🔍 Reserva Natural da Caldeira…</v>
      </c>
    </row>
    <row r="20" spans="1:10" ht="110" customHeight="1" x14ac:dyDescent="0.35">
      <c r="A20" s="336">
        <v>16</v>
      </c>
      <c r="B20" s="242" t="s">
        <v>13059</v>
      </c>
      <c r="C20" s="243" t="s">
        <v>12989</v>
      </c>
      <c r="D20" s="242" t="s">
        <v>13060</v>
      </c>
      <c r="E20" s="242" t="s">
        <v>15058</v>
      </c>
      <c r="F20" s="242" t="s">
        <v>13061</v>
      </c>
      <c r="G20" s="242" t="s">
        <v>6039</v>
      </c>
      <c r="H20" s="242" t="s">
        <v>3096</v>
      </c>
      <c r="I20" s="305" t="s">
        <v>13062</v>
      </c>
      <c r="J20" s="258" t="str">
        <f>HYPERLINK("https://www.google.com/maps/search/Estaci%C3%B3n%20Biol%C3%B3gica%20de%20Do%C3%B1ana%20Insetos%20e%20Polinizadores%20Portugal/@37.007,-6.393,17z","🔍 Estación Biológica de Doñana")</f>
        <v>🔍 Estación Biológica de Doñana</v>
      </c>
    </row>
    <row r="21" spans="1:10" ht="110" customHeight="1" x14ac:dyDescent="0.35">
      <c r="A21" s="338">
        <v>17</v>
      </c>
      <c r="B21" s="239" t="s">
        <v>13063</v>
      </c>
      <c r="C21" s="240" t="s">
        <v>13064</v>
      </c>
      <c r="D21" s="239" t="s">
        <v>13065</v>
      </c>
      <c r="E21" s="239" t="s">
        <v>913</v>
      </c>
      <c r="F21" s="239" t="s">
        <v>13066</v>
      </c>
      <c r="G21" s="239" t="s">
        <v>13067</v>
      </c>
      <c r="H21" s="239" t="s">
        <v>3096</v>
      </c>
      <c r="I21" s="304" t="s">
        <v>13068</v>
      </c>
      <c r="J21" s="257" t="str">
        <f>HYPERLINK("https://www.google.com/maps/search/Estu%C3%A1rio%20do%20Sado%20/%20Sesimbra%20Avistamento%20Cet%C3%A1ceos%20Portugal/@38.4411,-9.1028,17z","🔍 Estuário do Sado / Sesimbra")</f>
        <v>🔍 Estuário do Sado / Sesimbra</v>
      </c>
    </row>
    <row r="22" spans="1:10" ht="110" customHeight="1" x14ac:dyDescent="0.35">
      <c r="A22" s="336">
        <v>18</v>
      </c>
      <c r="B22" s="242" t="s">
        <v>13069</v>
      </c>
      <c r="C22" s="243" t="s">
        <v>13064</v>
      </c>
      <c r="D22" s="242" t="s">
        <v>13070</v>
      </c>
      <c r="E22" s="242" t="s">
        <v>913</v>
      </c>
      <c r="F22" s="242" t="s">
        <v>13071</v>
      </c>
      <c r="G22" s="242" t="s">
        <v>13072</v>
      </c>
      <c r="H22" s="242" t="s">
        <v>3096</v>
      </c>
      <c r="I22" s="305" t="s">
        <v>13073</v>
      </c>
      <c r="J22" s="258" t="str">
        <f>HYPERLINK("https://www.google.com/maps/search/Fal%C3%A9sias%20da%20Arr%C3%A1bida%20%28observa%C3%A7%C3%A3o%20de%20terra%29%20Avistamento%20Cet%C3%A1ceos%20Portugal/@38.4551,-8.9912,17z","🔍 Falésias da Arrábida (obser…")</f>
        <v>🔍 Falésias da Arrábida (obser…</v>
      </c>
    </row>
    <row r="23" spans="1:10" ht="110" customHeight="1" x14ac:dyDescent="0.35">
      <c r="A23" s="338">
        <v>19</v>
      </c>
      <c r="B23" s="239" t="s">
        <v>13074</v>
      </c>
      <c r="C23" s="240" t="s">
        <v>13064</v>
      </c>
      <c r="D23" s="239" t="s">
        <v>13075</v>
      </c>
      <c r="E23" s="239" t="s">
        <v>767</v>
      </c>
      <c r="F23" s="239" t="s">
        <v>13076</v>
      </c>
      <c r="G23" s="239" t="s">
        <v>13077</v>
      </c>
      <c r="H23" s="239" t="s">
        <v>3096</v>
      </c>
      <c r="I23" s="304" t="s">
        <v>13078</v>
      </c>
      <c r="J23" s="257" t="str">
        <f>HYPERLINK("https://www.google.com/maps/search/Sagres%20/%20Canh%C3%A3o%20de%20S%C3%A3o%20Vicente%20Avistamento%20Cet%C3%A1ceos%20Portugal/@37.0011,-8.9322,17z","🔍 Sagres / Canhão de São Vice…")</f>
        <v>🔍 Sagres / Canhão de São Vice…</v>
      </c>
    </row>
    <row r="24" spans="1:10" ht="110" customHeight="1" x14ac:dyDescent="0.35">
      <c r="A24" s="336">
        <v>20</v>
      </c>
      <c r="B24" s="242" t="s">
        <v>13079</v>
      </c>
      <c r="C24" s="243" t="s">
        <v>13064</v>
      </c>
      <c r="D24" s="242" t="s">
        <v>13080</v>
      </c>
      <c r="E24" s="242" t="s">
        <v>522</v>
      </c>
      <c r="F24" s="242" t="s">
        <v>13081</v>
      </c>
      <c r="G24" s="242" t="s">
        <v>13082</v>
      </c>
      <c r="H24" s="242" t="s">
        <v>3096</v>
      </c>
      <c r="I24" s="305" t="s">
        <v>13083</v>
      </c>
      <c r="J24" s="258" t="str">
        <f>HYPERLINK("https://www.google.com/maps/search/Mosteiros%20%28S%C3%A3o%20Miguel%2C%20A%C3%A7ores%29%20Avistamento%20Cet%C3%A1ceos%20Portugal/@37.892,-25.821,17z","🔍 Mosteiros (São Miguel, Açor…")</f>
        <v>🔍 Mosteiros (São Miguel, Açor…</v>
      </c>
    </row>
    <row r="25" spans="1:10" ht="110" customHeight="1" x14ac:dyDescent="0.35">
      <c r="A25" s="338">
        <v>21</v>
      </c>
      <c r="B25" s="239" t="s">
        <v>13084</v>
      </c>
      <c r="C25" s="240" t="s">
        <v>13064</v>
      </c>
      <c r="D25" s="239" t="s">
        <v>13085</v>
      </c>
      <c r="E25" s="239" t="s">
        <v>522</v>
      </c>
      <c r="F25" s="239" t="s">
        <v>13086</v>
      </c>
      <c r="G25" s="239" t="s">
        <v>13087</v>
      </c>
      <c r="H25" s="239" t="s">
        <v>3096</v>
      </c>
      <c r="I25" s="304" t="s">
        <v>13088</v>
      </c>
      <c r="J25" s="257" t="str">
        <f>HYPERLINK("https://www.google.com/maps/search/Vila%20Franca%20do%20Campo%20%28S%C3%A3o%20Miguel%2C%20A%C3%A7ores%29%20Avistamento%20Cet%C3%A1ceos%20Portugal/@37.7144,-25.4336,17z","🔍 Vila Franca do Campo (São M…")</f>
        <v>🔍 Vila Franca do Campo (São M…</v>
      </c>
    </row>
    <row r="26" spans="1:10" ht="110" customHeight="1" x14ac:dyDescent="0.35">
      <c r="A26" s="336">
        <v>22</v>
      </c>
      <c r="B26" s="242" t="s">
        <v>13089</v>
      </c>
      <c r="C26" s="243" t="s">
        <v>13064</v>
      </c>
      <c r="D26" s="242" t="s">
        <v>13090</v>
      </c>
      <c r="E26" s="242" t="s">
        <v>524</v>
      </c>
      <c r="F26" s="242" t="s">
        <v>13091</v>
      </c>
      <c r="G26" s="242" t="s">
        <v>13092</v>
      </c>
      <c r="H26" s="242" t="s">
        <v>3096</v>
      </c>
      <c r="I26" s="305" t="s">
        <v>13093</v>
      </c>
      <c r="J26" s="258" t="str">
        <f>HYPERLINK("https://www.google.com/maps/search/Cani%C3%A7al%20/%20Ponta%20de%20S%C3%A3o%20Louren%C3%A7o%20%28Madeira%29%20Avistamento%20Cet%C3%A1ceos%20Portugal/@32.7358,-16.7389,17z","🔍 Caniçal / Ponta de São Lour…")</f>
        <v>🔍 Caniçal / Ponta de São Lour…</v>
      </c>
    </row>
    <row r="27" spans="1:10" ht="110" customHeight="1" x14ac:dyDescent="0.35">
      <c r="A27" s="338">
        <v>23</v>
      </c>
      <c r="B27" s="239" t="s">
        <v>13094</v>
      </c>
      <c r="C27" s="240" t="s">
        <v>13064</v>
      </c>
      <c r="D27" s="239" t="s">
        <v>13095</v>
      </c>
      <c r="E27" s="239" t="s">
        <v>792</v>
      </c>
      <c r="F27" s="239" t="s">
        <v>13096</v>
      </c>
      <c r="G27" s="239" t="s">
        <v>13097</v>
      </c>
      <c r="H27" s="239" t="s">
        <v>3096</v>
      </c>
      <c r="I27" s="304" t="s">
        <v>13098</v>
      </c>
      <c r="J27" s="257" t="str">
        <f>HYPERLINK("https://www.google.com/maps/search/Peniche%20%E2%80%94%20Cabo%20Carvoeiro%20Avistamento%20Cet%C3%A1ceos%20Portugal/@39.363,-9.404,17z","🔍 Peniche — Cabo Carvoeiro")</f>
        <v>🔍 Peniche — Cabo Carvoeiro</v>
      </c>
    </row>
    <row r="28" spans="1:10" ht="110" customHeight="1" x14ac:dyDescent="0.35">
      <c r="A28" s="336">
        <v>24</v>
      </c>
      <c r="B28" s="242" t="s">
        <v>13099</v>
      </c>
      <c r="C28" s="243" t="s">
        <v>13064</v>
      </c>
      <c r="D28" s="242" t="s">
        <v>13100</v>
      </c>
      <c r="E28" s="242" t="s">
        <v>792</v>
      </c>
      <c r="F28" s="242" t="s">
        <v>13101</v>
      </c>
      <c r="G28" s="242" t="s">
        <v>2825</v>
      </c>
      <c r="H28" s="242" t="s">
        <v>3096</v>
      </c>
      <c r="I28" s="305" t="s">
        <v>13102</v>
      </c>
      <c r="J28" s="258" t="str">
        <f>HYPERLINK("https://www.google.com/maps/search/Viana%20do%20Castelo%20%E2%80%94%20Plataforma%20Continental%20Avistamento%20Cet%C3%A1ceos%20Portugal/@41.691,-8.834,17z","🔍 Viana do Castelo — Platafor…")</f>
        <v>🔍 Viana do Castelo — Platafor…</v>
      </c>
    </row>
    <row r="29" spans="1:10" ht="110" customHeight="1" x14ac:dyDescent="0.35">
      <c r="A29" s="338">
        <v>25</v>
      </c>
      <c r="B29" s="239" t="s">
        <v>13103</v>
      </c>
      <c r="C29" s="240" t="s">
        <v>13064</v>
      </c>
      <c r="D29" s="239" t="s">
        <v>13104</v>
      </c>
      <c r="E29" s="239" t="s">
        <v>836</v>
      </c>
      <c r="F29" s="239" t="s">
        <v>13105</v>
      </c>
      <c r="G29" s="239" t="s">
        <v>13106</v>
      </c>
      <c r="H29" s="239" t="s">
        <v>3096</v>
      </c>
      <c r="I29" s="304" t="s">
        <v>13107</v>
      </c>
      <c r="J29" s="257" t="str">
        <f>HYPERLINK("https://www.google.com/maps/search/Nazar%C3%A9%20%E2%80%94%20Canyon%20Marinho%20Avistamento%20Cet%C3%A1ceos%20Portugal/@39.6001,-9.0709,17z","🔍 Nazaré — Canyon Marinho")</f>
        <v>🔍 Nazaré — Canyon Marinho</v>
      </c>
    </row>
    <row r="30" spans="1:10" ht="110" customHeight="1" x14ac:dyDescent="0.35">
      <c r="A30" s="336">
        <v>26</v>
      </c>
      <c r="B30" s="242" t="s">
        <v>13108</v>
      </c>
      <c r="C30" s="243" t="s">
        <v>13064</v>
      </c>
      <c r="D30" s="242" t="s">
        <v>13109</v>
      </c>
      <c r="E30" s="242" t="s">
        <v>836</v>
      </c>
      <c r="F30" s="242" t="s">
        <v>13110</v>
      </c>
      <c r="G30" s="242" t="s">
        <v>13028</v>
      </c>
      <c r="H30" s="242" t="s">
        <v>3096</v>
      </c>
      <c r="I30" s="305" t="s">
        <v>13111</v>
      </c>
      <c r="J30" s="258" t="str">
        <f>HYPERLINK("https://www.google.com/maps/search/Berlengas%20%E2%80%94%20Reserva%20Natural%20Avistamento%20Cet%C3%A1ceos%20Portugal/@39.407,-9.515,17z","🔍 Berlengas — Reserva Natural")</f>
        <v>🔍 Berlengas — Reserva Natural</v>
      </c>
    </row>
    <row r="31" spans="1:10" ht="110" customHeight="1" x14ac:dyDescent="0.35">
      <c r="A31" s="338">
        <v>27</v>
      </c>
      <c r="B31" s="239" t="s">
        <v>13112</v>
      </c>
      <c r="C31" s="240" t="s">
        <v>13064</v>
      </c>
      <c r="D31" s="239" t="s">
        <v>13113</v>
      </c>
      <c r="E31" s="239" t="s">
        <v>767</v>
      </c>
      <c r="F31" s="239" t="s">
        <v>13114</v>
      </c>
      <c r="G31" s="239" t="s">
        <v>2601</v>
      </c>
      <c r="H31" s="239" t="s">
        <v>3096</v>
      </c>
      <c r="I31" s="304" t="s">
        <v>13115</v>
      </c>
      <c r="J31" s="257" t="str">
        <f>HYPERLINK("https://www.google.com/maps/search/Portim%C3%A3o%20%E2%80%94%20Canh%C3%A3o%20de%20Lagos%20Avistamento%20Cet%C3%A1ceos%20Portugal/@37.138,-8.558,17z","🔍 Portimão — Canhão de Lagos")</f>
        <v>🔍 Portimão — Canhão de Lagos</v>
      </c>
    </row>
    <row r="32" spans="1:10" ht="110" customHeight="1" x14ac:dyDescent="0.35">
      <c r="A32" s="336">
        <v>28</v>
      </c>
      <c r="B32" s="242" t="s">
        <v>13116</v>
      </c>
      <c r="C32" s="243" t="s">
        <v>13064</v>
      </c>
      <c r="D32" s="242" t="s">
        <v>13117</v>
      </c>
      <c r="E32" s="242" t="s">
        <v>767</v>
      </c>
      <c r="F32" s="242" t="s">
        <v>13118</v>
      </c>
      <c r="G32" s="242" t="s">
        <v>2817</v>
      </c>
      <c r="H32" s="242" t="s">
        <v>3096</v>
      </c>
      <c r="I32" s="305" t="s">
        <v>13119</v>
      </c>
      <c r="J32" s="258" t="str">
        <f>HYPERLINK("https://www.google.com/maps/search/Faro%20%E2%80%94%20Barreira%20Natural%20/%20Armona%20Avistamento%20Cet%C3%A1ceos%20Portugal/@36.993,-7.931,17z","🔍 Faro — Barreira Natural / A…")</f>
        <v>🔍 Faro — Barreira Natural / A…</v>
      </c>
    </row>
    <row r="33" spans="1:10" ht="110" customHeight="1" x14ac:dyDescent="0.35">
      <c r="A33" s="338">
        <v>29</v>
      </c>
      <c r="B33" s="239" t="s">
        <v>13120</v>
      </c>
      <c r="C33" s="240" t="s">
        <v>13064</v>
      </c>
      <c r="D33" s="239" t="s">
        <v>13121</v>
      </c>
      <c r="E33" s="239" t="s">
        <v>522</v>
      </c>
      <c r="F33" s="239" t="s">
        <v>13122</v>
      </c>
      <c r="G33" s="239" t="s">
        <v>2825</v>
      </c>
      <c r="H33" s="239" t="s">
        <v>3096</v>
      </c>
      <c r="I33" s="304" t="s">
        <v>13123</v>
      </c>
      <c r="J33" s="257" t="str">
        <f>HYPERLINK("https://www.google.com/maps/search/Corvo%20e%20Flores%20%E2%80%94%20Western%20Group%20Avistamento%20Cet%C3%A1ceos%20Portugal/@39.671,-31.113,17z","🔍 Corvo e Flores — Western Gr…")</f>
        <v>🔍 Corvo e Flores — Western Gr…</v>
      </c>
    </row>
    <row r="34" spans="1:10" ht="110" customHeight="1" x14ac:dyDescent="0.35">
      <c r="A34" s="336">
        <v>30</v>
      </c>
      <c r="B34" s="242" t="s">
        <v>13124</v>
      </c>
      <c r="C34" s="243" t="s">
        <v>13064</v>
      </c>
      <c r="D34" s="242" t="s">
        <v>13125</v>
      </c>
      <c r="E34" s="242" t="s">
        <v>522</v>
      </c>
      <c r="F34" s="242" t="s">
        <v>13126</v>
      </c>
      <c r="G34" s="242" t="s">
        <v>13041</v>
      </c>
      <c r="H34" s="242" t="s">
        <v>3096</v>
      </c>
      <c r="I34" s="305" t="s">
        <v>13127</v>
      </c>
      <c r="J34" s="258" t="str">
        <f>HYPERLINK("https://www.google.com/maps/search/Santa%20Maria%20%E2%80%94%20Banco%20Princesa%20Alice%20Avistamento%20Cet%C3%A1ceos%20Portugal/@36.998,-25.088,17z","🔍 Santa Maria — Banco Princes…")</f>
        <v>🔍 Santa Maria — Banco Princes…</v>
      </c>
    </row>
    <row r="35" spans="1:10" ht="110" customHeight="1" x14ac:dyDescent="0.35">
      <c r="A35" s="338">
        <v>31</v>
      </c>
      <c r="B35" s="239" t="s">
        <v>13128</v>
      </c>
      <c r="C35" s="240" t="s">
        <v>13064</v>
      </c>
      <c r="D35" s="239" t="s">
        <v>13129</v>
      </c>
      <c r="E35" s="239" t="s">
        <v>522</v>
      </c>
      <c r="F35" s="239" t="s">
        <v>13130</v>
      </c>
      <c r="G35" s="239" t="s">
        <v>2601</v>
      </c>
      <c r="H35" s="239" t="s">
        <v>3096</v>
      </c>
      <c r="I35" s="304" t="s">
        <v>13131</v>
      </c>
      <c r="J35" s="257" t="str">
        <f>HYPERLINK("https://www.google.com/maps/search/Terceira%20%E2%80%94%20Calheta%20de%20Nesquim%20Avistamento%20Cet%C3%A1ceos%20Portugal/@38.729,-27.222,17z","🔍 Terceira — Calheta de Nesquim")</f>
        <v>🔍 Terceira — Calheta de Nesquim</v>
      </c>
    </row>
    <row r="36" spans="1:10" ht="110" customHeight="1" x14ac:dyDescent="0.35">
      <c r="A36" s="336">
        <v>32</v>
      </c>
      <c r="B36" s="242" t="s">
        <v>13132</v>
      </c>
      <c r="C36" s="243" t="s">
        <v>13064</v>
      </c>
      <c r="D36" s="242" t="s">
        <v>13133</v>
      </c>
      <c r="E36" s="242" t="s">
        <v>524</v>
      </c>
      <c r="F36" s="242" t="s">
        <v>13134</v>
      </c>
      <c r="G36" s="242" t="s">
        <v>13135</v>
      </c>
      <c r="H36" s="242" t="s">
        <v>3096</v>
      </c>
      <c r="I36" s="305" t="s">
        <v>13136</v>
      </c>
      <c r="J36" s="258" t="str">
        <f>HYPERLINK("https://www.google.com/maps/search/Porto%20Santo%20%E2%80%94%20Norte%20da%20Ilha%20Avistamento%20Cet%C3%A1ceos%20Portugal/@33.071,-16.328,17z","🔍 Porto Santo — Norte da Ilha")</f>
        <v>🔍 Porto Santo — Norte da Ilha</v>
      </c>
    </row>
    <row r="37" spans="1:10" ht="110" customHeight="1" x14ac:dyDescent="0.35">
      <c r="A37" s="338">
        <v>33</v>
      </c>
      <c r="B37" s="239" t="s">
        <v>13137</v>
      </c>
      <c r="C37" s="240" t="s">
        <v>13064</v>
      </c>
      <c r="D37" s="239" t="s">
        <v>13138</v>
      </c>
      <c r="E37" s="239" t="s">
        <v>524</v>
      </c>
      <c r="F37" s="239" t="s">
        <v>13139</v>
      </c>
      <c r="G37" s="239" t="s">
        <v>2595</v>
      </c>
      <c r="H37" s="239" t="s">
        <v>3096</v>
      </c>
      <c r="I37" s="304" t="s">
        <v>13140</v>
      </c>
      <c r="J37" s="257" t="str">
        <f>HYPERLINK("https://www.google.com/maps/search/Desertas%20%E2%80%94%20Reserva%20Natural%20Estrita%20Avistamento%20Cet%C3%A1ceos%20Portugal/@32.523,-16.512,17z","🔍 Desertas — Reserva Natural …")</f>
        <v>🔍 Desertas — Reserva Natural …</v>
      </c>
    </row>
    <row r="38" spans="1:10" ht="110" customHeight="1" x14ac:dyDescent="0.35"/>
    <row r="39" spans="1:10" ht="110" customHeight="1" x14ac:dyDescent="0.35"/>
    <row r="40" spans="1:10" ht="110" customHeight="1" x14ac:dyDescent="0.35"/>
    <row r="41" spans="1:10" ht="110" customHeight="1" x14ac:dyDescent="0.35"/>
    <row r="42" spans="1:10" ht="110" customHeight="1" x14ac:dyDescent="0.35"/>
    <row r="43" spans="1:10" ht="110" customHeight="1" x14ac:dyDescent="0.35"/>
    <row r="44" spans="1:10" ht="110" customHeight="1" x14ac:dyDescent="0.35"/>
    <row r="45" spans="1:10" ht="110" customHeight="1" x14ac:dyDescent="0.35"/>
    <row r="46" spans="1:10" ht="110" customHeight="1" x14ac:dyDescent="0.35"/>
    <row r="47" spans="1:10" ht="110" customHeight="1" x14ac:dyDescent="0.35"/>
    <row r="48" spans="1:10" ht="110" customHeight="1" x14ac:dyDescent="0.35"/>
    <row r="49" ht="110" customHeight="1" x14ac:dyDescent="0.35"/>
    <row r="50" ht="110" customHeight="1" x14ac:dyDescent="0.35"/>
    <row r="51" ht="110" customHeight="1" x14ac:dyDescent="0.35"/>
    <row r="52" ht="110" customHeight="1" x14ac:dyDescent="0.35"/>
    <row r="53" ht="110" customHeight="1" x14ac:dyDescent="0.35"/>
    <row r="54" ht="110" customHeight="1" x14ac:dyDescent="0.35"/>
    <row r="55" ht="110" customHeight="1" x14ac:dyDescent="0.35"/>
    <row r="56" ht="110" customHeight="1" x14ac:dyDescent="0.35"/>
    <row r="57" ht="110" customHeight="1" x14ac:dyDescent="0.35"/>
    <row r="58" ht="110" customHeight="1" x14ac:dyDescent="0.35"/>
    <row r="59" ht="110" customHeight="1" x14ac:dyDescent="0.35"/>
    <row r="60" ht="110" customHeight="1" x14ac:dyDescent="0.35"/>
    <row r="61" ht="110" customHeight="1" x14ac:dyDescent="0.35"/>
    <row r="62" ht="110" customHeight="1" x14ac:dyDescent="0.35"/>
    <row r="63" ht="110" customHeight="1" x14ac:dyDescent="0.35"/>
    <row r="64" ht="110" customHeight="1" x14ac:dyDescent="0.35"/>
    <row r="65" ht="110" customHeight="1" x14ac:dyDescent="0.35"/>
    <row r="66" ht="110" customHeight="1" x14ac:dyDescent="0.35"/>
    <row r="67" ht="110" customHeight="1" x14ac:dyDescent="0.35"/>
    <row r="68" ht="110" customHeight="1" x14ac:dyDescent="0.35"/>
  </sheetData>
  <mergeCells count="3">
    <mergeCell ref="A4:I4"/>
    <mergeCell ref="A1:J1"/>
    <mergeCell ref="A2:J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96"/>
  <sheetViews>
    <sheetView topLeftCell="G1" workbookViewId="0">
      <pane ySplit="3" topLeftCell="A4" activePane="bottomLeft" state="frozen"/>
      <selection pane="bottomLeft" activeCell="J3" sqref="J3"/>
    </sheetView>
  </sheetViews>
  <sheetFormatPr defaultRowHeight="14.5" x14ac:dyDescent="0.35"/>
  <cols>
    <col min="1" max="1" width="4" customWidth="1"/>
    <col min="2" max="2" width="36" customWidth="1"/>
    <col min="3" max="3" width="10" customWidth="1"/>
    <col min="4" max="5" width="22" customWidth="1"/>
    <col min="6" max="6" width="16" customWidth="1"/>
    <col min="7" max="7" width="28" customWidth="1"/>
    <col min="8" max="8" width="52" customWidth="1"/>
    <col min="9" max="9" width="55" customWidth="1"/>
  </cols>
  <sheetData>
    <row r="1" spans="1:9" ht="32" customHeight="1" x14ac:dyDescent="0.35">
      <c r="A1" s="1476" t="s">
        <v>13175</v>
      </c>
      <c r="B1" s="1313"/>
      <c r="C1" s="1313"/>
      <c r="D1" s="1313"/>
      <c r="E1" s="1313"/>
      <c r="F1" s="1313"/>
      <c r="G1" s="1313"/>
      <c r="H1" s="1313"/>
    </row>
    <row r="2" spans="1:9" ht="16" customHeight="1" x14ac:dyDescent="0.35">
      <c r="A2" s="1365" t="s">
        <v>13176</v>
      </c>
      <c r="B2" s="1313"/>
      <c r="C2" s="1313"/>
      <c r="D2" s="1313"/>
      <c r="E2" s="1313"/>
      <c r="F2" s="1313"/>
      <c r="G2" s="1313"/>
      <c r="H2" s="1313"/>
    </row>
    <row r="3" spans="1:9" ht="24" customHeight="1" x14ac:dyDescent="0.35">
      <c r="A3" s="238" t="s">
        <v>141</v>
      </c>
      <c r="B3" s="238" t="s">
        <v>13177</v>
      </c>
      <c r="C3" s="238" t="s">
        <v>619</v>
      </c>
      <c r="D3" s="238" t="s">
        <v>13178</v>
      </c>
      <c r="E3" s="238" t="s">
        <v>13179</v>
      </c>
      <c r="F3" s="238" t="s">
        <v>13180</v>
      </c>
      <c r="G3" s="238" t="s">
        <v>13181</v>
      </c>
      <c r="H3" s="303" t="s">
        <v>8</v>
      </c>
      <c r="I3" s="238" t="s">
        <v>789</v>
      </c>
    </row>
    <row r="4" spans="1:9" ht="22" customHeight="1" x14ac:dyDescent="0.35">
      <c r="A4" s="1479" t="s">
        <v>13182</v>
      </c>
      <c r="B4" s="1313"/>
      <c r="C4" s="1313"/>
      <c r="D4" s="1313"/>
      <c r="E4" s="1313"/>
      <c r="F4" s="1313"/>
      <c r="G4" s="1313"/>
      <c r="H4" s="1313"/>
    </row>
    <row r="5" spans="1:9" ht="85" customHeight="1" x14ac:dyDescent="0.35">
      <c r="A5" s="338">
        <v>1</v>
      </c>
      <c r="B5" s="239" t="s">
        <v>13183</v>
      </c>
      <c r="C5" s="240" t="s">
        <v>792</v>
      </c>
      <c r="D5" s="239" t="s">
        <v>9798</v>
      </c>
      <c r="E5" s="239" t="s">
        <v>13184</v>
      </c>
      <c r="F5" s="239" t="s">
        <v>13185</v>
      </c>
      <c r="G5" s="239" t="s">
        <v>13186</v>
      </c>
      <c r="H5" s="304" t="s">
        <v>13187</v>
      </c>
      <c r="I5" s="604" t="str">
        <f>HYPERLINK("https://maps.google.com/?q=Pedra%20Bela%20Ger%C3%AAs%20Portugal","👁 Pedra Bela")</f>
        <v>👁 Pedra Bela</v>
      </c>
    </row>
    <row r="6" spans="1:9" ht="85" customHeight="1" x14ac:dyDescent="0.35">
      <c r="A6" s="336">
        <v>2</v>
      </c>
      <c r="B6" s="242" t="s">
        <v>13188</v>
      </c>
      <c r="C6" s="243" t="s">
        <v>792</v>
      </c>
      <c r="D6" s="242" t="s">
        <v>9798</v>
      </c>
      <c r="E6" s="242" t="s">
        <v>13189</v>
      </c>
      <c r="F6" s="242" t="s">
        <v>13190</v>
      </c>
      <c r="G6" s="242" t="s">
        <v>13191</v>
      </c>
      <c r="H6" s="305" t="s">
        <v>13192</v>
      </c>
      <c r="I6" s="605" t="str">
        <f>HYPERLINK("https://maps.google.com/?q=Miradouro%20da%20Boneca%20Ger%C3%AAs%20Portugal","👁 Miradouro da Boneca")</f>
        <v>👁 Miradouro da Boneca</v>
      </c>
    </row>
    <row r="7" spans="1:9" ht="85" customHeight="1" x14ac:dyDescent="0.35">
      <c r="A7" s="338">
        <v>3</v>
      </c>
      <c r="B7" s="239" t="s">
        <v>13193</v>
      </c>
      <c r="C7" s="240" t="s">
        <v>792</v>
      </c>
      <c r="D7" s="239" t="s">
        <v>1976</v>
      </c>
      <c r="E7" s="239" t="s">
        <v>13194</v>
      </c>
      <c r="F7" s="239" t="s">
        <v>13185</v>
      </c>
      <c r="G7" s="239" t="s">
        <v>13195</v>
      </c>
      <c r="H7" s="304" t="s">
        <v>13196</v>
      </c>
      <c r="I7" s="604" t="str">
        <f>HYPERLINK("https://maps.google.com/?q=Fafi%C3%A3o%20Montalegre%20Portugal","👁 Fafião")</f>
        <v>👁 Fafião</v>
      </c>
    </row>
    <row r="8" spans="1:9" ht="85" customHeight="1" x14ac:dyDescent="0.35">
      <c r="A8" s="336">
        <v>4</v>
      </c>
      <c r="B8" s="242" t="s">
        <v>13197</v>
      </c>
      <c r="C8" s="243" t="s">
        <v>792</v>
      </c>
      <c r="D8" s="242" t="s">
        <v>1552</v>
      </c>
      <c r="E8" s="242" t="s">
        <v>13198</v>
      </c>
      <c r="F8" s="242" t="s">
        <v>13199</v>
      </c>
      <c r="G8" s="242" t="s">
        <v>13200</v>
      </c>
      <c r="H8" s="305" t="s">
        <v>13201</v>
      </c>
      <c r="I8" s="605" t="str">
        <f>HYPERLINK("https://maps.google.com/?q=Tib%C3%A3es%20Braga%20Portugal","👁 Tibães")</f>
        <v>👁 Tibães</v>
      </c>
    </row>
    <row r="9" spans="1:9" ht="85" customHeight="1" x14ac:dyDescent="0.35">
      <c r="A9" s="338">
        <v>5</v>
      </c>
      <c r="B9" s="239" t="s">
        <v>13202</v>
      </c>
      <c r="C9" s="240" t="s">
        <v>792</v>
      </c>
      <c r="D9" s="239" t="s">
        <v>1149</v>
      </c>
      <c r="E9" s="239" t="s">
        <v>13203</v>
      </c>
      <c r="F9" s="239" t="s">
        <v>13185</v>
      </c>
      <c r="G9" s="239" t="s">
        <v>13204</v>
      </c>
      <c r="H9" s="304" t="s">
        <v>13205</v>
      </c>
      <c r="I9" s="604" t="str">
        <f>HYPERLINK("https://maps.google.com/?q=Monte%20de%20Santa%20Luzia%20Viana%20do%20Castelo%20Portugal","👁 Monte de Santa Luzia")</f>
        <v>👁 Monte de Santa Luzia</v>
      </c>
    </row>
    <row r="10" spans="1:9" ht="85" customHeight="1" x14ac:dyDescent="0.35">
      <c r="A10" s="336">
        <v>6</v>
      </c>
      <c r="B10" s="242" t="s">
        <v>13206</v>
      </c>
      <c r="C10" s="243" t="s">
        <v>792</v>
      </c>
      <c r="D10" s="242" t="s">
        <v>1864</v>
      </c>
      <c r="E10" s="242" t="s">
        <v>13198</v>
      </c>
      <c r="F10" s="242" t="s">
        <v>13185</v>
      </c>
      <c r="G10" s="242" t="s">
        <v>13207</v>
      </c>
      <c r="H10" s="305" t="s">
        <v>13208</v>
      </c>
      <c r="I10" s="605" t="str">
        <f>HYPERLINK("https://maps.google.com/?q=Miradouro%20de%20Penou%C3%A7os%20Arcos%20de%20Valdevez%20Portugal","👁 Miradouro de Penouços")</f>
        <v>👁 Miradouro de Penouços</v>
      </c>
    </row>
    <row r="11" spans="1:9" ht="85" customHeight="1" x14ac:dyDescent="0.35">
      <c r="A11" s="338">
        <v>7</v>
      </c>
      <c r="B11" s="239" t="s">
        <v>10513</v>
      </c>
      <c r="C11" s="240" t="s">
        <v>792</v>
      </c>
      <c r="D11" s="239" t="s">
        <v>1864</v>
      </c>
      <c r="E11" s="239" t="s">
        <v>13209</v>
      </c>
      <c r="F11" s="239" t="s">
        <v>13185</v>
      </c>
      <c r="G11" s="239" t="s">
        <v>13210</v>
      </c>
      <c r="H11" s="304" t="s">
        <v>13211</v>
      </c>
      <c r="I11" s="604" t="str">
        <f>HYPERLINK("https://maps.google.com/?q=Santu%C3%A1rio%20da%20Peneda%20Arcos%20de%20Valdevez%20Portugal","👁 Santuário da Peneda")</f>
        <v>👁 Santuário da Peneda</v>
      </c>
    </row>
    <row r="12" spans="1:9" ht="85" customHeight="1" x14ac:dyDescent="0.35">
      <c r="A12" s="336">
        <v>8</v>
      </c>
      <c r="B12" s="242" t="s">
        <v>13212</v>
      </c>
      <c r="C12" s="243" t="s">
        <v>792</v>
      </c>
      <c r="D12" s="242" t="s">
        <v>9798</v>
      </c>
      <c r="E12" s="242" t="s">
        <v>13213</v>
      </c>
      <c r="F12" s="242" t="s">
        <v>13185</v>
      </c>
      <c r="G12" s="242" t="s">
        <v>13214</v>
      </c>
      <c r="H12" s="305" t="s">
        <v>13215</v>
      </c>
      <c r="I12" s="605" t="str">
        <f>HYPERLINK("https://maps.google.com/?q=Miradouro%20de%20Junceda%20Ger%C3%AAs%20Portugal","👁 Miradouro de Junceda")</f>
        <v>👁 Miradouro de Junceda</v>
      </c>
    </row>
    <row r="13" spans="1:9" ht="85" customHeight="1" x14ac:dyDescent="0.35">
      <c r="A13" s="338">
        <v>9</v>
      </c>
      <c r="B13" s="239" t="s">
        <v>13216</v>
      </c>
      <c r="C13" s="240" t="s">
        <v>792</v>
      </c>
      <c r="D13" s="239" t="s">
        <v>13217</v>
      </c>
      <c r="E13" s="239" t="s">
        <v>13184</v>
      </c>
      <c r="F13" s="239" t="s">
        <v>13185</v>
      </c>
      <c r="G13" s="239" t="s">
        <v>13218</v>
      </c>
      <c r="H13" s="304" t="s">
        <v>13219</v>
      </c>
      <c r="I13" s="604" t="str">
        <f>HYPERLINK("https://maps.google.com/?q=Miradouro%20S%C3%A3o%20Bento%20da%20Porta%20Aberta%20Rio%20Caldo%20Portugal","👁 Miradouro São Bento da Porta")</f>
        <v>👁 Miradouro São Bento da Porta</v>
      </c>
    </row>
    <row r="14" spans="1:9" ht="85" customHeight="1" x14ac:dyDescent="0.35">
      <c r="A14" s="336">
        <v>10</v>
      </c>
      <c r="B14" s="242" t="s">
        <v>13220</v>
      </c>
      <c r="C14" s="243" t="s">
        <v>792</v>
      </c>
      <c r="D14" s="242" t="s">
        <v>8280</v>
      </c>
      <c r="E14" s="242" t="s">
        <v>13194</v>
      </c>
      <c r="F14" s="242" t="s">
        <v>13185</v>
      </c>
      <c r="G14" s="242" t="s">
        <v>13221</v>
      </c>
      <c r="H14" s="305" t="s">
        <v>13222</v>
      </c>
      <c r="I14" s="605" t="str">
        <f>HYPERLINK("https://maps.google.com/?q=Miradouro%20da%20Ermida%20Ponte%20da%20Barca%20Portugal","👁 Miradouro da Ermida")</f>
        <v>👁 Miradouro da Ermida</v>
      </c>
    </row>
    <row r="15" spans="1:9" ht="85" customHeight="1" x14ac:dyDescent="0.35">
      <c r="A15" s="338">
        <v>11</v>
      </c>
      <c r="B15" s="239" t="s">
        <v>13223</v>
      </c>
      <c r="C15" s="240" t="s">
        <v>792</v>
      </c>
      <c r="D15" s="239" t="s">
        <v>13224</v>
      </c>
      <c r="E15" s="239" t="s">
        <v>13198</v>
      </c>
      <c r="F15" s="239" t="s">
        <v>13190</v>
      </c>
      <c r="G15" s="239" t="s">
        <v>13225</v>
      </c>
      <c r="H15" s="304" t="s">
        <v>13226</v>
      </c>
      <c r="I15" s="604" t="str">
        <f>HYPERLINK("https://maps.google.com/?q=S%C3%A3o%20Leonardo%20de%20Galafura%20R%C3%A9gua%20Portugal","👁 São Leonardo de Galafura")</f>
        <v>👁 São Leonardo de Galafura</v>
      </c>
    </row>
    <row r="16" spans="1:9" ht="85" customHeight="1" x14ac:dyDescent="0.35">
      <c r="A16" s="336">
        <v>12</v>
      </c>
      <c r="B16" s="242" t="s">
        <v>13227</v>
      </c>
      <c r="C16" s="243" t="s">
        <v>792</v>
      </c>
      <c r="D16" s="242" t="s">
        <v>6369</v>
      </c>
      <c r="E16" s="242" t="s">
        <v>13184</v>
      </c>
      <c r="F16" s="242" t="s">
        <v>13185</v>
      </c>
      <c r="G16" s="242" t="s">
        <v>13228</v>
      </c>
      <c r="H16" s="305" t="s">
        <v>13229</v>
      </c>
      <c r="I16" s="605" t="str">
        <f>HYPERLINK("https://maps.google.com/?q=Casal%20de%20Loivos%20Pinh%C3%A3o%20Portugal","👁 Casal de Loivos")</f>
        <v>👁 Casal de Loivos</v>
      </c>
    </row>
    <row r="17" spans="1:9" ht="85" customHeight="1" x14ac:dyDescent="0.35">
      <c r="A17" s="338">
        <v>13</v>
      </c>
      <c r="B17" s="239" t="s">
        <v>13230</v>
      </c>
      <c r="C17" s="240" t="s">
        <v>792</v>
      </c>
      <c r="D17" s="239" t="s">
        <v>13231</v>
      </c>
      <c r="E17" s="239" t="s">
        <v>13232</v>
      </c>
      <c r="F17" s="239" t="s">
        <v>13185</v>
      </c>
      <c r="G17" s="239" t="s">
        <v>13233</v>
      </c>
      <c r="H17" s="304" t="s">
        <v>13234</v>
      </c>
      <c r="I17" s="604" t="str">
        <f>HYPERLINK("https://maps.google.com/?q=S%C3%A3o%20Salvador%20do%20Mundo%20Pesqueira%20Portugal","👁 São Salvador do Mundo")</f>
        <v>👁 São Salvador do Mundo</v>
      </c>
    </row>
    <row r="18" spans="1:9" ht="85" customHeight="1" x14ac:dyDescent="0.35">
      <c r="A18" s="336">
        <v>14</v>
      </c>
      <c r="B18" s="242" t="s">
        <v>13235</v>
      </c>
      <c r="C18" s="243" t="s">
        <v>792</v>
      </c>
      <c r="D18" s="242" t="s">
        <v>13236</v>
      </c>
      <c r="E18" s="242" t="s">
        <v>13184</v>
      </c>
      <c r="F18" s="242" t="s">
        <v>13185</v>
      </c>
      <c r="G18" s="242" t="s">
        <v>13237</v>
      </c>
      <c r="H18" s="305" t="s">
        <v>13238</v>
      </c>
      <c r="I18" s="605" t="str">
        <f>HYPERLINK("https://maps.google.com/?q=Boa%20Vista%20Tabua%C3%A7o%20Portugal","👁 Boa Vista")</f>
        <v>👁 Boa Vista</v>
      </c>
    </row>
    <row r="19" spans="1:9" ht="85" customHeight="1" x14ac:dyDescent="0.35">
      <c r="A19" s="338">
        <v>15</v>
      </c>
      <c r="B19" s="239" t="s">
        <v>13239</v>
      </c>
      <c r="C19" s="240" t="s">
        <v>792</v>
      </c>
      <c r="D19" s="239" t="s">
        <v>1860</v>
      </c>
      <c r="E19" s="239" t="s">
        <v>13194</v>
      </c>
      <c r="F19" s="239" t="s">
        <v>13185</v>
      </c>
      <c r="G19" s="239" t="s">
        <v>13240</v>
      </c>
      <c r="H19" s="304" t="s">
        <v>13241</v>
      </c>
      <c r="I19" s="604" t="str">
        <f>HYPERLINK("https://maps.google.com/?q=Ujo%20Alij%C3%B3%20Portugal","👁 Ujo")</f>
        <v>👁 Ujo</v>
      </c>
    </row>
    <row r="20" spans="1:9" ht="85" customHeight="1" x14ac:dyDescent="0.35">
      <c r="A20" s="336">
        <v>16</v>
      </c>
      <c r="B20" s="242" t="s">
        <v>13242</v>
      </c>
      <c r="C20" s="243" t="s">
        <v>792</v>
      </c>
      <c r="D20" s="242" t="s">
        <v>13243</v>
      </c>
      <c r="E20" s="242" t="s">
        <v>13198</v>
      </c>
      <c r="F20" s="242" t="s">
        <v>13185</v>
      </c>
      <c r="G20" s="242" t="s">
        <v>13244</v>
      </c>
      <c r="H20" s="305" t="s">
        <v>13245</v>
      </c>
      <c r="I20" s="605" t="str">
        <f>HYPERLINK("https://maps.google.com/?q=Nossa%20Senhora%20do%20Viso%20Vila%20Flor%20Portugal","👁 Nossa Senhora do Viso")</f>
        <v>👁 Nossa Senhora do Viso</v>
      </c>
    </row>
    <row r="21" spans="1:9" ht="85" customHeight="1" x14ac:dyDescent="0.35">
      <c r="A21" s="338">
        <v>17</v>
      </c>
      <c r="B21" s="239" t="s">
        <v>7274</v>
      </c>
      <c r="C21" s="240" t="s">
        <v>792</v>
      </c>
      <c r="D21" s="239" t="s">
        <v>13246</v>
      </c>
      <c r="E21" s="239" t="s">
        <v>13232</v>
      </c>
      <c r="F21" s="239" t="s">
        <v>13185</v>
      </c>
      <c r="G21" s="239" t="s">
        <v>13247</v>
      </c>
      <c r="H21" s="304" t="s">
        <v>13248</v>
      </c>
      <c r="I21" s="604" t="str">
        <f>HYPERLINK("https://maps.google.com/?q=Castelo%20de%20Num%C3%A3o%20Foz%20C%C3%B4a%20Portugal","👁 Castelo de Numão")</f>
        <v>👁 Castelo de Numão</v>
      </c>
    </row>
    <row r="22" spans="1:9" ht="85" customHeight="1" x14ac:dyDescent="0.35">
      <c r="A22" s="336">
        <v>18</v>
      </c>
      <c r="B22" s="242" t="s">
        <v>13249</v>
      </c>
      <c r="C22" s="243" t="s">
        <v>792</v>
      </c>
      <c r="D22" s="242" t="s">
        <v>4613</v>
      </c>
      <c r="E22" s="242" t="s">
        <v>13250</v>
      </c>
      <c r="F22" s="242" t="s">
        <v>13185</v>
      </c>
      <c r="G22" s="242" t="s">
        <v>13251</v>
      </c>
      <c r="H22" s="305" t="s">
        <v>13252</v>
      </c>
      <c r="I22" s="605" t="str">
        <f>HYPERLINK("https://maps.google.com/?q=Pena%20do%20Guincho%20Sabrosa%20Portugal","👁 Pena do Guincho")</f>
        <v>👁 Pena do Guincho</v>
      </c>
    </row>
    <row r="23" spans="1:9" ht="85" customHeight="1" x14ac:dyDescent="0.35">
      <c r="A23" s="338">
        <v>19</v>
      </c>
      <c r="B23" s="239" t="s">
        <v>13253</v>
      </c>
      <c r="C23" s="240" t="s">
        <v>792</v>
      </c>
      <c r="D23" s="239" t="s">
        <v>13254</v>
      </c>
      <c r="E23" s="239" t="s">
        <v>13184</v>
      </c>
      <c r="F23" s="239" t="s">
        <v>13185</v>
      </c>
      <c r="G23" s="239" t="s">
        <v>13255</v>
      </c>
      <c r="H23" s="304" t="s">
        <v>13256</v>
      </c>
      <c r="I23" s="604" t="str">
        <f>HYPERLINK("https://maps.google.com/?q=Vargelas%20S.%20Jo%C3%A3o%20da%20Pesqueira%20Portugal","👁 Vargelas")</f>
        <v>👁 Vargelas</v>
      </c>
    </row>
    <row r="24" spans="1:9" ht="85" customHeight="1" x14ac:dyDescent="0.35">
      <c r="A24" s="336">
        <v>20</v>
      </c>
      <c r="B24" s="242" t="s">
        <v>13257</v>
      </c>
      <c r="C24" s="243" t="s">
        <v>792</v>
      </c>
      <c r="D24" s="242" t="s">
        <v>13258</v>
      </c>
      <c r="E24" s="242" t="s">
        <v>13198</v>
      </c>
      <c r="F24" s="242" t="s">
        <v>13185</v>
      </c>
      <c r="G24" s="242" t="s">
        <v>13259</v>
      </c>
      <c r="H24" s="305" t="s">
        <v>13260</v>
      </c>
      <c r="I24" s="605" t="str">
        <f>HYPERLINK("https://maps.google.com/?q=Torguiano%20S%C3%A3o%20Martinho%20de%20Antas%20Portugal","👁 Torguiano")</f>
        <v>👁 Torguiano</v>
      </c>
    </row>
    <row r="25" spans="1:9" ht="85" customHeight="1" x14ac:dyDescent="0.35">
      <c r="A25" s="338">
        <v>21</v>
      </c>
      <c r="B25" s="239" t="s">
        <v>13261</v>
      </c>
      <c r="C25" s="240" t="s">
        <v>792</v>
      </c>
      <c r="D25" s="239" t="s">
        <v>13262</v>
      </c>
      <c r="E25" s="239" t="s">
        <v>13198</v>
      </c>
      <c r="F25" s="239" t="s">
        <v>13185</v>
      </c>
      <c r="G25" s="239" t="s">
        <v>13263</v>
      </c>
      <c r="H25" s="304" t="s">
        <v>13264</v>
      </c>
      <c r="I25" s="604" t="str">
        <f>HYPERLINK("https://maps.google.com/?q=Fraga%20do%20Puio%20Picote%20Portugal","👁 Fraga do Puio")</f>
        <v>👁 Fraga do Puio</v>
      </c>
    </row>
    <row r="26" spans="1:9" ht="85" customHeight="1" x14ac:dyDescent="0.35">
      <c r="A26" s="336">
        <v>22</v>
      </c>
      <c r="B26" s="242" t="s">
        <v>13265</v>
      </c>
      <c r="C26" s="243" t="s">
        <v>792</v>
      </c>
      <c r="D26" s="242" t="s">
        <v>13266</v>
      </c>
      <c r="E26" s="242" t="s">
        <v>13194</v>
      </c>
      <c r="F26" s="242" t="s">
        <v>13185</v>
      </c>
      <c r="G26" s="242" t="s">
        <v>13267</v>
      </c>
      <c r="H26" s="305" t="s">
        <v>13268</v>
      </c>
      <c r="I26" s="605" t="str">
        <f>HYPERLINK("https://maps.google.com/?q=S%C3%A3o%20Jo%C3%A3o%20das%20Arribas%20Miranda%20Portugal","👁 São João das Arribas")</f>
        <v>👁 São João das Arribas</v>
      </c>
    </row>
    <row r="27" spans="1:9" ht="85" customHeight="1" x14ac:dyDescent="0.35">
      <c r="A27" s="338">
        <v>23</v>
      </c>
      <c r="B27" s="239" t="s">
        <v>13269</v>
      </c>
      <c r="C27" s="240" t="s">
        <v>792</v>
      </c>
      <c r="D27" s="239" t="s">
        <v>5599</v>
      </c>
      <c r="E27" s="239" t="s">
        <v>13232</v>
      </c>
      <c r="F27" s="239" t="s">
        <v>13185</v>
      </c>
      <c r="G27" s="239" t="s">
        <v>13270</v>
      </c>
      <c r="H27" s="304" t="s">
        <v>13271</v>
      </c>
      <c r="I27" s="604" t="str">
        <f>HYPERLINK("https://maps.google.com/?q=Pic%C3%B5es%20Mogadouro%20Portugal","👁 Picões")</f>
        <v>👁 Picões</v>
      </c>
    </row>
    <row r="28" spans="1:9" ht="85" customHeight="1" x14ac:dyDescent="0.35">
      <c r="A28" s="336">
        <v>24</v>
      </c>
      <c r="B28" s="242" t="s">
        <v>13272</v>
      </c>
      <c r="C28" s="243" t="s">
        <v>792</v>
      </c>
      <c r="D28" s="242" t="s">
        <v>13273</v>
      </c>
      <c r="E28" s="242" t="s">
        <v>13198</v>
      </c>
      <c r="F28" s="242" t="s">
        <v>13185</v>
      </c>
      <c r="G28" s="242" t="s">
        <v>13274</v>
      </c>
      <c r="H28" s="305" t="s">
        <v>13275</v>
      </c>
      <c r="I28" s="605" t="str">
        <f>HYPERLINK("https://maps.google.com/?q=Assumadouro%20Bemposta%20Portugal","👁 Assumadouro")</f>
        <v>👁 Assumadouro</v>
      </c>
    </row>
    <row r="29" spans="1:9" ht="85" customHeight="1" x14ac:dyDescent="0.35">
      <c r="A29" s="338">
        <v>25</v>
      </c>
      <c r="B29" s="239" t="s">
        <v>13276</v>
      </c>
      <c r="C29" s="240" t="s">
        <v>792</v>
      </c>
      <c r="D29" s="239" t="s">
        <v>5599</v>
      </c>
      <c r="E29" s="239" t="s">
        <v>13184</v>
      </c>
      <c r="F29" s="239" t="s">
        <v>13185</v>
      </c>
      <c r="G29" s="239" t="s">
        <v>13277</v>
      </c>
      <c r="H29" s="304" t="s">
        <v>13278</v>
      </c>
      <c r="I29" s="604" t="str">
        <f>HYPERLINK("https://maps.google.com/?q=Cerca%20Mogadouro%20Portugal","👁 Cerca")</f>
        <v>👁 Cerca</v>
      </c>
    </row>
    <row r="30" spans="1:9" ht="85" customHeight="1" x14ac:dyDescent="0.35">
      <c r="A30" s="336">
        <v>26</v>
      </c>
      <c r="B30" s="242" t="s">
        <v>13279</v>
      </c>
      <c r="C30" s="243" t="s">
        <v>792</v>
      </c>
      <c r="D30" s="242" t="s">
        <v>1923</v>
      </c>
      <c r="E30" s="242" t="s">
        <v>13184</v>
      </c>
      <c r="F30" s="242" t="s">
        <v>13185</v>
      </c>
      <c r="G30" s="242" t="s">
        <v>13280</v>
      </c>
      <c r="H30" s="305" t="s">
        <v>13281</v>
      </c>
      <c r="I30" s="605" t="str">
        <f>HYPERLINK("https://maps.google.com/?q=Penedo%20Dur%C3%A3o%20Freixo%20de%20Espada%20%C3%A0%20Cinta%20Portugal","👁 Penedo Durão")</f>
        <v>👁 Penedo Durão</v>
      </c>
    </row>
    <row r="31" spans="1:9" ht="85" customHeight="1" x14ac:dyDescent="0.35">
      <c r="A31" s="338">
        <v>27</v>
      </c>
      <c r="B31" s="239" t="s">
        <v>13282</v>
      </c>
      <c r="C31" s="240" t="s">
        <v>792</v>
      </c>
      <c r="D31" s="239" t="s">
        <v>13283</v>
      </c>
      <c r="E31" s="239" t="s">
        <v>13250</v>
      </c>
      <c r="F31" s="239" t="s">
        <v>13185</v>
      </c>
      <c r="G31" s="239" t="s">
        <v>13284</v>
      </c>
      <c r="H31" s="304" t="s">
        <v>13285</v>
      </c>
      <c r="I31" s="604" t="str">
        <f>HYPERLINK("https://maps.google.com/?q=Carrascalinho%20Fornos%20Portugal","👁 Carrascalinho")</f>
        <v>👁 Carrascalinho</v>
      </c>
    </row>
    <row r="32" spans="1:9" ht="85" customHeight="1" x14ac:dyDescent="0.35">
      <c r="A32" s="336">
        <v>28</v>
      </c>
      <c r="B32" s="242" t="s">
        <v>13286</v>
      </c>
      <c r="C32" s="243" t="s">
        <v>792</v>
      </c>
      <c r="D32" s="242" t="s">
        <v>4631</v>
      </c>
      <c r="E32" s="242" t="s">
        <v>13198</v>
      </c>
      <c r="F32" s="242" t="s">
        <v>13190</v>
      </c>
      <c r="G32" s="242" t="s">
        <v>13287</v>
      </c>
      <c r="H32" s="305" t="s">
        <v>13288</v>
      </c>
      <c r="I32" s="605" t="str">
        <f>HYPERLINK("https://maps.google.com/?q=Nossa%20Senhora%20da%20Assun%C3%A7%C3%A3o%20Santo%20Tirso%20Portugal","👁 Nossa Senhora da Assunção")</f>
        <v>👁 Nossa Senhora da Assunção</v>
      </c>
    </row>
    <row r="33" spans="1:9" ht="85" customHeight="1" x14ac:dyDescent="0.35">
      <c r="A33" s="338">
        <v>29</v>
      </c>
      <c r="B33" s="239" t="s">
        <v>13289</v>
      </c>
      <c r="C33" s="240" t="s">
        <v>792</v>
      </c>
      <c r="D33" s="239" t="s">
        <v>10330</v>
      </c>
      <c r="E33" s="239" t="s">
        <v>13198</v>
      </c>
      <c r="F33" s="239" t="s">
        <v>13185</v>
      </c>
      <c r="G33" s="239" t="s">
        <v>13290</v>
      </c>
      <c r="H33" s="304" t="s">
        <v>13291</v>
      </c>
      <c r="I33" s="604" t="str">
        <f>HYPERLINK("https://maps.google.com/?q=Monte%20do%20Faro%20Valen%C3%A7a%20Portugal","👁 Monte do Faro")</f>
        <v>👁 Monte do Faro</v>
      </c>
    </row>
    <row r="34" spans="1:9" ht="85" customHeight="1" x14ac:dyDescent="0.35">
      <c r="A34" s="336">
        <v>30</v>
      </c>
      <c r="B34" s="242" t="s">
        <v>13292</v>
      </c>
      <c r="C34" s="243" t="s">
        <v>792</v>
      </c>
      <c r="D34" s="242" t="s">
        <v>1317</v>
      </c>
      <c r="E34" s="242" t="s">
        <v>13184</v>
      </c>
      <c r="F34" s="242" t="s">
        <v>13185</v>
      </c>
      <c r="G34" s="242" t="s">
        <v>13293</v>
      </c>
      <c r="H34" s="305" t="s">
        <v>13294</v>
      </c>
      <c r="I34" s="605" t="str">
        <f>HYPERLINK("https://maps.google.com/?q=Serra%20do%20Pilar%20Gaia%20Portugal","👁 Serra do Pilar")</f>
        <v>👁 Serra do Pilar</v>
      </c>
    </row>
    <row r="35" spans="1:9" ht="85" customHeight="1" x14ac:dyDescent="0.35">
      <c r="A35" s="338">
        <v>31</v>
      </c>
      <c r="B35" s="239" t="s">
        <v>13295</v>
      </c>
      <c r="C35" s="240" t="s">
        <v>792</v>
      </c>
      <c r="D35" s="239" t="s">
        <v>3082</v>
      </c>
      <c r="E35" s="239" t="s">
        <v>13184</v>
      </c>
      <c r="F35" s="239" t="s">
        <v>13199</v>
      </c>
      <c r="G35" s="239" t="s">
        <v>13296</v>
      </c>
      <c r="H35" s="304" t="s">
        <v>13297</v>
      </c>
      <c r="I35" s="604" t="str">
        <f>HYPERLINK("https://maps.google.com/?q=Virtudes%20Porto%20Portugal","👁 Virtudes")</f>
        <v>👁 Virtudes</v>
      </c>
    </row>
    <row r="36" spans="1:9" ht="85" customHeight="1" x14ac:dyDescent="0.35">
      <c r="A36" s="336">
        <v>32</v>
      </c>
      <c r="B36" s="242" t="s">
        <v>13298</v>
      </c>
      <c r="C36" s="243" t="s">
        <v>792</v>
      </c>
      <c r="D36" s="242" t="s">
        <v>3082</v>
      </c>
      <c r="E36" s="242" t="s">
        <v>13198</v>
      </c>
      <c r="F36" s="242" t="s">
        <v>13185</v>
      </c>
      <c r="G36" s="242" t="s">
        <v>13299</v>
      </c>
      <c r="H36" s="305" t="s">
        <v>13300</v>
      </c>
      <c r="I36" s="605" t="str">
        <f>HYPERLINK("https://maps.google.com/?q=Miradouro%20da%20Vit%C3%B3ria%20Porto%20Portugal","👁 Miradouro da Vitória")</f>
        <v>👁 Miradouro da Vitória</v>
      </c>
    </row>
    <row r="37" spans="1:9" ht="85" customHeight="1" x14ac:dyDescent="0.35">
      <c r="A37" s="338">
        <v>33</v>
      </c>
      <c r="B37" s="239" t="s">
        <v>13301</v>
      </c>
      <c r="C37" s="240" t="s">
        <v>792</v>
      </c>
      <c r="D37" s="239" t="s">
        <v>13302</v>
      </c>
      <c r="E37" s="239" t="s">
        <v>13203</v>
      </c>
      <c r="F37" s="239" t="s">
        <v>13199</v>
      </c>
      <c r="G37" s="239" t="s">
        <v>13303</v>
      </c>
      <c r="H37" s="304" t="s">
        <v>13304</v>
      </c>
      <c r="I37" s="604" t="str">
        <f>HYPERLINK("https://maps.google.com/?q=Passeio%20Alegre%20Porto%20%E2%80%94%20Foz%20Portugal","👁 Passeio Alegre")</f>
        <v>👁 Passeio Alegre</v>
      </c>
    </row>
    <row r="38" spans="1:9" ht="85" customHeight="1" x14ac:dyDescent="0.35">
      <c r="A38" s="336">
        <v>34</v>
      </c>
      <c r="B38" s="242" t="s">
        <v>13305</v>
      </c>
      <c r="C38" s="243" t="s">
        <v>792</v>
      </c>
      <c r="D38" s="242" t="s">
        <v>13306</v>
      </c>
      <c r="E38" s="242" t="s">
        <v>13194</v>
      </c>
      <c r="F38" s="242" t="s">
        <v>13185</v>
      </c>
      <c r="G38" s="242" t="s">
        <v>13307</v>
      </c>
      <c r="H38" s="305" t="s">
        <v>13308</v>
      </c>
      <c r="I38" s="605" t="str">
        <f>HYPERLINK("https://maps.google.com/?q=Monte%20de%20S%C3%A3o%20F%C3%A9lix%20La%C3%BAndos%20Portugal","👁 Monte de São Félix")</f>
        <v>👁 Monte de São Félix</v>
      </c>
    </row>
    <row r="39" spans="1:9" ht="85" customHeight="1" x14ac:dyDescent="0.35">
      <c r="A39" s="338">
        <v>35</v>
      </c>
      <c r="B39" s="239" t="s">
        <v>13309</v>
      </c>
      <c r="C39" s="240" t="s">
        <v>792</v>
      </c>
      <c r="D39" s="239" t="s">
        <v>1317</v>
      </c>
      <c r="E39" s="239" t="s">
        <v>13184</v>
      </c>
      <c r="F39" s="239" t="s">
        <v>13185</v>
      </c>
      <c r="G39" s="239" t="s">
        <v>13310</v>
      </c>
      <c r="H39" s="304" t="s">
        <v>13294</v>
      </c>
      <c r="I39" s="604" t="str">
        <f>HYPERLINK("https://maps.google.com/?q=Capela%20Senhor%20da%20Pedra%20Gaia%20Portugal","👁 Capela Senhor da Pedra")</f>
        <v>👁 Capela Senhor da Pedra</v>
      </c>
    </row>
    <row r="40" spans="1:9" ht="85" customHeight="1" x14ac:dyDescent="0.35">
      <c r="A40" s="336">
        <v>36</v>
      </c>
      <c r="B40" s="242" t="s">
        <v>13311</v>
      </c>
      <c r="C40" s="243" t="s">
        <v>792</v>
      </c>
      <c r="D40" s="242" t="s">
        <v>1970</v>
      </c>
      <c r="E40" s="242" t="s">
        <v>13198</v>
      </c>
      <c r="F40" s="242" t="s">
        <v>13199</v>
      </c>
      <c r="G40" s="242" t="s">
        <v>13312</v>
      </c>
      <c r="H40" s="305" t="s">
        <v>13313</v>
      </c>
      <c r="I40" s="605" t="str">
        <f>HYPERLINK("https://maps.google.com/?q=Monte%20do%20Crasto%20Gondomar%20Portugal","👁 Monte do Crasto")</f>
        <v>👁 Monte do Crasto</v>
      </c>
    </row>
    <row r="41" spans="1:9" ht="85" customHeight="1" x14ac:dyDescent="0.35">
      <c r="A41" s="338">
        <v>37</v>
      </c>
      <c r="B41" s="239" t="s">
        <v>13314</v>
      </c>
      <c r="C41" s="240" t="s">
        <v>792</v>
      </c>
      <c r="D41" s="239" t="s">
        <v>3082</v>
      </c>
      <c r="E41" s="239" t="s">
        <v>13184</v>
      </c>
      <c r="F41" s="239" t="s">
        <v>13185</v>
      </c>
      <c r="G41" s="239" t="s">
        <v>13315</v>
      </c>
      <c r="H41" s="304" t="s">
        <v>13316</v>
      </c>
      <c r="I41" s="604" t="str">
        <f>HYPERLINK("https://maps.google.com/?q=Miradouro%20de%20Fontainhas%20Porto%20Portugal","👁 Miradouro de Fontainhas")</f>
        <v>👁 Miradouro de Fontainhas</v>
      </c>
    </row>
    <row r="42" spans="1:9" ht="85" customHeight="1" x14ac:dyDescent="0.35">
      <c r="A42" s="336">
        <v>38</v>
      </c>
      <c r="B42" s="242" t="s">
        <v>13317</v>
      </c>
      <c r="C42" s="243" t="s">
        <v>792</v>
      </c>
      <c r="D42" s="242" t="s">
        <v>6251</v>
      </c>
      <c r="E42" s="242" t="s">
        <v>13194</v>
      </c>
      <c r="F42" s="242" t="s">
        <v>13185</v>
      </c>
      <c r="G42" s="242" t="s">
        <v>13318</v>
      </c>
      <c r="H42" s="305" t="s">
        <v>13319</v>
      </c>
      <c r="I42" s="605" t="str">
        <f>HYPERLINK("https://maps.google.com/?q=Miradouro%20de%20Santa%20Justa%20Valongo%20Portugal","👁 Miradouro de Santa Justa")</f>
        <v>👁 Miradouro de Santa Justa</v>
      </c>
    </row>
    <row r="43" spans="1:9" ht="85" customHeight="1" x14ac:dyDescent="0.35">
      <c r="A43" s="338">
        <v>39</v>
      </c>
      <c r="B43" s="239" t="s">
        <v>13320</v>
      </c>
      <c r="C43" s="240" t="s">
        <v>792</v>
      </c>
      <c r="D43" s="239" t="s">
        <v>5603</v>
      </c>
      <c r="E43" s="239" t="s">
        <v>13198</v>
      </c>
      <c r="F43" s="239" t="s">
        <v>13185</v>
      </c>
      <c r="G43" s="239" t="s">
        <v>13321</v>
      </c>
      <c r="H43" s="304" t="s">
        <v>13322</v>
      </c>
      <c r="I43" s="604" t="str">
        <f>HYPERLINK("https://maps.google.com/?q=Cervantes%20Vila%20Nova%20de%20Cerveira%20Portugal","👁 Cervantes")</f>
        <v>👁 Cervantes</v>
      </c>
    </row>
    <row r="44" spans="1:9" ht="85" customHeight="1" x14ac:dyDescent="0.35">
      <c r="A44" s="336">
        <v>40</v>
      </c>
      <c r="B44" s="242" t="s">
        <v>13323</v>
      </c>
      <c r="C44" s="243" t="s">
        <v>792</v>
      </c>
      <c r="D44" s="242" t="s">
        <v>2054</v>
      </c>
      <c r="E44" s="242" t="s">
        <v>13184</v>
      </c>
      <c r="F44" s="242" t="s">
        <v>13185</v>
      </c>
      <c r="G44" s="242" t="s">
        <v>13324</v>
      </c>
      <c r="H44" s="305" t="s">
        <v>13325</v>
      </c>
      <c r="I44" s="605" t="str">
        <f>HYPERLINK("https://maps.google.com/?q=Colcurinho%20Oliveira%20do%20Hospital%20Portugal","👁 Colcurinho")</f>
        <v>👁 Colcurinho</v>
      </c>
    </row>
    <row r="45" spans="1:9" ht="22" customHeight="1" x14ac:dyDescent="0.35">
      <c r="A45" s="1475" t="s">
        <v>13326</v>
      </c>
      <c r="B45" s="1313"/>
      <c r="C45" s="1313"/>
      <c r="D45" s="1313"/>
      <c r="E45" s="1313"/>
      <c r="F45" s="1313"/>
      <c r="G45" s="1313"/>
      <c r="H45" s="1313"/>
    </row>
    <row r="46" spans="1:9" ht="85" customHeight="1" x14ac:dyDescent="0.35">
      <c r="A46" s="358">
        <v>1</v>
      </c>
      <c r="B46" s="259" t="s">
        <v>13327</v>
      </c>
      <c r="C46" s="260" t="s">
        <v>836</v>
      </c>
      <c r="D46" s="259" t="s">
        <v>13328</v>
      </c>
      <c r="E46" s="259" t="s">
        <v>13203</v>
      </c>
      <c r="F46" s="259" t="s">
        <v>13185</v>
      </c>
      <c r="G46" s="259" t="s">
        <v>13329</v>
      </c>
      <c r="H46" s="304" t="s">
        <v>13330</v>
      </c>
      <c r="I46" s="606" t="str">
        <f>HYPERLINK("https://maps.google.com/?q=Torre%20Seia%2FCovilh%C3%A3%20Portugal","👁 Torre")</f>
        <v>👁 Torre</v>
      </c>
    </row>
    <row r="47" spans="1:9" ht="85" customHeight="1" x14ac:dyDescent="0.35">
      <c r="A47" s="352">
        <v>2</v>
      </c>
      <c r="B47" s="262" t="s">
        <v>13331</v>
      </c>
      <c r="C47" s="263" t="s">
        <v>836</v>
      </c>
      <c r="D47" s="262" t="s">
        <v>2452</v>
      </c>
      <c r="E47" s="262" t="s">
        <v>13194</v>
      </c>
      <c r="F47" s="262" t="s">
        <v>13185</v>
      </c>
      <c r="G47" s="262" t="s">
        <v>13332</v>
      </c>
      <c r="H47" s="305" t="s">
        <v>13333</v>
      </c>
      <c r="I47" s="607" t="str">
        <f>HYPERLINK("https://maps.google.com/?q=C%C3%A2ntaro%20Magro%20Serra%20da%20Estrela%20Portugal","👁 Cântaro Magro")</f>
        <v>👁 Cântaro Magro</v>
      </c>
    </row>
    <row r="48" spans="1:9" ht="85" customHeight="1" x14ac:dyDescent="0.35">
      <c r="A48" s="358">
        <v>3</v>
      </c>
      <c r="B48" s="259" t="s">
        <v>13334</v>
      </c>
      <c r="C48" s="260" t="s">
        <v>836</v>
      </c>
      <c r="D48" s="259" t="s">
        <v>5883</v>
      </c>
      <c r="E48" s="259" t="s">
        <v>13184</v>
      </c>
      <c r="F48" s="259" t="s">
        <v>13185</v>
      </c>
      <c r="G48" s="259" t="s">
        <v>13335</v>
      </c>
      <c r="H48" s="304" t="s">
        <v>13336</v>
      </c>
      <c r="I48" s="606" t="str">
        <f>HYPERLINK("https://maps.google.com/?q=Varanda%20dos%20Carqueijais%20Covilh%C3%A3%20Portugal","👁 Varanda dos Carqueijais")</f>
        <v>👁 Varanda dos Carqueijais</v>
      </c>
    </row>
    <row r="49" spans="1:9" ht="85" customHeight="1" x14ac:dyDescent="0.35">
      <c r="A49" s="352">
        <v>4</v>
      </c>
      <c r="B49" s="262" t="s">
        <v>13337</v>
      </c>
      <c r="C49" s="263" t="s">
        <v>836</v>
      </c>
      <c r="D49" s="262" t="s">
        <v>2049</v>
      </c>
      <c r="E49" s="262" t="s">
        <v>13198</v>
      </c>
      <c r="F49" s="262" t="s">
        <v>13190</v>
      </c>
      <c r="G49" s="262" t="s">
        <v>13338</v>
      </c>
      <c r="H49" s="305" t="s">
        <v>13339</v>
      </c>
      <c r="I49" s="607" t="str">
        <f>HYPERLINK("https://maps.google.com/?q=Nossa%20Senhora%20do%20Desterro%20Seia%20Portugal","👁 Nossa Senhora do Desterro")</f>
        <v>👁 Nossa Senhora do Desterro</v>
      </c>
    </row>
    <row r="50" spans="1:9" ht="85" customHeight="1" x14ac:dyDescent="0.35">
      <c r="A50" s="358">
        <v>5</v>
      </c>
      <c r="B50" s="259" t="s">
        <v>13340</v>
      </c>
      <c r="C50" s="260" t="s">
        <v>836</v>
      </c>
      <c r="D50" s="259" t="s">
        <v>2452</v>
      </c>
      <c r="E50" s="259" t="s">
        <v>13184</v>
      </c>
      <c r="F50" s="259" t="s">
        <v>13185</v>
      </c>
      <c r="G50" s="259" t="s">
        <v>13341</v>
      </c>
      <c r="H50" s="304" t="s">
        <v>13342</v>
      </c>
      <c r="I50" s="606" t="str">
        <f>HYPERLINK("https://maps.google.com/?q=Vale%20Glaciar%20do%20Z%C3%AAzere%20Serra%20da%20Estrela%20Portugal","👁 Vale Glaciar do Zêzere")</f>
        <v>👁 Vale Glaciar do Zêzere</v>
      </c>
    </row>
    <row r="51" spans="1:9" ht="85" customHeight="1" x14ac:dyDescent="0.35">
      <c r="A51" s="352">
        <v>6</v>
      </c>
      <c r="B51" s="262" t="s">
        <v>13343</v>
      </c>
      <c r="C51" s="263" t="s">
        <v>836</v>
      </c>
      <c r="D51" s="262" t="s">
        <v>2096</v>
      </c>
      <c r="E51" s="262" t="s">
        <v>13198</v>
      </c>
      <c r="F51" s="262" t="s">
        <v>13185</v>
      </c>
      <c r="G51" s="262" t="s">
        <v>13344</v>
      </c>
      <c r="H51" s="305" t="s">
        <v>13345</v>
      </c>
      <c r="I51" s="607" t="str">
        <f>HYPERLINK("https://maps.google.com/?q=Cabe%C3%A7a%20do%20Velho%20Gouveia%20Portugal","👁 Cabeça do Velho")</f>
        <v>👁 Cabeça do Velho</v>
      </c>
    </row>
    <row r="52" spans="1:9" ht="85" customHeight="1" x14ac:dyDescent="0.35">
      <c r="A52" s="358">
        <v>7</v>
      </c>
      <c r="B52" s="259" t="s">
        <v>13346</v>
      </c>
      <c r="C52" s="260" t="s">
        <v>836</v>
      </c>
      <c r="D52" s="259" t="s">
        <v>5488</v>
      </c>
      <c r="E52" s="259" t="s">
        <v>13184</v>
      </c>
      <c r="F52" s="259" t="s">
        <v>13185</v>
      </c>
      <c r="G52" s="259" t="s">
        <v>13347</v>
      </c>
      <c r="H52" s="304" t="s">
        <v>13348</v>
      </c>
      <c r="I52" s="606" t="str">
        <f>HYPERLINK("https://maps.google.com/?q=Trevim%20Lous%C3%A3%20Portugal","👁 Trevim")</f>
        <v>👁 Trevim</v>
      </c>
    </row>
    <row r="53" spans="1:9" ht="85" customHeight="1" x14ac:dyDescent="0.35">
      <c r="A53" s="352">
        <v>8</v>
      </c>
      <c r="B53" s="262" t="s">
        <v>13349</v>
      </c>
      <c r="C53" s="263" t="s">
        <v>836</v>
      </c>
      <c r="D53" s="262" t="s">
        <v>5488</v>
      </c>
      <c r="E53" s="262" t="s">
        <v>13194</v>
      </c>
      <c r="F53" s="262" t="s">
        <v>13199</v>
      </c>
      <c r="G53" s="262" t="s">
        <v>13350</v>
      </c>
      <c r="H53" s="305" t="s">
        <v>13351</v>
      </c>
      <c r="I53" s="607" t="str">
        <f>HYPERLINK("https://maps.google.com/?q=Nossa%20Senhora%20da%20Piedade%20Lous%C3%A3%20Portugal","👁 Nossa Senhora da Piedade")</f>
        <v>👁 Nossa Senhora da Piedade</v>
      </c>
    </row>
    <row r="54" spans="1:9" ht="85" customHeight="1" x14ac:dyDescent="0.35">
      <c r="A54" s="358">
        <v>9</v>
      </c>
      <c r="B54" s="259" t="s">
        <v>1475</v>
      </c>
      <c r="C54" s="260" t="s">
        <v>836</v>
      </c>
      <c r="D54" s="259" t="s">
        <v>6558</v>
      </c>
      <c r="E54" s="259" t="s">
        <v>13232</v>
      </c>
      <c r="F54" s="259" t="s">
        <v>13199</v>
      </c>
      <c r="G54" s="259" t="s">
        <v>13352</v>
      </c>
      <c r="H54" s="304" t="s">
        <v>13353</v>
      </c>
      <c r="I54" s="606" t="str">
        <f>HYPERLINK("https://maps.google.com/?q=Fraga%20da%20Pena%20Arganil%20Portugal","👁 Fraga da Pena")</f>
        <v>👁 Fraga da Pena</v>
      </c>
    </row>
    <row r="55" spans="1:9" ht="85" customHeight="1" x14ac:dyDescent="0.35">
      <c r="A55" s="352">
        <v>10</v>
      </c>
      <c r="B55" s="262" t="s">
        <v>13354</v>
      </c>
      <c r="C55" s="263" t="s">
        <v>836</v>
      </c>
      <c r="D55" s="262" t="s">
        <v>13355</v>
      </c>
      <c r="E55" s="262" t="s">
        <v>13232</v>
      </c>
      <c r="F55" s="262" t="s">
        <v>13185</v>
      </c>
      <c r="G55" s="262" t="s">
        <v>13356</v>
      </c>
      <c r="H55" s="305" t="s">
        <v>13357</v>
      </c>
      <c r="I55" s="607" t="str">
        <f>HYPERLINK("https://maps.google.com/?q=Caramulinho%20Caramulo%20Portugal","👁 Caramulinho")</f>
        <v>👁 Caramulinho</v>
      </c>
    </row>
    <row r="56" spans="1:9" ht="85" customHeight="1" x14ac:dyDescent="0.35">
      <c r="A56" s="358">
        <v>11</v>
      </c>
      <c r="B56" s="259" t="s">
        <v>13358</v>
      </c>
      <c r="C56" s="260" t="s">
        <v>836</v>
      </c>
      <c r="D56" s="259" t="s">
        <v>1713</v>
      </c>
      <c r="E56" s="259" t="s">
        <v>13194</v>
      </c>
      <c r="F56" s="259" t="s">
        <v>13185</v>
      </c>
      <c r="G56" s="259" t="s">
        <v>13247</v>
      </c>
      <c r="H56" s="304" t="s">
        <v>13359</v>
      </c>
      <c r="I56" s="606" t="str">
        <f>HYPERLINK("https://maps.google.com/?q=Penedo%20do%20Guincho%20Castelo%20Branco%20Portugal","👁 Penedo do Guincho")</f>
        <v>👁 Penedo do Guincho</v>
      </c>
    </row>
    <row r="57" spans="1:9" ht="85" customHeight="1" x14ac:dyDescent="0.35">
      <c r="A57" s="352">
        <v>12</v>
      </c>
      <c r="B57" s="262" t="s">
        <v>13360</v>
      </c>
      <c r="C57" s="263" t="s">
        <v>836</v>
      </c>
      <c r="D57" s="262" t="s">
        <v>13361</v>
      </c>
      <c r="E57" s="262" t="s">
        <v>13198</v>
      </c>
      <c r="F57" s="262" t="s">
        <v>13185</v>
      </c>
      <c r="G57" s="262" t="s">
        <v>13362</v>
      </c>
      <c r="H57" s="305" t="s">
        <v>13363</v>
      </c>
      <c r="I57" s="607" t="str">
        <f>HYPERLINK("https://maps.google.com/?q=Portas%20de%20Rod%C3%A3o%20Vila%20Velha%20de%20Rod%C3%A3o%20Portugal","👁 Portas de Rodão")</f>
        <v>👁 Portas de Rodão</v>
      </c>
    </row>
    <row r="58" spans="1:9" ht="85" customHeight="1" x14ac:dyDescent="0.35">
      <c r="A58" s="358">
        <v>13</v>
      </c>
      <c r="B58" s="259" t="s">
        <v>13364</v>
      </c>
      <c r="C58" s="260" t="s">
        <v>836</v>
      </c>
      <c r="D58" s="259" t="s">
        <v>13365</v>
      </c>
      <c r="E58" s="259" t="s">
        <v>13194</v>
      </c>
      <c r="F58" s="259" t="s">
        <v>13185</v>
      </c>
      <c r="G58" s="259" t="s">
        <v>13366</v>
      </c>
      <c r="H58" s="304" t="s">
        <v>13367</v>
      </c>
      <c r="I58" s="606" t="str">
        <f>HYPERLINK("https://maps.google.com/?q=Baloi%C3%A7o%20do%20Coentral%20Castanheira%20de%20Pera%20Portugal","👁 Baloiço do Coentral")</f>
        <v>👁 Baloiço do Coentral</v>
      </c>
    </row>
    <row r="59" spans="1:9" ht="85" customHeight="1" x14ac:dyDescent="0.35">
      <c r="A59" s="352">
        <v>14</v>
      </c>
      <c r="B59" s="262" t="s">
        <v>13368</v>
      </c>
      <c r="C59" s="263" t="s">
        <v>836</v>
      </c>
      <c r="D59" s="262" t="s">
        <v>8019</v>
      </c>
      <c r="E59" s="262" t="s">
        <v>13194</v>
      </c>
      <c r="F59" s="262" t="s">
        <v>13185</v>
      </c>
      <c r="G59" s="262" t="s">
        <v>13369</v>
      </c>
      <c r="H59" s="305" t="s">
        <v>13370</v>
      </c>
      <c r="I59" s="607" t="str">
        <f>HYPERLINK("https://maps.google.com/?q=Castelo%20de%20Marialva%20M%C3%AAda%20Portugal","👁 Castelo de Marialva")</f>
        <v>👁 Castelo de Marialva</v>
      </c>
    </row>
    <row r="60" spans="1:9" ht="85" customHeight="1" x14ac:dyDescent="0.35">
      <c r="A60" s="358">
        <v>15</v>
      </c>
      <c r="B60" s="259" t="s">
        <v>11215</v>
      </c>
      <c r="C60" s="260" t="s">
        <v>836</v>
      </c>
      <c r="D60" s="259" t="s">
        <v>6570</v>
      </c>
      <c r="E60" s="259" t="s">
        <v>13232</v>
      </c>
      <c r="F60" s="259" t="s">
        <v>13185</v>
      </c>
      <c r="G60" s="259" t="s">
        <v>13371</v>
      </c>
      <c r="H60" s="304" t="s">
        <v>13372</v>
      </c>
      <c r="I60" s="606" t="str">
        <f>HYPERLINK("https://maps.google.com/?q=Sortelha%20Sabugal%20Portugal","👁 Sortelha")</f>
        <v>👁 Sortelha</v>
      </c>
    </row>
    <row r="61" spans="1:9" ht="85" customHeight="1" x14ac:dyDescent="0.35">
      <c r="A61" s="352">
        <v>16</v>
      </c>
      <c r="B61" s="262" t="s">
        <v>9887</v>
      </c>
      <c r="C61" s="263" t="s">
        <v>836</v>
      </c>
      <c r="D61" s="262" t="s">
        <v>933</v>
      </c>
      <c r="E61" s="262" t="s">
        <v>13250</v>
      </c>
      <c r="F61" s="262" t="s">
        <v>13185</v>
      </c>
      <c r="G61" s="262" t="s">
        <v>13373</v>
      </c>
      <c r="H61" s="305" t="s">
        <v>13374</v>
      </c>
      <c r="I61" s="607" t="str">
        <f>HYPERLINK("https://maps.google.com/?q=Monsanto%20Idanha-a-Nova%20Portugal","👁 Monsanto")</f>
        <v>👁 Monsanto</v>
      </c>
    </row>
    <row r="62" spans="1:9" ht="85" customHeight="1" x14ac:dyDescent="0.35">
      <c r="A62" s="358">
        <v>17</v>
      </c>
      <c r="B62" s="259" t="s">
        <v>7204</v>
      </c>
      <c r="C62" s="260" t="s">
        <v>836</v>
      </c>
      <c r="D62" s="259" t="s">
        <v>10507</v>
      </c>
      <c r="E62" s="259" t="s">
        <v>13198</v>
      </c>
      <c r="F62" s="259" t="s">
        <v>13185</v>
      </c>
      <c r="G62" s="259" t="s">
        <v>13375</v>
      </c>
      <c r="H62" s="304" t="s">
        <v>13376</v>
      </c>
      <c r="I62" s="606" t="str">
        <f>HYPERLINK("https://maps.google.com/?q=Castelo%20Rodrigo%20Figueira%20de%20Castelo%20Rodrigo%20Portugal","👁 Castelo Rodrigo")</f>
        <v>👁 Castelo Rodrigo</v>
      </c>
    </row>
    <row r="63" spans="1:9" ht="85" customHeight="1" x14ac:dyDescent="0.35">
      <c r="A63" s="352">
        <v>18</v>
      </c>
      <c r="B63" s="262" t="s">
        <v>9658</v>
      </c>
      <c r="C63" s="263" t="s">
        <v>836</v>
      </c>
      <c r="D63" s="262" t="s">
        <v>13377</v>
      </c>
      <c r="E63" s="262" t="s">
        <v>13194</v>
      </c>
      <c r="F63" s="262" t="s">
        <v>13185</v>
      </c>
      <c r="G63" s="262" t="s">
        <v>13378</v>
      </c>
      <c r="H63" s="305" t="s">
        <v>13379</v>
      </c>
      <c r="I63" s="607" t="str">
        <f>HYPERLINK("https://maps.google.com/?q=Linhares%20da%20Beira%20Celorico%20Portugal","👁 Linhares da Beira")</f>
        <v>👁 Linhares da Beira</v>
      </c>
    </row>
    <row r="64" spans="1:9" ht="85" customHeight="1" x14ac:dyDescent="0.35">
      <c r="A64" s="358">
        <v>19</v>
      </c>
      <c r="B64" s="259" t="s">
        <v>5922</v>
      </c>
      <c r="C64" s="260" t="s">
        <v>836</v>
      </c>
      <c r="D64" s="259" t="s">
        <v>5922</v>
      </c>
      <c r="E64" s="259" t="s">
        <v>13198</v>
      </c>
      <c r="F64" s="259" t="s">
        <v>13185</v>
      </c>
      <c r="G64" s="259" t="s">
        <v>13380</v>
      </c>
      <c r="H64" s="304" t="s">
        <v>13381</v>
      </c>
      <c r="I64" s="606" t="str">
        <f>HYPERLINK("https://maps.google.com/?q=Belmonte%20Belmonte%20Portugal","👁 Belmonte")</f>
        <v>👁 Belmonte</v>
      </c>
    </row>
    <row r="65" spans="1:9" ht="85" customHeight="1" x14ac:dyDescent="0.35">
      <c r="A65" s="352">
        <v>20</v>
      </c>
      <c r="B65" s="262" t="s">
        <v>13382</v>
      </c>
      <c r="C65" s="263" t="s">
        <v>836</v>
      </c>
      <c r="D65" s="262" t="s">
        <v>5497</v>
      </c>
      <c r="E65" s="262" t="s">
        <v>13184</v>
      </c>
      <c r="F65" s="262" t="s">
        <v>13199</v>
      </c>
      <c r="G65" s="262" t="s">
        <v>13383</v>
      </c>
      <c r="H65" s="305" t="s">
        <v>13384</v>
      </c>
      <c r="I65" s="607" t="str">
        <f>HYPERLINK("https://maps.google.com/?q=Penedo%20da%20Saudade%20Coimbra%20Portugal","👁 Penedo da Saudade")</f>
        <v>👁 Penedo da Saudade</v>
      </c>
    </row>
    <row r="66" spans="1:9" ht="85" customHeight="1" x14ac:dyDescent="0.35">
      <c r="A66" s="358">
        <v>21</v>
      </c>
      <c r="B66" s="259" t="s">
        <v>10333</v>
      </c>
      <c r="C66" s="260" t="s">
        <v>836</v>
      </c>
      <c r="D66" s="259" t="s">
        <v>5497</v>
      </c>
      <c r="E66" s="259" t="s">
        <v>13198</v>
      </c>
      <c r="F66" s="259" t="s">
        <v>13185</v>
      </c>
      <c r="G66" s="259" t="s">
        <v>13385</v>
      </c>
      <c r="H66" s="304" t="s">
        <v>13386</v>
      </c>
      <c r="I66" s="606" t="str">
        <f>HYPERLINK("https://maps.google.com/?q=Universidade%20de%20Coimbra%20Coimbra%20Portugal","👁 Universidade de Coimbra")</f>
        <v>👁 Universidade de Coimbra</v>
      </c>
    </row>
    <row r="67" spans="1:9" ht="85" customHeight="1" x14ac:dyDescent="0.35">
      <c r="A67" s="352">
        <v>22</v>
      </c>
      <c r="B67" s="262" t="s">
        <v>13387</v>
      </c>
      <c r="C67" s="263" t="s">
        <v>836</v>
      </c>
      <c r="D67" s="262" t="s">
        <v>9870</v>
      </c>
      <c r="E67" s="262" t="s">
        <v>13184</v>
      </c>
      <c r="F67" s="262" t="s">
        <v>13185</v>
      </c>
      <c r="G67" s="262" t="s">
        <v>13388</v>
      </c>
      <c r="H67" s="305" t="s">
        <v>13389</v>
      </c>
      <c r="I67" s="607" t="str">
        <f>HYPERLINK("https://maps.google.com/?q=S%C3%ADtio%20da%20Nazar%C3%A9%20Nazar%C3%A9%20Portugal","👁 Sítio da Nazaré")</f>
        <v>👁 Sítio da Nazaré</v>
      </c>
    </row>
    <row r="68" spans="1:9" ht="85" customHeight="1" x14ac:dyDescent="0.35">
      <c r="A68" s="358">
        <v>23</v>
      </c>
      <c r="B68" s="259" t="s">
        <v>13390</v>
      </c>
      <c r="C68" s="260" t="s">
        <v>836</v>
      </c>
      <c r="D68" s="259" t="s">
        <v>9870</v>
      </c>
      <c r="E68" s="259" t="s">
        <v>13232</v>
      </c>
      <c r="F68" s="259" t="s">
        <v>13185</v>
      </c>
      <c r="G68" s="259" t="s">
        <v>13391</v>
      </c>
      <c r="H68" s="304" t="s">
        <v>13392</v>
      </c>
      <c r="I68" s="606" t="str">
        <f>HYPERLINK("https://maps.google.com/?q=Forte%20de%20S.%20Miguel%20Arcanjo%20Nazar%C3%A9%20Portugal","👁 Forte de S. Miguel Arcanjo")</f>
        <v>👁 Forte de S. Miguel Arcanjo</v>
      </c>
    </row>
    <row r="69" spans="1:9" ht="85" customHeight="1" x14ac:dyDescent="0.35">
      <c r="A69" s="352">
        <v>24</v>
      </c>
      <c r="B69" s="262" t="s">
        <v>13393</v>
      </c>
      <c r="C69" s="263" t="s">
        <v>836</v>
      </c>
      <c r="D69" s="262" t="s">
        <v>9870</v>
      </c>
      <c r="E69" s="262" t="s">
        <v>13184</v>
      </c>
      <c r="F69" s="262" t="s">
        <v>13185</v>
      </c>
      <c r="G69" s="262" t="s">
        <v>13394</v>
      </c>
      <c r="H69" s="305" t="s">
        <v>13389</v>
      </c>
      <c r="I69" s="607" t="str">
        <f>HYPERLINK("https://maps.google.com/?q=Miradouro%20do%20Suberco%20Nazar%C3%A9%20Portugal","👁 Miradouro do Suberco")</f>
        <v>👁 Miradouro do Suberco</v>
      </c>
    </row>
    <row r="70" spans="1:9" ht="85" customHeight="1" x14ac:dyDescent="0.35">
      <c r="A70" s="358">
        <v>25</v>
      </c>
      <c r="B70" s="259" t="s">
        <v>7289</v>
      </c>
      <c r="C70" s="260" t="s">
        <v>836</v>
      </c>
      <c r="D70" s="259" t="s">
        <v>7725</v>
      </c>
      <c r="E70" s="259" t="s">
        <v>13232</v>
      </c>
      <c r="F70" s="259" t="s">
        <v>13185</v>
      </c>
      <c r="G70" s="259" t="s">
        <v>13383</v>
      </c>
      <c r="H70" s="304" t="s">
        <v>13395</v>
      </c>
      <c r="I70" s="606" t="str">
        <f>HYPERLINK("https://maps.google.com/?q=Castelo%20de%20Leiria%20Leiria%20Portugal","👁 Castelo de Leiria")</f>
        <v>👁 Castelo de Leiria</v>
      </c>
    </row>
    <row r="71" spans="1:9" ht="85" customHeight="1" x14ac:dyDescent="0.35">
      <c r="A71" s="352">
        <v>26</v>
      </c>
      <c r="B71" s="262" t="s">
        <v>13396</v>
      </c>
      <c r="C71" s="263" t="s">
        <v>836</v>
      </c>
      <c r="D71" s="262" t="s">
        <v>7725</v>
      </c>
      <c r="E71" s="262" t="s">
        <v>13198</v>
      </c>
      <c r="F71" s="262" t="s">
        <v>13185</v>
      </c>
      <c r="G71" s="262" t="s">
        <v>13397</v>
      </c>
      <c r="H71" s="305" t="s">
        <v>13398</v>
      </c>
      <c r="I71" s="607" t="str">
        <f>HYPERLINK("https://maps.google.com/?q=Senhora%20do%20Monte%20Leiria%20Portugal","👁 Senhora do Monte")</f>
        <v>👁 Senhora do Monte</v>
      </c>
    </row>
    <row r="72" spans="1:9" ht="85" customHeight="1" x14ac:dyDescent="0.35">
      <c r="A72" s="358">
        <v>27</v>
      </c>
      <c r="B72" s="259" t="s">
        <v>13399</v>
      </c>
      <c r="C72" s="260" t="s">
        <v>836</v>
      </c>
      <c r="D72" s="259" t="s">
        <v>7331</v>
      </c>
      <c r="E72" s="259" t="s">
        <v>13194</v>
      </c>
      <c r="F72" s="259" t="s">
        <v>13185</v>
      </c>
      <c r="G72" s="259" t="s">
        <v>13400</v>
      </c>
      <c r="H72" s="304" t="s">
        <v>13401</v>
      </c>
      <c r="I72" s="606" t="str">
        <f>HYPERLINK("https://maps.google.com/?q=Cabo%20Mondego%20Figueira%20da%20Foz%20Portugal","👁 Cabo Mondego")</f>
        <v>👁 Cabo Mondego</v>
      </c>
    </row>
    <row r="73" spans="1:9" ht="85" customHeight="1" x14ac:dyDescent="0.35">
      <c r="A73" s="352">
        <v>28</v>
      </c>
      <c r="B73" s="262" t="s">
        <v>13402</v>
      </c>
      <c r="C73" s="263" t="s">
        <v>836</v>
      </c>
      <c r="D73" s="262" t="s">
        <v>7331</v>
      </c>
      <c r="E73" s="262" t="s">
        <v>13184</v>
      </c>
      <c r="F73" s="262" t="s">
        <v>13185</v>
      </c>
      <c r="G73" s="262" t="s">
        <v>13403</v>
      </c>
      <c r="H73" s="305" t="s">
        <v>13404</v>
      </c>
      <c r="I73" s="607" t="str">
        <f>HYPERLINK("https://maps.google.com/?q=Buarcos%20Figueira%20da%20Foz%20Portugal","👁 Buarcos")</f>
        <v>👁 Buarcos</v>
      </c>
    </row>
    <row r="74" spans="1:9" ht="85" customHeight="1" x14ac:dyDescent="0.35">
      <c r="A74" s="358">
        <v>29</v>
      </c>
      <c r="B74" s="259" t="s">
        <v>976</v>
      </c>
      <c r="C74" s="260" t="s">
        <v>836</v>
      </c>
      <c r="D74" s="259" t="s">
        <v>1113</v>
      </c>
      <c r="E74" s="259" t="s">
        <v>13250</v>
      </c>
      <c r="F74" s="259" t="s">
        <v>13185</v>
      </c>
      <c r="G74" s="259" t="s">
        <v>13405</v>
      </c>
      <c r="H74" s="304" t="s">
        <v>13406</v>
      </c>
      <c r="I74" s="606" t="str">
        <f>HYPERLINK("https://maps.google.com/?q=Castelo%20de%20%C3%93bidos%20%C3%93bidos%20Portugal","👁 Castelo de Óbidos")</f>
        <v>👁 Castelo de Óbidos</v>
      </c>
    </row>
    <row r="75" spans="1:9" ht="85" customHeight="1" x14ac:dyDescent="0.35">
      <c r="A75" s="352">
        <v>30</v>
      </c>
      <c r="B75" s="262" t="s">
        <v>13407</v>
      </c>
      <c r="C75" s="263" t="s">
        <v>836</v>
      </c>
      <c r="D75" s="262" t="s">
        <v>6551</v>
      </c>
      <c r="E75" s="262" t="s">
        <v>13184</v>
      </c>
      <c r="F75" s="262" t="s">
        <v>13185</v>
      </c>
      <c r="G75" s="262" t="s">
        <v>13408</v>
      </c>
      <c r="H75" s="305" t="s">
        <v>13409</v>
      </c>
      <c r="I75" s="607" t="str">
        <f>HYPERLINK("https://maps.google.com/?q=Cabo%20Carvoeiro%20Peniche%20Portugal","👁 Cabo Carvoeiro")</f>
        <v>👁 Cabo Carvoeiro</v>
      </c>
    </row>
    <row r="76" spans="1:9" ht="85" customHeight="1" x14ac:dyDescent="0.35">
      <c r="A76" s="358">
        <v>31</v>
      </c>
      <c r="B76" s="259" t="s">
        <v>13410</v>
      </c>
      <c r="C76" s="260" t="s">
        <v>836</v>
      </c>
      <c r="D76" s="259" t="s">
        <v>6551</v>
      </c>
      <c r="E76" s="259" t="s">
        <v>13250</v>
      </c>
      <c r="F76" s="259" t="s">
        <v>13185</v>
      </c>
      <c r="G76" s="259" t="s">
        <v>13411</v>
      </c>
      <c r="H76" s="304" t="s">
        <v>13412</v>
      </c>
      <c r="I76" s="606" t="str">
        <f>HYPERLINK("https://maps.google.com/?q=Pap%C3%B4a%20Peniche%20Portugal","👁 Papôa")</f>
        <v>👁 Papôa</v>
      </c>
    </row>
    <row r="77" spans="1:9" ht="85" customHeight="1" x14ac:dyDescent="0.35">
      <c r="A77" s="352">
        <v>32</v>
      </c>
      <c r="B77" s="262" t="s">
        <v>13413</v>
      </c>
      <c r="C77" s="263" t="s">
        <v>836</v>
      </c>
      <c r="D77" s="262" t="s">
        <v>7006</v>
      </c>
      <c r="E77" s="262" t="s">
        <v>13194</v>
      </c>
      <c r="F77" s="262" t="s">
        <v>13185</v>
      </c>
      <c r="G77" s="262" t="s">
        <v>13414</v>
      </c>
      <c r="H77" s="305" t="s">
        <v>13415</v>
      </c>
      <c r="I77" s="607" t="str">
        <f>HYPERLINK("https://maps.google.com/?q=S%C3%A3o%20Martinho%20do%20Porto%20Caldas%20da%20Rainha%20Portugal","👁 São Martinho do Porto")</f>
        <v>👁 São Martinho do Porto</v>
      </c>
    </row>
    <row r="78" spans="1:9" ht="85" customHeight="1" x14ac:dyDescent="0.35">
      <c r="A78" s="358">
        <v>33</v>
      </c>
      <c r="B78" s="259" t="s">
        <v>1543</v>
      </c>
      <c r="C78" s="260" t="s">
        <v>836</v>
      </c>
      <c r="D78" s="259" t="s">
        <v>10088</v>
      </c>
      <c r="E78" s="259" t="s">
        <v>13198</v>
      </c>
      <c r="F78" s="259" t="s">
        <v>13185</v>
      </c>
      <c r="G78" s="259" t="s">
        <v>13416</v>
      </c>
      <c r="H78" s="304" t="s">
        <v>13417</v>
      </c>
      <c r="I78" s="606" t="str">
        <f>HYPERLINK("https://maps.google.com/?q=Santu%C3%A1rio%20de%20F%C3%A1tima%20F%C3%A1tima%20Portugal","👁 Santuário de Fátima")</f>
        <v>👁 Santuário de Fátima</v>
      </c>
    </row>
    <row r="79" spans="1:9" ht="85" customHeight="1" x14ac:dyDescent="0.35">
      <c r="A79" s="352">
        <v>34</v>
      </c>
      <c r="B79" s="262" t="s">
        <v>1428</v>
      </c>
      <c r="C79" s="263" t="s">
        <v>836</v>
      </c>
      <c r="D79" s="262" t="s">
        <v>13418</v>
      </c>
      <c r="E79" s="262" t="s">
        <v>13198</v>
      </c>
      <c r="F79" s="262" t="s">
        <v>13185</v>
      </c>
      <c r="G79" s="262" t="s">
        <v>13419</v>
      </c>
      <c r="H79" s="305" t="s">
        <v>13420</v>
      </c>
      <c r="I79" s="607" t="str">
        <f>HYPERLINK("https://maps.google.com/?q=Castelo%20de%20Almourol%20V.N.%20Barquinha%20Portugal","👁 Castelo de Almourol")</f>
        <v>👁 Castelo de Almourol</v>
      </c>
    </row>
    <row r="80" spans="1:9" ht="85" customHeight="1" x14ac:dyDescent="0.35">
      <c r="A80" s="358">
        <v>35</v>
      </c>
      <c r="B80" s="259" t="s">
        <v>13421</v>
      </c>
      <c r="C80" s="260" t="s">
        <v>836</v>
      </c>
      <c r="D80" s="259" t="s">
        <v>1276</v>
      </c>
      <c r="E80" s="259" t="s">
        <v>13194</v>
      </c>
      <c r="F80" s="259" t="s">
        <v>13190</v>
      </c>
      <c r="G80" s="259" t="s">
        <v>13422</v>
      </c>
      <c r="H80" s="304" t="s">
        <v>13423</v>
      </c>
      <c r="I80" s="606" t="str">
        <f>HYPERLINK("https://maps.google.com/?q=Convento%20de%20Cristo%20Tomar%20Portugal","👁 Convento de Cristo")</f>
        <v>👁 Convento de Cristo</v>
      </c>
    </row>
    <row r="81" spans="1:9" ht="85" customHeight="1" x14ac:dyDescent="0.35">
      <c r="A81" s="352">
        <v>36</v>
      </c>
      <c r="B81" s="262" t="s">
        <v>6580</v>
      </c>
      <c r="C81" s="263" t="s">
        <v>836</v>
      </c>
      <c r="D81" s="262" t="s">
        <v>6255</v>
      </c>
      <c r="E81" s="262" t="s">
        <v>13424</v>
      </c>
      <c r="F81" s="262" t="s">
        <v>13185</v>
      </c>
      <c r="G81" s="262" t="s">
        <v>13425</v>
      </c>
      <c r="H81" s="305" t="s">
        <v>13426</v>
      </c>
      <c r="I81" s="607" t="str">
        <f>HYPERLINK("https://maps.google.com/?q=Penedo%20Furado%20Vila%20de%20Rei%20Portugal","👁 Penedo Furado")</f>
        <v>👁 Penedo Furado</v>
      </c>
    </row>
    <row r="82" spans="1:9" ht="85" customHeight="1" x14ac:dyDescent="0.35">
      <c r="A82" s="358">
        <v>37</v>
      </c>
      <c r="B82" s="259" t="s">
        <v>13427</v>
      </c>
      <c r="C82" s="260" t="s">
        <v>836</v>
      </c>
      <c r="D82" s="259" t="s">
        <v>2045</v>
      </c>
      <c r="E82" s="259" t="s">
        <v>13194</v>
      </c>
      <c r="F82" s="259" t="s">
        <v>13185</v>
      </c>
      <c r="G82" s="259" t="s">
        <v>13428</v>
      </c>
      <c r="H82" s="304" t="s">
        <v>13429</v>
      </c>
      <c r="I82" s="606" t="str">
        <f>HYPERLINK("https://maps.google.com/?q=Dornes%20Ferreira%20do%20Z%C3%AAzere%20Portugal","👁 Dornes")</f>
        <v>👁 Dornes</v>
      </c>
    </row>
    <row r="83" spans="1:9" ht="85" customHeight="1" x14ac:dyDescent="0.35">
      <c r="A83" s="352">
        <v>38</v>
      </c>
      <c r="B83" s="262" t="s">
        <v>13430</v>
      </c>
      <c r="C83" s="263" t="s">
        <v>836</v>
      </c>
      <c r="D83" s="262" t="s">
        <v>1276</v>
      </c>
      <c r="E83" s="262" t="s">
        <v>13184</v>
      </c>
      <c r="F83" s="262" t="s">
        <v>13185</v>
      </c>
      <c r="G83" s="262" t="s">
        <v>13431</v>
      </c>
      <c r="H83" s="305" t="s">
        <v>13432</v>
      </c>
      <c r="I83" s="607" t="str">
        <f>HYPERLINK("https://maps.google.com/?q=Miradouro%20da%20Serrinha%20Tomar%20Portugal","👁 Miradouro da Serrinha")</f>
        <v>👁 Miradouro da Serrinha</v>
      </c>
    </row>
    <row r="84" spans="1:9" ht="85" customHeight="1" x14ac:dyDescent="0.35">
      <c r="A84" s="358">
        <v>39</v>
      </c>
      <c r="B84" s="259" t="s">
        <v>13433</v>
      </c>
      <c r="C84" s="260" t="s">
        <v>836</v>
      </c>
      <c r="D84" s="259" t="s">
        <v>13434</v>
      </c>
      <c r="E84" s="259" t="s">
        <v>13232</v>
      </c>
      <c r="F84" s="259" t="s">
        <v>13199</v>
      </c>
      <c r="G84" s="259" t="s">
        <v>13435</v>
      </c>
      <c r="H84" s="304" t="s">
        <v>13436</v>
      </c>
      <c r="I84" s="606" t="str">
        <f>HYPERLINK("https://maps.google.com/?q=Pia%20do%20Urso%20Batalha%20Portugal","👁 Pia do Urso")</f>
        <v>👁 Pia do Urso</v>
      </c>
    </row>
    <row r="85" spans="1:9" ht="85" customHeight="1" x14ac:dyDescent="0.35">
      <c r="A85" s="352">
        <v>40</v>
      </c>
      <c r="B85" s="262" t="s">
        <v>13437</v>
      </c>
      <c r="C85" s="263" t="s">
        <v>836</v>
      </c>
      <c r="D85" s="262" t="s">
        <v>1077</v>
      </c>
      <c r="E85" s="262" t="s">
        <v>13184</v>
      </c>
      <c r="F85" s="262" t="s">
        <v>13185</v>
      </c>
      <c r="G85" s="262" t="s">
        <v>13438</v>
      </c>
      <c r="H85" s="305" t="s">
        <v>13439</v>
      </c>
      <c r="I85" s="607" t="str">
        <f>HYPERLINK("https://maps.google.com/?q=Boca%20do%20Inferno%20(Cascais)%20Cascais%20Portugal","👁 Boca do Inferno (Cascais)")</f>
        <v>👁 Boca do Inferno (Cascais)</v>
      </c>
    </row>
    <row r="86" spans="1:9" ht="22" customHeight="1" x14ac:dyDescent="0.35">
      <c r="A86" s="1480" t="s">
        <v>13440</v>
      </c>
      <c r="B86" s="1313"/>
      <c r="C86" s="1313"/>
      <c r="D86" s="1313"/>
      <c r="E86" s="1313"/>
      <c r="F86" s="1313"/>
      <c r="G86" s="1313"/>
      <c r="H86" s="1313"/>
    </row>
    <row r="87" spans="1:9" ht="85" customHeight="1" x14ac:dyDescent="0.35">
      <c r="A87" s="360">
        <v>1</v>
      </c>
      <c r="B87" s="245" t="s">
        <v>13441</v>
      </c>
      <c r="C87" s="246" t="s">
        <v>913</v>
      </c>
      <c r="D87" s="245" t="s">
        <v>913</v>
      </c>
      <c r="E87" s="245" t="s">
        <v>13184</v>
      </c>
      <c r="F87" s="245" t="s">
        <v>13185</v>
      </c>
      <c r="G87" s="245" t="s">
        <v>13442</v>
      </c>
      <c r="H87" s="304" t="s">
        <v>13443</v>
      </c>
      <c r="I87" s="608" t="str">
        <f>HYPERLINK("https://maps.google.com/?q=Senhora%20do%20Monte%20(Gra%C3%A7a)%20Lisboa%20Portugal","👁 Senhora do Monte (Graça)")</f>
        <v>👁 Senhora do Monte (Graça)</v>
      </c>
    </row>
    <row r="88" spans="1:9" ht="85" customHeight="1" x14ac:dyDescent="0.35">
      <c r="A88" s="340">
        <v>2</v>
      </c>
      <c r="B88" s="248" t="s">
        <v>13444</v>
      </c>
      <c r="C88" s="249" t="s">
        <v>913</v>
      </c>
      <c r="D88" s="248" t="s">
        <v>913</v>
      </c>
      <c r="E88" s="248" t="s">
        <v>13184</v>
      </c>
      <c r="F88" s="248" t="s">
        <v>13199</v>
      </c>
      <c r="G88" s="248" t="s">
        <v>13445</v>
      </c>
      <c r="H88" s="305" t="s">
        <v>13446</v>
      </c>
      <c r="I88" s="609" t="str">
        <f>HYPERLINK("https://maps.google.com/?q=Miradouro%20da%20Gra%C3%A7a%20Lisboa%20Portugal","👁 Miradouro da Graça")</f>
        <v>👁 Miradouro da Graça</v>
      </c>
    </row>
    <row r="89" spans="1:9" ht="85" customHeight="1" x14ac:dyDescent="0.35">
      <c r="A89" s="360">
        <v>3</v>
      </c>
      <c r="B89" s="245" t="s">
        <v>13447</v>
      </c>
      <c r="C89" s="246" t="s">
        <v>913</v>
      </c>
      <c r="D89" s="245" t="s">
        <v>913</v>
      </c>
      <c r="E89" s="245" t="s">
        <v>13184</v>
      </c>
      <c r="F89" s="245" t="s">
        <v>13185</v>
      </c>
      <c r="G89" s="245" t="s">
        <v>13448</v>
      </c>
      <c r="H89" s="304" t="s">
        <v>13443</v>
      </c>
      <c r="I89" s="608" t="str">
        <f>HYPERLINK("https://maps.google.com/?q=Portas%20do%20Sol%20Lisboa%20Portugal","👁 Portas do Sol")</f>
        <v>👁 Portas do Sol</v>
      </c>
    </row>
    <row r="90" spans="1:9" ht="85" customHeight="1" x14ac:dyDescent="0.35">
      <c r="A90" s="340">
        <v>4</v>
      </c>
      <c r="B90" s="248" t="s">
        <v>11133</v>
      </c>
      <c r="C90" s="249" t="s">
        <v>913</v>
      </c>
      <c r="D90" s="248" t="s">
        <v>913</v>
      </c>
      <c r="E90" s="248" t="s">
        <v>13184</v>
      </c>
      <c r="F90" s="248" t="s">
        <v>13190</v>
      </c>
      <c r="G90" s="248" t="s">
        <v>13449</v>
      </c>
      <c r="H90" s="305" t="s">
        <v>13450</v>
      </c>
      <c r="I90" s="609" t="str">
        <f>HYPERLINK("https://maps.google.com/?q=Santa%20Luzia%20Lisboa%20Portugal","👁 Santa Luzia")</f>
        <v>👁 Santa Luzia</v>
      </c>
    </row>
    <row r="91" spans="1:9" ht="85" customHeight="1" x14ac:dyDescent="0.35">
      <c r="A91" s="360">
        <v>5</v>
      </c>
      <c r="B91" s="245" t="s">
        <v>13451</v>
      </c>
      <c r="C91" s="246" t="s">
        <v>913</v>
      </c>
      <c r="D91" s="245" t="s">
        <v>913</v>
      </c>
      <c r="E91" s="245" t="s">
        <v>13232</v>
      </c>
      <c r="F91" s="245" t="s">
        <v>13452</v>
      </c>
      <c r="G91" s="245" t="s">
        <v>13453</v>
      </c>
      <c r="H91" s="304" t="s">
        <v>13454</v>
      </c>
      <c r="I91" s="608" t="str">
        <f>HYPERLINK("https://maps.google.com/?q=Castelo%20de%20S.%20Jorge%20Lisboa%20Portugal","👁 Castelo de S. Jorge")</f>
        <v>👁 Castelo de S. Jorge</v>
      </c>
    </row>
    <row r="92" spans="1:9" ht="85" customHeight="1" x14ac:dyDescent="0.35">
      <c r="A92" s="340">
        <v>6</v>
      </c>
      <c r="B92" s="248" t="s">
        <v>13455</v>
      </c>
      <c r="C92" s="249" t="s">
        <v>913</v>
      </c>
      <c r="D92" s="248" t="s">
        <v>913</v>
      </c>
      <c r="E92" s="248" t="s">
        <v>13184</v>
      </c>
      <c r="F92" s="248" t="s">
        <v>13199</v>
      </c>
      <c r="G92" s="248" t="s">
        <v>13456</v>
      </c>
      <c r="H92" s="305" t="s">
        <v>13446</v>
      </c>
      <c r="I92" s="609" t="str">
        <f>HYPERLINK("https://maps.google.com/?q=S%C3%A3o%20Pedro%20de%20Alc%C3%A2ntara%20Lisboa%20Portugal","👁 São Pedro de Alcântara")</f>
        <v>👁 São Pedro de Alcântara</v>
      </c>
    </row>
    <row r="93" spans="1:9" ht="85" customHeight="1" x14ac:dyDescent="0.35">
      <c r="A93" s="360">
        <v>7</v>
      </c>
      <c r="B93" s="245" t="s">
        <v>13457</v>
      </c>
      <c r="C93" s="246" t="s">
        <v>913</v>
      </c>
      <c r="D93" s="245" t="s">
        <v>913</v>
      </c>
      <c r="E93" s="245" t="s">
        <v>13184</v>
      </c>
      <c r="F93" s="245" t="s">
        <v>13185</v>
      </c>
      <c r="G93" s="245" t="s">
        <v>13458</v>
      </c>
      <c r="H93" s="304" t="s">
        <v>13443</v>
      </c>
      <c r="I93" s="608" t="str">
        <f>HYPERLINK("https://maps.google.com/?q=Santa%20Catarina%20(Adamastor)%20Lisboa%20Portugal","👁 Santa Catarina (Adamastor)")</f>
        <v>👁 Santa Catarina (Adamastor)</v>
      </c>
    </row>
    <row r="94" spans="1:9" ht="85" customHeight="1" x14ac:dyDescent="0.35">
      <c r="A94" s="340">
        <v>8</v>
      </c>
      <c r="B94" s="248" t="s">
        <v>13459</v>
      </c>
      <c r="C94" s="249" t="s">
        <v>913</v>
      </c>
      <c r="D94" s="248" t="s">
        <v>913</v>
      </c>
      <c r="E94" s="248" t="s">
        <v>13198</v>
      </c>
      <c r="F94" s="248" t="s">
        <v>13185</v>
      </c>
      <c r="G94" s="248" t="s">
        <v>13460</v>
      </c>
      <c r="H94" s="305" t="s">
        <v>13461</v>
      </c>
      <c r="I94" s="609" t="str">
        <f>HYPERLINK("https://maps.google.com/?q=Parque%20Eduardo%20VII%20(Topo)%20Lisboa%20Portugal","👁 Parque Eduardo VII (Topo)")</f>
        <v>👁 Parque Eduardo VII (Topo)</v>
      </c>
    </row>
    <row r="95" spans="1:9" ht="85" customHeight="1" x14ac:dyDescent="0.35">
      <c r="A95" s="360">
        <v>9</v>
      </c>
      <c r="B95" s="245" t="s">
        <v>13462</v>
      </c>
      <c r="C95" s="246" t="s">
        <v>913</v>
      </c>
      <c r="D95" s="245" t="s">
        <v>913</v>
      </c>
      <c r="E95" s="245" t="s">
        <v>13194</v>
      </c>
      <c r="F95" s="245" t="s">
        <v>13185</v>
      </c>
      <c r="G95" s="245" t="s">
        <v>13463</v>
      </c>
      <c r="H95" s="304" t="s">
        <v>13464</v>
      </c>
      <c r="I95" s="608" t="str">
        <f>HYPERLINK("https://maps.google.com/?q=Arco%20da%20Rua%20Augusta%20Lisboa%20Portugal","👁 Arco da Rua Augusta")</f>
        <v>👁 Arco da Rua Augusta</v>
      </c>
    </row>
    <row r="96" spans="1:9" ht="85" customHeight="1" x14ac:dyDescent="0.35">
      <c r="A96" s="340">
        <v>10</v>
      </c>
      <c r="B96" s="248" t="s">
        <v>13465</v>
      </c>
      <c r="C96" s="249" t="s">
        <v>913</v>
      </c>
      <c r="D96" s="248" t="s">
        <v>913</v>
      </c>
      <c r="E96" s="248" t="s">
        <v>13198</v>
      </c>
      <c r="F96" s="248" t="s">
        <v>13199</v>
      </c>
      <c r="G96" s="248" t="s">
        <v>13466</v>
      </c>
      <c r="H96" s="305" t="s">
        <v>13467</v>
      </c>
      <c r="I96" s="609" t="str">
        <f>HYPERLINK("https://maps.google.com/?q=Panor%C3%A2mico%20de%20Monsanto%20Lisboa%20Portugal","👁 Panorâmico de Monsanto")</f>
        <v>👁 Panorâmico de Monsanto</v>
      </c>
    </row>
    <row r="97" spans="1:9" ht="85" customHeight="1" x14ac:dyDescent="0.35">
      <c r="A97" s="360">
        <v>11</v>
      </c>
      <c r="B97" s="245" t="s">
        <v>13468</v>
      </c>
      <c r="C97" s="246" t="s">
        <v>913</v>
      </c>
      <c r="D97" s="245" t="s">
        <v>913</v>
      </c>
      <c r="E97" s="245" t="s">
        <v>13198</v>
      </c>
      <c r="F97" s="245" t="s">
        <v>13199</v>
      </c>
      <c r="G97" s="245" t="s">
        <v>13469</v>
      </c>
      <c r="H97" s="304" t="s">
        <v>13467</v>
      </c>
      <c r="I97" s="608" t="str">
        <f>HYPERLINK("https://maps.google.com/?q=Keil%20do%20Amaral%20Lisboa%20Portugal","👁 Keil do Amaral")</f>
        <v>👁 Keil do Amaral</v>
      </c>
    </row>
    <row r="98" spans="1:9" ht="85" customHeight="1" x14ac:dyDescent="0.35">
      <c r="A98" s="340">
        <v>12</v>
      </c>
      <c r="B98" s="248" t="s">
        <v>13470</v>
      </c>
      <c r="C98" s="249" t="s">
        <v>913</v>
      </c>
      <c r="D98" s="248" t="s">
        <v>913</v>
      </c>
      <c r="E98" s="248" t="s">
        <v>13184</v>
      </c>
      <c r="F98" s="248" t="s">
        <v>13199</v>
      </c>
      <c r="G98" s="248" t="s">
        <v>13471</v>
      </c>
      <c r="H98" s="305" t="s">
        <v>13446</v>
      </c>
      <c r="I98" s="609" t="str">
        <f>HYPERLINK("https://maps.google.com/?q=Jardim%20do%20Torel%20Lisboa%20Portugal","👁 Jardim do Torel")</f>
        <v>👁 Jardim do Torel</v>
      </c>
    </row>
    <row r="99" spans="1:9" ht="85" customHeight="1" x14ac:dyDescent="0.35">
      <c r="A99" s="360">
        <v>13</v>
      </c>
      <c r="B99" s="245" t="s">
        <v>13472</v>
      </c>
      <c r="C99" s="246" t="s">
        <v>913</v>
      </c>
      <c r="D99" s="245" t="s">
        <v>913</v>
      </c>
      <c r="E99" s="245" t="s">
        <v>13198</v>
      </c>
      <c r="F99" s="245" t="s">
        <v>13185</v>
      </c>
      <c r="G99" s="245" t="s">
        <v>13473</v>
      </c>
      <c r="H99" s="304" t="s">
        <v>13461</v>
      </c>
      <c r="I99" s="608" t="str">
        <f>HYPERLINK("https://maps.google.com/?q=Santo%20Amaro%20Lisboa%20Portugal","👁 Santo Amaro")</f>
        <v>👁 Santo Amaro</v>
      </c>
    </row>
    <row r="100" spans="1:9" ht="85" customHeight="1" x14ac:dyDescent="0.35">
      <c r="A100" s="340">
        <v>14</v>
      </c>
      <c r="B100" s="248" t="s">
        <v>13474</v>
      </c>
      <c r="C100" s="249" t="s">
        <v>913</v>
      </c>
      <c r="D100" s="248" t="s">
        <v>913</v>
      </c>
      <c r="E100" s="248" t="s">
        <v>13250</v>
      </c>
      <c r="F100" s="248" t="s">
        <v>13185</v>
      </c>
      <c r="G100" s="248" t="s">
        <v>7069</v>
      </c>
      <c r="H100" s="305" t="s">
        <v>13475</v>
      </c>
      <c r="I100" s="609" t="str">
        <f>HYPERLINK("https://maps.google.com/?q=Bas%C3%ADlica%20da%20Estrela%20Lisboa%20Portugal","👁 Basílica da Estrela")</f>
        <v>👁 Basílica da Estrela</v>
      </c>
    </row>
    <row r="101" spans="1:9" ht="85" customHeight="1" x14ac:dyDescent="0.35">
      <c r="A101" s="360">
        <v>15</v>
      </c>
      <c r="B101" s="245" t="s">
        <v>6831</v>
      </c>
      <c r="C101" s="246" t="s">
        <v>913</v>
      </c>
      <c r="D101" s="245" t="s">
        <v>2567</v>
      </c>
      <c r="E101" s="245" t="s">
        <v>13194</v>
      </c>
      <c r="F101" s="245" t="s">
        <v>13185</v>
      </c>
      <c r="G101" s="245" t="s">
        <v>13476</v>
      </c>
      <c r="H101" s="304" t="s">
        <v>13477</v>
      </c>
      <c r="I101" s="608" t="str">
        <f>HYPERLINK("https://maps.google.com/?q=Santu%C3%A1rio%20da%20Peninha%20Sintra%20Portugal","👁 Santuário da Peninha")</f>
        <v>👁 Santuário da Peninha</v>
      </c>
    </row>
    <row r="102" spans="1:9" ht="85" customHeight="1" x14ac:dyDescent="0.35">
      <c r="A102" s="340">
        <v>16</v>
      </c>
      <c r="B102" s="248" t="s">
        <v>13478</v>
      </c>
      <c r="C102" s="249" t="s">
        <v>913</v>
      </c>
      <c r="D102" s="248" t="s">
        <v>2567</v>
      </c>
      <c r="E102" s="248" t="s">
        <v>13424</v>
      </c>
      <c r="F102" s="248" t="s">
        <v>13199</v>
      </c>
      <c r="G102" s="248" t="s">
        <v>13479</v>
      </c>
      <c r="H102" s="305" t="s">
        <v>13480</v>
      </c>
      <c r="I102" s="609" t="str">
        <f>HYPERLINK("https://maps.google.com/?q=Castelo%20dos%20Mouros%20Sintra%20Portugal","👁 Castelo dos Mouros")</f>
        <v>👁 Castelo dos Mouros</v>
      </c>
    </row>
    <row r="103" spans="1:9" ht="85" customHeight="1" x14ac:dyDescent="0.35">
      <c r="A103" s="360">
        <v>17</v>
      </c>
      <c r="B103" s="245" t="s">
        <v>13481</v>
      </c>
      <c r="C103" s="246" t="s">
        <v>913</v>
      </c>
      <c r="D103" s="245" t="s">
        <v>2567</v>
      </c>
      <c r="E103" s="245" t="s">
        <v>13482</v>
      </c>
      <c r="F103" s="245" t="s">
        <v>13199</v>
      </c>
      <c r="G103" s="245" t="s">
        <v>13483</v>
      </c>
      <c r="H103" s="304" t="s">
        <v>13484</v>
      </c>
      <c r="I103" s="608" t="str">
        <f>HYPERLINK("https://maps.google.com/?q=Cruz%20Alta%20(Parque%20da%20Pena)%20Sintra%20Portugal","👁 Cruz Alta (Parque da Pena)")</f>
        <v>👁 Cruz Alta (Parque da Pena)</v>
      </c>
    </row>
    <row r="104" spans="1:9" ht="85" customHeight="1" x14ac:dyDescent="0.35">
      <c r="A104" s="340">
        <v>18</v>
      </c>
      <c r="B104" s="248" t="s">
        <v>6830</v>
      </c>
      <c r="C104" s="249" t="s">
        <v>913</v>
      </c>
      <c r="D104" s="248" t="s">
        <v>2567</v>
      </c>
      <c r="E104" s="248" t="s">
        <v>13198</v>
      </c>
      <c r="F104" s="248" t="s">
        <v>13185</v>
      </c>
      <c r="G104" s="248" t="s">
        <v>13485</v>
      </c>
      <c r="H104" s="305" t="s">
        <v>13486</v>
      </c>
      <c r="I104" s="609" t="str">
        <f>HYPERLINK("https://maps.google.com/?q=Cabo%20da%20Roca%20Sintra%20Portugal","👁 Cabo da Roca")</f>
        <v>👁 Cabo da Roca</v>
      </c>
    </row>
    <row r="105" spans="1:9" ht="85" customHeight="1" x14ac:dyDescent="0.35">
      <c r="A105" s="360">
        <v>19</v>
      </c>
      <c r="B105" s="245" t="s">
        <v>13487</v>
      </c>
      <c r="C105" s="246" t="s">
        <v>913</v>
      </c>
      <c r="D105" s="245" t="s">
        <v>2567</v>
      </c>
      <c r="E105" s="245" t="s">
        <v>13184</v>
      </c>
      <c r="F105" s="245" t="s">
        <v>13185</v>
      </c>
      <c r="G105" s="245" t="s">
        <v>13488</v>
      </c>
      <c r="H105" s="304" t="s">
        <v>13489</v>
      </c>
      <c r="I105" s="608" t="str">
        <f>HYPERLINK("https://maps.google.com/?q=Miradouro%20das%20Azenhas%20do%20Mar%20Sintra%20Portugal","👁 Miradouro das Azenhas do Mar")</f>
        <v>👁 Miradouro das Azenhas do Mar</v>
      </c>
    </row>
    <row r="106" spans="1:9" ht="85" customHeight="1" x14ac:dyDescent="0.35">
      <c r="A106" s="340">
        <v>20</v>
      </c>
      <c r="B106" s="248" t="s">
        <v>13490</v>
      </c>
      <c r="C106" s="249" t="s">
        <v>913</v>
      </c>
      <c r="D106" s="248" t="s">
        <v>1077</v>
      </c>
      <c r="E106" s="248" t="s">
        <v>13203</v>
      </c>
      <c r="F106" s="248" t="s">
        <v>13185</v>
      </c>
      <c r="G106" s="248" t="s">
        <v>13491</v>
      </c>
      <c r="H106" s="305" t="s">
        <v>13492</v>
      </c>
      <c r="I106" s="609" t="str">
        <f>HYPERLINK("https://maps.google.com/?q=Cabo%20Raso%20Cascais%20Portugal","👁 Cabo Raso")</f>
        <v>👁 Cabo Raso</v>
      </c>
    </row>
    <row r="107" spans="1:9" ht="85" customHeight="1" x14ac:dyDescent="0.35">
      <c r="A107" s="360">
        <v>21</v>
      </c>
      <c r="B107" s="245" t="s">
        <v>13493</v>
      </c>
      <c r="C107" s="246" t="s">
        <v>913</v>
      </c>
      <c r="D107" s="245" t="s">
        <v>1259</v>
      </c>
      <c r="E107" s="245" t="s">
        <v>13198</v>
      </c>
      <c r="F107" s="245" t="s">
        <v>13185</v>
      </c>
      <c r="G107" s="245" t="s">
        <v>13494</v>
      </c>
      <c r="H107" s="304" t="s">
        <v>13495</v>
      </c>
      <c r="I107" s="608" t="str">
        <f>HYPERLINK("https://maps.google.com/?q=Cristo%20Rei%20Almada%20Portugal","👁 Cristo Rei")</f>
        <v>👁 Cristo Rei</v>
      </c>
    </row>
    <row r="108" spans="1:9" ht="85" customHeight="1" x14ac:dyDescent="0.35">
      <c r="A108" s="340">
        <v>22</v>
      </c>
      <c r="B108" s="248" t="s">
        <v>13496</v>
      </c>
      <c r="C108" s="249" t="s">
        <v>913</v>
      </c>
      <c r="D108" s="248" t="s">
        <v>1259</v>
      </c>
      <c r="E108" s="248" t="s">
        <v>13232</v>
      </c>
      <c r="F108" s="248" t="s">
        <v>13199</v>
      </c>
      <c r="G108" s="248" t="s">
        <v>13497</v>
      </c>
      <c r="H108" s="305" t="s">
        <v>13498</v>
      </c>
      <c r="I108" s="609" t="str">
        <f>HYPERLINK("https://maps.google.com/?q=Cais%20do%20Ginjal%20Almada%20Portugal","👁 Cais do Ginjal")</f>
        <v>👁 Cais do Ginjal</v>
      </c>
    </row>
    <row r="109" spans="1:9" ht="85" customHeight="1" x14ac:dyDescent="0.35">
      <c r="A109" s="360">
        <v>23</v>
      </c>
      <c r="B109" s="245" t="s">
        <v>13499</v>
      </c>
      <c r="C109" s="246" t="s">
        <v>913</v>
      </c>
      <c r="D109" s="245" t="s">
        <v>1347</v>
      </c>
      <c r="E109" s="245" t="s">
        <v>13184</v>
      </c>
      <c r="F109" s="245" t="s">
        <v>13185</v>
      </c>
      <c r="G109" s="245" t="s">
        <v>13500</v>
      </c>
      <c r="H109" s="304" t="s">
        <v>13501</v>
      </c>
      <c r="I109" s="608" t="str">
        <f>HYPERLINK("https://maps.google.com/?q=Miradouro%20do%20Norte%20(Arr%C3%A1bida)%20Set%C3%BAbal%20Portugal","👁 Miradouro do Norte (Arrábida")</f>
        <v>👁 Miradouro do Norte (Arrábida</v>
      </c>
    </row>
    <row r="110" spans="1:9" ht="85" customHeight="1" x14ac:dyDescent="0.35">
      <c r="A110" s="340">
        <v>24</v>
      </c>
      <c r="B110" s="248" t="s">
        <v>13502</v>
      </c>
      <c r="C110" s="249" t="s">
        <v>913</v>
      </c>
      <c r="D110" s="248" t="s">
        <v>1347</v>
      </c>
      <c r="E110" s="248" t="s">
        <v>13503</v>
      </c>
      <c r="F110" s="248" t="s">
        <v>13185</v>
      </c>
      <c r="G110" s="248" t="s">
        <v>13504</v>
      </c>
      <c r="H110" s="305" t="s">
        <v>13505</v>
      </c>
      <c r="I110" s="609" t="str">
        <f>HYPERLINK("https://maps.google.com/?q=Alto%20do%20Formosinho%20Set%C3%BAbal%20Portugal","👁 Alto do Formosinho")</f>
        <v>👁 Alto do Formosinho</v>
      </c>
    </row>
    <row r="111" spans="1:9" ht="85" customHeight="1" x14ac:dyDescent="0.35">
      <c r="A111" s="360">
        <v>25</v>
      </c>
      <c r="B111" s="245" t="s">
        <v>2635</v>
      </c>
      <c r="C111" s="246" t="s">
        <v>913</v>
      </c>
      <c r="D111" s="245" t="s">
        <v>1347</v>
      </c>
      <c r="E111" s="245" t="s">
        <v>13184</v>
      </c>
      <c r="F111" s="245" t="s">
        <v>13185</v>
      </c>
      <c r="G111" s="245" t="s">
        <v>13506</v>
      </c>
      <c r="H111" s="304" t="s">
        <v>13501</v>
      </c>
      <c r="I111" s="608" t="str">
        <f>HYPERLINK("https://maps.google.com/?q=Portinho%20da%20Arr%C3%A1bida%20Set%C3%BAbal%20Portugal","👁 Portinho da Arrábida")</f>
        <v>👁 Portinho da Arrábida</v>
      </c>
    </row>
    <row r="112" spans="1:9" ht="85" customHeight="1" x14ac:dyDescent="0.35">
      <c r="A112" s="340">
        <v>26</v>
      </c>
      <c r="B112" s="248" t="s">
        <v>5945</v>
      </c>
      <c r="C112" s="249" t="s">
        <v>913</v>
      </c>
      <c r="D112" s="248" t="s">
        <v>5947</v>
      </c>
      <c r="E112" s="248" t="s">
        <v>13194</v>
      </c>
      <c r="F112" s="248" t="s">
        <v>13185</v>
      </c>
      <c r="G112" s="248" t="s">
        <v>13507</v>
      </c>
      <c r="H112" s="305" t="s">
        <v>13508</v>
      </c>
      <c r="I112" s="609" t="str">
        <f>HYPERLINK("https://maps.google.com/?q=Cabo%20Espichel%20Sesimbra%20Portugal","👁 Cabo Espichel")</f>
        <v>👁 Cabo Espichel</v>
      </c>
    </row>
    <row r="113" spans="1:9" ht="85" customHeight="1" x14ac:dyDescent="0.35">
      <c r="A113" s="360">
        <v>27</v>
      </c>
      <c r="B113" s="245" t="s">
        <v>7376</v>
      </c>
      <c r="C113" s="246" t="s">
        <v>913</v>
      </c>
      <c r="D113" s="245" t="s">
        <v>5947</v>
      </c>
      <c r="E113" s="245" t="s">
        <v>13194</v>
      </c>
      <c r="F113" s="245" t="s">
        <v>13185</v>
      </c>
      <c r="G113" s="245" t="s">
        <v>13509</v>
      </c>
      <c r="H113" s="304" t="s">
        <v>13508</v>
      </c>
      <c r="I113" s="608" t="str">
        <f>HYPERLINK("https://maps.google.com/?q=Castelo%20de%20Sesimbra%20Sesimbra%20Portugal","👁 Castelo de Sesimbra")</f>
        <v>👁 Castelo de Sesimbra</v>
      </c>
    </row>
    <row r="114" spans="1:9" ht="85" customHeight="1" x14ac:dyDescent="0.35">
      <c r="A114" s="340">
        <v>28</v>
      </c>
      <c r="B114" s="248" t="s">
        <v>13510</v>
      </c>
      <c r="C114" s="249" t="s">
        <v>913</v>
      </c>
      <c r="D114" s="248" t="s">
        <v>2646</v>
      </c>
      <c r="E114" s="248" t="s">
        <v>13194</v>
      </c>
      <c r="F114" s="248" t="s">
        <v>13185</v>
      </c>
      <c r="G114" s="248" t="s">
        <v>13511</v>
      </c>
      <c r="H114" s="305" t="s">
        <v>13512</v>
      </c>
      <c r="I114" s="609" t="str">
        <f>HYPERLINK("https://maps.google.com/?q=Miradouro%20de%20Palmela%20Palmela%20Portugal","👁 Miradouro de Palmela")</f>
        <v>👁 Miradouro de Palmela</v>
      </c>
    </row>
    <row r="115" spans="1:9" ht="85" customHeight="1" x14ac:dyDescent="0.35">
      <c r="A115" s="360">
        <v>29</v>
      </c>
      <c r="B115" s="245" t="s">
        <v>13513</v>
      </c>
      <c r="C115" s="246" t="s">
        <v>913</v>
      </c>
      <c r="D115" s="245" t="s">
        <v>5501</v>
      </c>
      <c r="E115" s="245" t="s">
        <v>13184</v>
      </c>
      <c r="F115" s="245" t="s">
        <v>13199</v>
      </c>
      <c r="G115" s="245" t="s">
        <v>13514</v>
      </c>
      <c r="H115" s="304" t="s">
        <v>13515</v>
      </c>
      <c r="I115" s="608" t="str">
        <f>HYPERLINK("https://maps.google.com/?q=Portas%20do%20Sol%20(Santar%C3%A9m)%20Santar%C3%A9m%20Portugal","👁 Portas do Sol (Santarém)")</f>
        <v>👁 Portas do Sol (Santarém)</v>
      </c>
    </row>
    <row r="116" spans="1:9" ht="85" customHeight="1" x14ac:dyDescent="0.35">
      <c r="A116" s="340">
        <v>30</v>
      </c>
      <c r="B116" s="248" t="s">
        <v>13516</v>
      </c>
      <c r="C116" s="249" t="s">
        <v>913</v>
      </c>
      <c r="D116" s="248" t="s">
        <v>13517</v>
      </c>
      <c r="E116" s="248" t="s">
        <v>13194</v>
      </c>
      <c r="F116" s="248" t="s">
        <v>13185</v>
      </c>
      <c r="G116" s="248" t="s">
        <v>13518</v>
      </c>
      <c r="H116" s="305" t="s">
        <v>13519</v>
      </c>
      <c r="I116" s="609" t="str">
        <f>HYPERLINK("https://maps.google.com/?q=Miradouro%20de%20Alpiar%C3%A7a%20Alpiar%C3%A7a%20Portugal","👁 Miradouro de Alpiarça")</f>
        <v>👁 Miradouro de Alpiarça</v>
      </c>
    </row>
    <row r="117" spans="1:9" ht="85" customHeight="1" x14ac:dyDescent="0.35">
      <c r="A117" s="360">
        <v>31</v>
      </c>
      <c r="B117" s="245" t="s">
        <v>7316</v>
      </c>
      <c r="C117" s="246" t="s">
        <v>913</v>
      </c>
      <c r="D117" s="245" t="s">
        <v>2555</v>
      </c>
      <c r="E117" s="245" t="s">
        <v>13194</v>
      </c>
      <c r="F117" s="245" t="s">
        <v>13185</v>
      </c>
      <c r="G117" s="245" t="s">
        <v>13520</v>
      </c>
      <c r="H117" s="304" t="s">
        <v>13521</v>
      </c>
      <c r="I117" s="608" t="str">
        <f>HYPERLINK("https://maps.google.com/?q=Castelo%20de%20Abrantes%20Abrantes%20Portugal","👁 Castelo de Abrantes")</f>
        <v>👁 Castelo de Abrantes</v>
      </c>
    </row>
    <row r="118" spans="1:9" ht="85" customHeight="1" x14ac:dyDescent="0.35">
      <c r="A118" s="340">
        <v>32</v>
      </c>
      <c r="B118" s="248" t="s">
        <v>13522</v>
      </c>
      <c r="C118" s="249" t="s">
        <v>913</v>
      </c>
      <c r="D118" s="248" t="s">
        <v>8597</v>
      </c>
      <c r="E118" s="248" t="s">
        <v>13194</v>
      </c>
      <c r="F118" s="248" t="s">
        <v>13185</v>
      </c>
      <c r="G118" s="248" t="s">
        <v>13523</v>
      </c>
      <c r="H118" s="305" t="s">
        <v>13524</v>
      </c>
      <c r="I118" s="609" t="str">
        <f>HYPERLINK("https://maps.google.com/?q=Miradouro%20do%20Salto%20do%20Cavalo%20Chamusca%20Portugal","👁 Miradouro do Salto do Cavalo")</f>
        <v>👁 Miradouro do Salto do Cavalo</v>
      </c>
    </row>
    <row r="119" spans="1:9" ht="85" customHeight="1" x14ac:dyDescent="0.35">
      <c r="A119" s="360">
        <v>33</v>
      </c>
      <c r="B119" s="245" t="s">
        <v>6092</v>
      </c>
      <c r="C119" s="246" t="s">
        <v>913</v>
      </c>
      <c r="D119" s="245" t="s">
        <v>13525</v>
      </c>
      <c r="E119" s="245" t="s">
        <v>13194</v>
      </c>
      <c r="F119" s="245" t="s">
        <v>13185</v>
      </c>
      <c r="G119" s="245" t="s">
        <v>13526</v>
      </c>
      <c r="H119" s="304" t="s">
        <v>13527</v>
      </c>
      <c r="I119" s="608" t="str">
        <f>HYPERLINK("https://maps.google.com/?q=Serra%20de%20Montejunto%20Alenquer%20Portugal","👁 Serra de Montejunto")</f>
        <v>👁 Serra de Montejunto</v>
      </c>
    </row>
    <row r="120" spans="1:9" ht="85" customHeight="1" x14ac:dyDescent="0.35">
      <c r="A120" s="340">
        <v>34</v>
      </c>
      <c r="B120" s="248" t="s">
        <v>13528</v>
      </c>
      <c r="C120" s="249" t="s">
        <v>913</v>
      </c>
      <c r="D120" s="248" t="s">
        <v>9892</v>
      </c>
      <c r="E120" s="248" t="s">
        <v>13198</v>
      </c>
      <c r="F120" s="248" t="s">
        <v>13185</v>
      </c>
      <c r="G120" s="248" t="s">
        <v>13400</v>
      </c>
      <c r="H120" s="305" t="s">
        <v>13529</v>
      </c>
      <c r="I120" s="609" t="str">
        <f>HYPERLINK("https://maps.google.com/?q=Ericeira%20%E2%80%94%20Ribeira%20dIlhas%20Ericeira%20Portugal","👁 Ericeira — Ribeira d'Ilhas")</f>
        <v>👁 Ericeira — Ribeira d'Ilhas</v>
      </c>
    </row>
    <row r="121" spans="1:9" ht="85" customHeight="1" x14ac:dyDescent="0.35">
      <c r="A121" s="360">
        <v>35</v>
      </c>
      <c r="B121" s="245" t="s">
        <v>13530</v>
      </c>
      <c r="C121" s="246" t="s">
        <v>913</v>
      </c>
      <c r="D121" s="245" t="s">
        <v>6555</v>
      </c>
      <c r="E121" s="245" t="s">
        <v>13194</v>
      </c>
      <c r="F121" s="245" t="s">
        <v>13185</v>
      </c>
      <c r="G121" s="245" t="s">
        <v>13531</v>
      </c>
      <c r="H121" s="304" t="s">
        <v>13532</v>
      </c>
      <c r="I121" s="608" t="str">
        <f>HYPERLINK("https://maps.google.com/?q=Forte%20de%20S.%20Vicente%20Torres%20Vedras%20Portugal","👁 Forte de S. Vicente")</f>
        <v>👁 Forte de S. Vicente</v>
      </c>
    </row>
    <row r="122" spans="1:9" ht="85" customHeight="1" x14ac:dyDescent="0.35">
      <c r="A122" s="340">
        <v>36</v>
      </c>
      <c r="B122" s="248" t="s">
        <v>13533</v>
      </c>
      <c r="C122" s="249" t="s">
        <v>913</v>
      </c>
      <c r="D122" s="248" t="s">
        <v>8648</v>
      </c>
      <c r="E122" s="248" t="s">
        <v>13232</v>
      </c>
      <c r="F122" s="248" t="s">
        <v>13185</v>
      </c>
      <c r="G122" s="248" t="s">
        <v>13534</v>
      </c>
      <c r="H122" s="305" t="s">
        <v>13535</v>
      </c>
      <c r="I122" s="609" t="str">
        <f>HYPERLINK("https://maps.google.com/?q=Ponta%20dos%20Corvos%20Seixal%20Portugal","👁 Ponta dos Corvos")</f>
        <v>👁 Ponta dos Corvos</v>
      </c>
    </row>
    <row r="123" spans="1:9" ht="85" customHeight="1" x14ac:dyDescent="0.35">
      <c r="A123" s="360">
        <v>37</v>
      </c>
      <c r="B123" s="245" t="s">
        <v>1387</v>
      </c>
      <c r="C123" s="246" t="s">
        <v>913</v>
      </c>
      <c r="D123" s="245" t="s">
        <v>913</v>
      </c>
      <c r="E123" s="245" t="s">
        <v>13194</v>
      </c>
      <c r="F123" s="245" t="s">
        <v>13185</v>
      </c>
      <c r="G123" s="245" t="s">
        <v>13536</v>
      </c>
      <c r="H123" s="304" t="s">
        <v>13464</v>
      </c>
      <c r="I123" s="608" t="str">
        <f>HYPERLINK("https://maps.google.com/?q=Torre%20de%20Bel%C3%A9m%20Lisboa%20Portugal","👁 Torre de Belém")</f>
        <v>👁 Torre de Belém</v>
      </c>
    </row>
    <row r="124" spans="1:9" ht="85" customHeight="1" x14ac:dyDescent="0.35">
      <c r="A124" s="340">
        <v>38</v>
      </c>
      <c r="B124" s="248" t="s">
        <v>13537</v>
      </c>
      <c r="C124" s="249" t="s">
        <v>913</v>
      </c>
      <c r="D124" s="248" t="s">
        <v>7984</v>
      </c>
      <c r="E124" s="248" t="s">
        <v>13184</v>
      </c>
      <c r="F124" s="248" t="s">
        <v>13185</v>
      </c>
      <c r="G124" s="248" t="s">
        <v>13538</v>
      </c>
      <c r="H124" s="305" t="s">
        <v>13539</v>
      </c>
      <c r="I124" s="609" t="str">
        <f>HYPERLINK("https://maps.google.com/?q=Ponte%20Marechal%20Carmona%20Vila%20Franca%20de%20Xira%20Portugal","👁 Ponte Marechal Carmona")</f>
        <v>👁 Ponte Marechal Carmona</v>
      </c>
    </row>
    <row r="125" spans="1:9" ht="85" customHeight="1" x14ac:dyDescent="0.35">
      <c r="A125" s="360">
        <v>39</v>
      </c>
      <c r="B125" s="245" t="s">
        <v>13540</v>
      </c>
      <c r="C125" s="246" t="s">
        <v>913</v>
      </c>
      <c r="D125" s="245" t="s">
        <v>6161</v>
      </c>
      <c r="E125" s="245" t="s">
        <v>13194</v>
      </c>
      <c r="F125" s="245" t="s">
        <v>13190</v>
      </c>
      <c r="G125" s="245" t="s">
        <v>13541</v>
      </c>
      <c r="H125" s="304" t="s">
        <v>13542</v>
      </c>
      <c r="I125" s="608" t="str">
        <f>HYPERLINK("https://maps.google.com/?q=Gr%C3%A2ndola%20%E2%80%94%20Serra%20Gr%C3%A2ndola%20Portugal","👁 Grândola — Serra")</f>
        <v>👁 Grândola — Serra</v>
      </c>
    </row>
    <row r="126" spans="1:9" ht="85" customHeight="1" x14ac:dyDescent="0.35">
      <c r="A126" s="340">
        <v>40</v>
      </c>
      <c r="B126" s="248" t="s">
        <v>13543</v>
      </c>
      <c r="C126" s="249" t="s">
        <v>913</v>
      </c>
      <c r="D126" s="248" t="s">
        <v>6161</v>
      </c>
      <c r="E126" s="248" t="s">
        <v>13232</v>
      </c>
      <c r="F126" s="248" t="s">
        <v>13185</v>
      </c>
      <c r="G126" s="248" t="s">
        <v>13544</v>
      </c>
      <c r="H126" s="305" t="s">
        <v>13545</v>
      </c>
      <c r="I126" s="609" t="str">
        <f>HYPERLINK("https://maps.google.com/?q=Troia%20%E2%80%94%20Ponta%20do%20Adoxe%20Gr%C3%A2ndola%20Portugal","👁 Troia — Ponta do Adoxe")</f>
        <v>👁 Troia — Ponta do Adoxe</v>
      </c>
    </row>
    <row r="127" spans="1:9" ht="22" customHeight="1" x14ac:dyDescent="0.35">
      <c r="A127" s="1478" t="s">
        <v>13546</v>
      </c>
      <c r="B127" s="1313"/>
      <c r="C127" s="1313"/>
      <c r="D127" s="1313"/>
      <c r="E127" s="1313"/>
      <c r="F127" s="1313"/>
      <c r="G127" s="1313"/>
      <c r="H127" s="1313"/>
    </row>
    <row r="128" spans="1:9" ht="85" customHeight="1" x14ac:dyDescent="0.35">
      <c r="A128" s="346">
        <v>1</v>
      </c>
      <c r="B128" s="267" t="s">
        <v>13547</v>
      </c>
      <c r="C128" s="268" t="s">
        <v>853</v>
      </c>
      <c r="D128" s="267" t="s">
        <v>2528</v>
      </c>
      <c r="E128" s="267" t="s">
        <v>13194</v>
      </c>
      <c r="F128" s="267" t="s">
        <v>13185</v>
      </c>
      <c r="G128" s="267" t="s">
        <v>13548</v>
      </c>
      <c r="H128" s="304" t="s">
        <v>13549</v>
      </c>
      <c r="I128" s="610" t="str">
        <f>HYPERLINK("https://maps.google.com/?q=Marv%C3%A3o%20(Castelo)%20Marv%C3%A3o%20Portugal","👁 Marvão (Castelo)")</f>
        <v>👁 Marvão (Castelo)</v>
      </c>
    </row>
    <row r="129" spans="1:9" ht="85" customHeight="1" x14ac:dyDescent="0.35">
      <c r="A129" s="362">
        <v>2</v>
      </c>
      <c r="B129" s="270" t="s">
        <v>13550</v>
      </c>
      <c r="C129" s="271" t="s">
        <v>853</v>
      </c>
      <c r="D129" s="270" t="s">
        <v>7964</v>
      </c>
      <c r="E129" s="270" t="s">
        <v>13184</v>
      </c>
      <c r="F129" s="270" t="s">
        <v>13185</v>
      </c>
      <c r="G129" s="270" t="s">
        <v>13338</v>
      </c>
      <c r="H129" s="305" t="s">
        <v>13551</v>
      </c>
      <c r="I129" s="611" t="str">
        <f>HYPERLINK("https://maps.google.com/?q=Castelo%20de%20Vide%20%E2%80%94%20Senhora%20da%20Penha%20Castelo%20de%20Vide%20Portugal","👁 Castelo de Vide — Senhora da")</f>
        <v>👁 Castelo de Vide — Senhora da</v>
      </c>
    </row>
    <row r="130" spans="1:9" ht="85" customHeight="1" x14ac:dyDescent="0.35">
      <c r="A130" s="346">
        <v>3</v>
      </c>
      <c r="B130" s="267" t="s">
        <v>13552</v>
      </c>
      <c r="C130" s="268" t="s">
        <v>853</v>
      </c>
      <c r="D130" s="267" t="s">
        <v>2538</v>
      </c>
      <c r="E130" s="267" t="s">
        <v>13198</v>
      </c>
      <c r="F130" s="267" t="s">
        <v>13185</v>
      </c>
      <c r="G130" s="267" t="s">
        <v>13553</v>
      </c>
      <c r="H130" s="304" t="s">
        <v>13554</v>
      </c>
      <c r="I130" s="610" t="str">
        <f>HYPERLINK("https://maps.google.com/?q=Pico%20de%20S%C3%A3o%20Mamede%20Portalegre%20Portugal","👁 Pico de São Mamede")</f>
        <v>👁 Pico de São Mamede</v>
      </c>
    </row>
    <row r="131" spans="1:9" ht="85" customHeight="1" x14ac:dyDescent="0.35">
      <c r="A131" s="362">
        <v>4</v>
      </c>
      <c r="B131" s="270" t="s">
        <v>7465</v>
      </c>
      <c r="C131" s="271" t="s">
        <v>853</v>
      </c>
      <c r="D131" s="270" t="s">
        <v>5660</v>
      </c>
      <c r="E131" s="270" t="s">
        <v>13194</v>
      </c>
      <c r="F131" s="270" t="s">
        <v>13190</v>
      </c>
      <c r="G131" s="270" t="s">
        <v>13555</v>
      </c>
      <c r="H131" s="305" t="s">
        <v>13556</v>
      </c>
      <c r="I131" s="611" t="str">
        <f>HYPERLINK("https://maps.google.com/?q=Castelo%20de%20Alter%20do%20Ch%C3%A3o%20Alter%20do%20Ch%C3%A3o%20Portugal","👁 Castelo de Alter do Chão")</f>
        <v>👁 Castelo de Alter do Chão</v>
      </c>
    </row>
    <row r="132" spans="1:9" ht="85" customHeight="1" x14ac:dyDescent="0.35">
      <c r="A132" s="346">
        <v>5</v>
      </c>
      <c r="B132" s="267" t="s">
        <v>13557</v>
      </c>
      <c r="C132" s="268" t="s">
        <v>853</v>
      </c>
      <c r="D132" s="267" t="s">
        <v>7468</v>
      </c>
      <c r="E132" s="267" t="s">
        <v>13198</v>
      </c>
      <c r="F132" s="267" t="s">
        <v>13185</v>
      </c>
      <c r="G132" s="267" t="s">
        <v>13558</v>
      </c>
      <c r="H132" s="304" t="s">
        <v>13559</v>
      </c>
      <c r="I132" s="610" t="str">
        <f>HYPERLINK("https://maps.google.com/?q=Crato%20%E2%80%94%20Varanda%20do%20Castelo%20Crato%20Portugal","👁 Crato — Varanda do Castelo")</f>
        <v>👁 Crato — Varanda do Castelo</v>
      </c>
    </row>
    <row r="133" spans="1:9" ht="85" customHeight="1" x14ac:dyDescent="0.35">
      <c r="A133" s="362">
        <v>6</v>
      </c>
      <c r="B133" s="270" t="s">
        <v>13560</v>
      </c>
      <c r="C133" s="271" t="s">
        <v>853</v>
      </c>
      <c r="D133" s="270" t="s">
        <v>13561</v>
      </c>
      <c r="E133" s="270" t="s">
        <v>13194</v>
      </c>
      <c r="F133" s="270" t="s">
        <v>13185</v>
      </c>
      <c r="G133" s="270" t="s">
        <v>13562</v>
      </c>
      <c r="H133" s="305" t="s">
        <v>13563</v>
      </c>
      <c r="I133" s="611" t="str">
        <f>HYPERLINK("https://maps.google.com/?q=Belver%20%E2%80%94%20Castelo%20Belver%20Portugal","👁 Belver — Castelo")</f>
        <v>👁 Belver — Castelo</v>
      </c>
    </row>
    <row r="134" spans="1:9" ht="85" customHeight="1" x14ac:dyDescent="0.35">
      <c r="A134" s="346">
        <v>7</v>
      </c>
      <c r="B134" s="267" t="s">
        <v>13564</v>
      </c>
      <c r="C134" s="268" t="s">
        <v>853</v>
      </c>
      <c r="D134" s="267" t="s">
        <v>2139</v>
      </c>
      <c r="E134" s="267" t="s">
        <v>13198</v>
      </c>
      <c r="F134" s="267" t="s">
        <v>13185</v>
      </c>
      <c r="G134" s="267" t="s">
        <v>13565</v>
      </c>
      <c r="H134" s="304" t="s">
        <v>13566</v>
      </c>
      <c r="I134" s="610" t="str">
        <f>HYPERLINK("https://maps.google.com/?q=Campo%20Maior%20%E2%80%94%20Ouguela%20Campo%20Maior%20Portugal","👁 Campo Maior — Ouguela")</f>
        <v>👁 Campo Maior — Ouguela</v>
      </c>
    </row>
    <row r="135" spans="1:9" ht="85" customHeight="1" x14ac:dyDescent="0.35">
      <c r="A135" s="362">
        <v>8</v>
      </c>
      <c r="B135" s="270" t="s">
        <v>13567</v>
      </c>
      <c r="C135" s="271" t="s">
        <v>853</v>
      </c>
      <c r="D135" s="270" t="s">
        <v>7792</v>
      </c>
      <c r="E135" s="270" t="s">
        <v>13232</v>
      </c>
      <c r="F135" s="270" t="s">
        <v>13185</v>
      </c>
      <c r="G135" s="270" t="s">
        <v>13568</v>
      </c>
      <c r="H135" s="305" t="s">
        <v>13569</v>
      </c>
      <c r="I135" s="611" t="str">
        <f>HYPERLINK("https://maps.google.com/?q=Elvas%20%E2%80%94%20Forte%20da%20Gra%C3%A7a%20Elvas%20Portugal","👁 Elvas — Forte da Graça")</f>
        <v>👁 Elvas — Forte da Graça</v>
      </c>
    </row>
    <row r="136" spans="1:9" ht="85" customHeight="1" x14ac:dyDescent="0.35">
      <c r="A136" s="346">
        <v>9</v>
      </c>
      <c r="B136" s="267" t="s">
        <v>13570</v>
      </c>
      <c r="C136" s="268" t="s">
        <v>853</v>
      </c>
      <c r="D136" s="267" t="s">
        <v>1412</v>
      </c>
      <c r="E136" s="267" t="s">
        <v>13194</v>
      </c>
      <c r="F136" s="267" t="s">
        <v>13185</v>
      </c>
      <c r="G136" s="267" t="s">
        <v>13571</v>
      </c>
      <c r="H136" s="304" t="s">
        <v>13572</v>
      </c>
      <c r="I136" s="610" t="str">
        <f>HYPERLINK("https://maps.google.com/?q=%C3%89vora%20%E2%80%94%20S%C3%A9%20de%20%C3%89vora%20(Terra%C3%A7o)%20%C3%89vora%20Portugal","👁 Évora — Sé de Évora (Terraço")</f>
        <v>👁 Évora — Sé de Évora (Terraço</v>
      </c>
    </row>
    <row r="137" spans="1:9" ht="85" customHeight="1" x14ac:dyDescent="0.35">
      <c r="A137" s="362">
        <v>10</v>
      </c>
      <c r="B137" s="270" t="s">
        <v>13573</v>
      </c>
      <c r="C137" s="271" t="s">
        <v>853</v>
      </c>
      <c r="D137" s="270" t="s">
        <v>1412</v>
      </c>
      <c r="E137" s="270" t="s">
        <v>13198</v>
      </c>
      <c r="F137" s="270" t="s">
        <v>13190</v>
      </c>
      <c r="G137" s="270" t="s">
        <v>13574</v>
      </c>
      <c r="H137" s="305" t="s">
        <v>13575</v>
      </c>
      <c r="I137" s="611" t="str">
        <f>HYPERLINK("https://maps.google.com/?q=Alto%20de%20S%C3%A3o%20Bento%20%C3%89vora%20Portugal","👁 Alto de São Bento")</f>
        <v>👁 Alto de São Bento</v>
      </c>
    </row>
    <row r="138" spans="1:9" ht="85" customHeight="1" x14ac:dyDescent="0.35">
      <c r="A138" s="346">
        <v>11</v>
      </c>
      <c r="B138" s="267" t="s">
        <v>13576</v>
      </c>
      <c r="C138" s="268" t="s">
        <v>853</v>
      </c>
      <c r="D138" s="267" t="s">
        <v>9972</v>
      </c>
      <c r="E138" s="267" t="s">
        <v>13194</v>
      </c>
      <c r="F138" s="267" t="s">
        <v>13185</v>
      </c>
      <c r="G138" s="267" t="s">
        <v>13577</v>
      </c>
      <c r="H138" s="304" t="s">
        <v>13578</v>
      </c>
      <c r="I138" s="610" t="str">
        <f>HYPERLINK("https://maps.google.com/?q=Monsaraz%20(Muralhas)%20Monsaraz%20Portugal","👁 Monsaraz (Muralhas)")</f>
        <v>👁 Monsaraz (Muralhas)</v>
      </c>
    </row>
    <row r="139" spans="1:9" ht="85" customHeight="1" x14ac:dyDescent="0.35">
      <c r="A139" s="362">
        <v>12</v>
      </c>
      <c r="B139" s="270" t="s">
        <v>13579</v>
      </c>
      <c r="C139" s="271" t="s">
        <v>853</v>
      </c>
      <c r="D139" s="270" t="s">
        <v>6102</v>
      </c>
      <c r="E139" s="270" t="s">
        <v>13198</v>
      </c>
      <c r="F139" s="270" t="s">
        <v>13185</v>
      </c>
      <c r="G139" s="270" t="s">
        <v>13580</v>
      </c>
      <c r="H139" s="305" t="s">
        <v>13581</v>
      </c>
      <c r="I139" s="611" t="str">
        <f>HYPERLINK("https://maps.google.com/?q=Mour%C3%A3o%20(Castelo)%20Mour%C3%A3o%20Portugal","👁 Mourão (Castelo)")</f>
        <v>👁 Mourão (Castelo)</v>
      </c>
    </row>
    <row r="140" spans="1:9" ht="85" customHeight="1" x14ac:dyDescent="0.35">
      <c r="A140" s="346">
        <v>13</v>
      </c>
      <c r="B140" s="267" t="s">
        <v>13582</v>
      </c>
      <c r="C140" s="268" t="s">
        <v>853</v>
      </c>
      <c r="D140" s="267" t="s">
        <v>12812</v>
      </c>
      <c r="E140" s="267" t="s">
        <v>13184</v>
      </c>
      <c r="F140" s="267" t="s">
        <v>13185</v>
      </c>
      <c r="G140" s="267" t="s">
        <v>13583</v>
      </c>
      <c r="H140" s="304" t="s">
        <v>13584</v>
      </c>
      <c r="I140" s="610" t="str">
        <f>HYPERLINK("https://maps.google.com/?q=Vila%20Vi%C3%A7osa%20%E2%80%94%20Pa%C3%A7o%20Ducal%20Vila%20Vi%C3%A7osa%20Portugal","👁 Vila Viçosa — Paço Ducal")</f>
        <v>👁 Vila Viçosa — Paço Ducal</v>
      </c>
    </row>
    <row r="141" spans="1:9" ht="85" customHeight="1" x14ac:dyDescent="0.35">
      <c r="A141" s="362">
        <v>14</v>
      </c>
      <c r="B141" s="270" t="s">
        <v>13585</v>
      </c>
      <c r="C141" s="271" t="s">
        <v>853</v>
      </c>
      <c r="D141" s="270" t="s">
        <v>13586</v>
      </c>
      <c r="E141" s="270" t="s">
        <v>13194</v>
      </c>
      <c r="F141" s="270" t="s">
        <v>13185</v>
      </c>
      <c r="G141" s="270" t="s">
        <v>13587</v>
      </c>
      <c r="H141" s="305" t="s">
        <v>13588</v>
      </c>
      <c r="I141" s="611" t="str">
        <f>HYPERLINK("https://maps.google.com/?q=Castelo%20de%20Evoramonte%20Evoramonte%20Portugal","👁 Castelo de Evoramonte")</f>
        <v>👁 Castelo de Evoramonte</v>
      </c>
    </row>
    <row r="142" spans="1:9" ht="85" customHeight="1" x14ac:dyDescent="0.35">
      <c r="A142" s="346">
        <v>15</v>
      </c>
      <c r="B142" s="267" t="s">
        <v>13589</v>
      </c>
      <c r="C142" s="268" t="s">
        <v>853</v>
      </c>
      <c r="D142" s="267" t="s">
        <v>7090</v>
      </c>
      <c r="E142" s="267" t="s">
        <v>13232</v>
      </c>
      <c r="F142" s="267" t="s">
        <v>13199</v>
      </c>
      <c r="G142" s="267" t="s">
        <v>13590</v>
      </c>
      <c r="H142" s="304" t="s">
        <v>13591</v>
      </c>
      <c r="I142" s="610" t="str">
        <f>HYPERLINK("https://maps.google.com/?q=Serra%20dOssa%20Redondo%20Portugal","👁 Serra d'Ossa")</f>
        <v>👁 Serra d'Ossa</v>
      </c>
    </row>
    <row r="143" spans="1:9" ht="85" customHeight="1" x14ac:dyDescent="0.35">
      <c r="A143" s="362">
        <v>16</v>
      </c>
      <c r="B143" s="270" t="s">
        <v>13592</v>
      </c>
      <c r="C143" s="271" t="s">
        <v>853</v>
      </c>
      <c r="D143" s="270" t="s">
        <v>7458</v>
      </c>
      <c r="E143" s="270" t="s">
        <v>13198</v>
      </c>
      <c r="F143" s="270" t="s">
        <v>13185</v>
      </c>
      <c r="G143" s="270" t="s">
        <v>13593</v>
      </c>
      <c r="H143" s="305" t="s">
        <v>13594</v>
      </c>
      <c r="I143" s="611" t="str">
        <f>HYPERLINK("https://maps.google.com/?q=Arraiolos%20(Castelo%20Circular)%20Arraiolos%20Portugal","👁 Arraiolos (Castelo Circular)")</f>
        <v>👁 Arraiolos (Castelo Circular)</v>
      </c>
    </row>
    <row r="144" spans="1:9" ht="85" customHeight="1" x14ac:dyDescent="0.35">
      <c r="A144" s="346">
        <v>17</v>
      </c>
      <c r="B144" s="267" t="s">
        <v>13595</v>
      </c>
      <c r="C144" s="268" t="s">
        <v>853</v>
      </c>
      <c r="D144" s="267" t="s">
        <v>7955</v>
      </c>
      <c r="E144" s="267" t="s">
        <v>13232</v>
      </c>
      <c r="F144" s="267" t="s">
        <v>13185</v>
      </c>
      <c r="G144" s="267" t="s">
        <v>13596</v>
      </c>
      <c r="H144" s="304" t="s">
        <v>13597</v>
      </c>
      <c r="I144" s="610" t="str">
        <f>HYPERLINK("https://maps.google.com/?q=Montemor-o-Novo%20(Castelo)%20Montemor-o-Novo%20Portugal","👁 Montemor-o-Novo (Castelo)")</f>
        <v>👁 Montemor-o-Novo (Castelo)</v>
      </c>
    </row>
    <row r="145" spans="1:9" ht="85" customHeight="1" x14ac:dyDescent="0.35">
      <c r="A145" s="362">
        <v>18</v>
      </c>
      <c r="B145" s="270" t="s">
        <v>13598</v>
      </c>
      <c r="C145" s="271" t="s">
        <v>853</v>
      </c>
      <c r="D145" s="270" t="s">
        <v>2130</v>
      </c>
      <c r="E145" s="270" t="s">
        <v>13198</v>
      </c>
      <c r="F145" s="270" t="s">
        <v>13185</v>
      </c>
      <c r="G145" s="270" t="s">
        <v>13599</v>
      </c>
      <c r="H145" s="305" t="s">
        <v>13600</v>
      </c>
      <c r="I145" s="611" t="str">
        <f>HYPERLINK("https://maps.google.com/?q=Viana%20do%20Alentejo%20(Castelo)%20Viana%20do%20Alentejo%20Portugal","👁 Viana do Alentejo (Castelo)")</f>
        <v>👁 Viana do Alentejo (Castelo)</v>
      </c>
    </row>
    <row r="146" spans="1:9" ht="85" customHeight="1" x14ac:dyDescent="0.35">
      <c r="A146" s="346">
        <v>19</v>
      </c>
      <c r="B146" s="267" t="s">
        <v>13601</v>
      </c>
      <c r="C146" s="268" t="s">
        <v>853</v>
      </c>
      <c r="D146" s="267" t="s">
        <v>6102</v>
      </c>
      <c r="E146" s="267" t="s">
        <v>13198</v>
      </c>
      <c r="F146" s="267" t="s">
        <v>13185</v>
      </c>
      <c r="G146" s="267" t="s">
        <v>13602</v>
      </c>
      <c r="H146" s="304" t="s">
        <v>13581</v>
      </c>
      <c r="I146" s="610" t="str">
        <f>HYPERLINK("https://maps.google.com/?q=Alqueva%20%E2%80%94%20Muro%20da%20Barragem%20Mour%C3%A3o%20Portugal","👁 Alqueva — Muro da Barragem")</f>
        <v>👁 Alqueva — Muro da Barragem</v>
      </c>
    </row>
    <row r="147" spans="1:9" ht="85" customHeight="1" x14ac:dyDescent="0.35">
      <c r="A147" s="362">
        <v>20</v>
      </c>
      <c r="B147" s="270" t="s">
        <v>13603</v>
      </c>
      <c r="C147" s="271" t="s">
        <v>853</v>
      </c>
      <c r="D147" s="270" t="s">
        <v>6081</v>
      </c>
      <c r="E147" s="270" t="s">
        <v>13194</v>
      </c>
      <c r="F147" s="270" t="s">
        <v>13185</v>
      </c>
      <c r="G147" s="270" t="s">
        <v>13604</v>
      </c>
      <c r="H147" s="305" t="s">
        <v>13605</v>
      </c>
      <c r="I147" s="611" t="str">
        <f>HYPERLINK("https://maps.google.com/?q=M%C3%A9rtola%20%E2%80%94%20Torre%20de%20Menagem%20M%C3%A9rtola%20Portugal","👁 Mértola — Torre de Menagem")</f>
        <v>👁 Mértola — Torre de Menagem</v>
      </c>
    </row>
    <row r="148" spans="1:9" ht="85" customHeight="1" x14ac:dyDescent="0.35">
      <c r="A148" s="346">
        <v>21</v>
      </c>
      <c r="B148" s="267" t="s">
        <v>10122</v>
      </c>
      <c r="C148" s="268" t="s">
        <v>853</v>
      </c>
      <c r="D148" s="267" t="s">
        <v>6081</v>
      </c>
      <c r="E148" s="267" t="s">
        <v>13250</v>
      </c>
      <c r="F148" s="267" t="s">
        <v>13185</v>
      </c>
      <c r="G148" s="267" t="s">
        <v>13606</v>
      </c>
      <c r="H148" s="304" t="s">
        <v>13607</v>
      </c>
      <c r="I148" s="610" t="str">
        <f>HYPERLINK("https://maps.google.com/?q=Pulo%20do%20Lobo%20M%C3%A9rtola%20Portugal","👁 Pulo do Lobo")</f>
        <v>👁 Pulo do Lobo</v>
      </c>
    </row>
    <row r="149" spans="1:9" ht="85" customHeight="1" x14ac:dyDescent="0.35">
      <c r="A149" s="362">
        <v>22</v>
      </c>
      <c r="B149" s="270" t="s">
        <v>13608</v>
      </c>
      <c r="C149" s="271" t="s">
        <v>853</v>
      </c>
      <c r="D149" s="270" t="s">
        <v>1233</v>
      </c>
      <c r="E149" s="270" t="s">
        <v>13194</v>
      </c>
      <c r="F149" s="270" t="s">
        <v>13199</v>
      </c>
      <c r="G149" s="270" t="s">
        <v>13609</v>
      </c>
      <c r="H149" s="305" t="s">
        <v>13610</v>
      </c>
      <c r="I149" s="611" t="str">
        <f>HYPERLINK("https://maps.google.com/?q=Beja%20%E2%80%94%20Torre%20de%20Menagem%20Beja%20Portugal","👁 Beja — Torre de Menagem")</f>
        <v>👁 Beja — Torre de Menagem</v>
      </c>
    </row>
    <row r="150" spans="1:9" ht="85" customHeight="1" x14ac:dyDescent="0.35">
      <c r="A150" s="346">
        <v>23</v>
      </c>
      <c r="B150" s="267" t="s">
        <v>13611</v>
      </c>
      <c r="C150" s="268" t="s">
        <v>853</v>
      </c>
      <c r="D150" s="267" t="s">
        <v>1227</v>
      </c>
      <c r="E150" s="267" t="s">
        <v>13198</v>
      </c>
      <c r="F150" s="267" t="s">
        <v>13185</v>
      </c>
      <c r="G150" s="267" t="s">
        <v>13612</v>
      </c>
      <c r="H150" s="304" t="s">
        <v>13613</v>
      </c>
      <c r="I150" s="610" t="str">
        <f>HYPERLINK("https://maps.google.com/?q=Castro%20Verde%20%E2%80%94%20Bas%C3%ADlica%20Real%20Castro%20Verde%20Portugal","👁 Castro Verde — Basílica Real")</f>
        <v>👁 Castro Verde — Basílica Real</v>
      </c>
    </row>
    <row r="151" spans="1:9" ht="85" customHeight="1" x14ac:dyDescent="0.35">
      <c r="A151" s="362">
        <v>24</v>
      </c>
      <c r="B151" s="270" t="s">
        <v>13614</v>
      </c>
      <c r="C151" s="271" t="s">
        <v>853</v>
      </c>
      <c r="D151" s="270" t="s">
        <v>2126</v>
      </c>
      <c r="E151" s="270" t="s">
        <v>13194</v>
      </c>
      <c r="F151" s="270" t="s">
        <v>13185</v>
      </c>
      <c r="G151" s="270" t="s">
        <v>13615</v>
      </c>
      <c r="H151" s="305" t="s">
        <v>13616</v>
      </c>
      <c r="I151" s="611" t="str">
        <f>HYPERLINK("https://maps.google.com/?q=Serpa%20(Muralhas)%20Serpa%20Portugal","👁 Serpa (Muralhas)")</f>
        <v>👁 Serpa (Muralhas)</v>
      </c>
    </row>
    <row r="152" spans="1:9" ht="85" customHeight="1" x14ac:dyDescent="0.35">
      <c r="A152" s="346">
        <v>25</v>
      </c>
      <c r="B152" s="267" t="s">
        <v>13617</v>
      </c>
      <c r="C152" s="268" t="s">
        <v>853</v>
      </c>
      <c r="D152" s="267" t="s">
        <v>7962</v>
      </c>
      <c r="E152" s="267" t="s">
        <v>13194</v>
      </c>
      <c r="F152" s="267" t="s">
        <v>13185</v>
      </c>
      <c r="G152" s="267" t="s">
        <v>13618</v>
      </c>
      <c r="H152" s="304" t="s">
        <v>13619</v>
      </c>
      <c r="I152" s="610" t="str">
        <f>HYPERLINK("https://maps.google.com/?q=Aljustrel%20%E2%80%94%20Ermida%20N.%20Sra.%20do%20Castelo%20Aljustrel%20Portugal","👁 Aljustrel — Ermida N. Sra. d")</f>
        <v>👁 Aljustrel — Ermida N. Sra. d</v>
      </c>
    </row>
    <row r="153" spans="1:9" ht="85" customHeight="1" x14ac:dyDescent="0.35">
      <c r="A153" s="362">
        <v>26</v>
      </c>
      <c r="B153" s="270" t="s">
        <v>13620</v>
      </c>
      <c r="C153" s="271" t="s">
        <v>853</v>
      </c>
      <c r="D153" s="270" t="s">
        <v>6247</v>
      </c>
      <c r="E153" s="270" t="s">
        <v>13232</v>
      </c>
      <c r="F153" s="270" t="s">
        <v>13185</v>
      </c>
      <c r="G153" s="270" t="s">
        <v>13621</v>
      </c>
      <c r="H153" s="305" t="s">
        <v>13622</v>
      </c>
      <c r="I153" s="611" t="str">
        <f>HYPERLINK("https://maps.google.com/?q=Barrancos%20%E2%80%94%20Castelo%20de%20Noudar%20Barrancos%20Portugal","👁 Barrancos — Castelo de Nouda")</f>
        <v>👁 Barrancos — Castelo de Nouda</v>
      </c>
    </row>
    <row r="154" spans="1:9" ht="85" customHeight="1" x14ac:dyDescent="0.35">
      <c r="A154" s="346">
        <v>27</v>
      </c>
      <c r="B154" s="267" t="s">
        <v>13623</v>
      </c>
      <c r="C154" s="268" t="s">
        <v>853</v>
      </c>
      <c r="D154" s="267" t="s">
        <v>2143</v>
      </c>
      <c r="E154" s="267" t="s">
        <v>13184</v>
      </c>
      <c r="F154" s="267" t="s">
        <v>13185</v>
      </c>
      <c r="G154" s="267" t="s">
        <v>6400</v>
      </c>
      <c r="H154" s="304" t="s">
        <v>13624</v>
      </c>
      <c r="I154" s="610" t="str">
        <f>HYPERLINK("https://maps.google.com/?q=Cabo%20Sard%C3%A3o%20Odemira%20Portugal","👁 Cabo Sardão")</f>
        <v>👁 Cabo Sardão</v>
      </c>
    </row>
    <row r="155" spans="1:9" ht="85" customHeight="1" x14ac:dyDescent="0.35">
      <c r="A155" s="362">
        <v>28</v>
      </c>
      <c r="B155" s="270" t="s">
        <v>13625</v>
      </c>
      <c r="C155" s="271" t="s">
        <v>853</v>
      </c>
      <c r="D155" s="270" t="s">
        <v>2143</v>
      </c>
      <c r="E155" s="270" t="s">
        <v>13184</v>
      </c>
      <c r="F155" s="270" t="s">
        <v>13185</v>
      </c>
      <c r="G155" s="270" t="s">
        <v>13626</v>
      </c>
      <c r="H155" s="305" t="s">
        <v>13624</v>
      </c>
      <c r="I155" s="611" t="str">
        <f>HYPERLINK("https://maps.google.com/?q=Vila%20Nova%20de%20Milfontes%20%E2%80%94%20Forte%20S.%20Clemente%20Odemira%20Portugal","👁 Vila Nova de Milfontes — For")</f>
        <v>👁 Vila Nova de Milfontes — For</v>
      </c>
    </row>
    <row r="156" spans="1:9" ht="85" customHeight="1" x14ac:dyDescent="0.35">
      <c r="A156" s="346">
        <v>29</v>
      </c>
      <c r="B156" s="267" t="s">
        <v>959</v>
      </c>
      <c r="C156" s="268" t="s">
        <v>853</v>
      </c>
      <c r="D156" s="267" t="s">
        <v>2143</v>
      </c>
      <c r="E156" s="267" t="s">
        <v>13184</v>
      </c>
      <c r="F156" s="267" t="s">
        <v>13185</v>
      </c>
      <c r="G156" s="267" t="s">
        <v>13627</v>
      </c>
      <c r="H156" s="304" t="s">
        <v>13624</v>
      </c>
      <c r="I156" s="610" t="str">
        <f>HYPERLINK("https://maps.google.com/?q=Zambujeira%20do%20Mar%20Odemira%20Portugal","👁 Zambujeira do Mar")</f>
        <v>👁 Zambujeira do Mar</v>
      </c>
    </row>
    <row r="157" spans="1:9" ht="85" customHeight="1" x14ac:dyDescent="0.35">
      <c r="A157" s="362">
        <v>30</v>
      </c>
      <c r="B157" s="270" t="s">
        <v>13628</v>
      </c>
      <c r="C157" s="271" t="s">
        <v>853</v>
      </c>
      <c r="D157" s="270" t="s">
        <v>6226</v>
      </c>
      <c r="E157" s="270" t="s">
        <v>13198</v>
      </c>
      <c r="F157" s="270" t="s">
        <v>13185</v>
      </c>
      <c r="G157" s="270" t="s">
        <v>13629</v>
      </c>
      <c r="H157" s="305" t="s">
        <v>13630</v>
      </c>
      <c r="I157" s="611" t="str">
        <f>HYPERLINK("https://maps.google.com/?q=Porto%20Covo%20%E2%80%94%20Ilha%20do%20Pessegueiro%20Sines%20Portugal","👁 Porto Covo — Ilha do Pessegu")</f>
        <v>👁 Porto Covo — Ilha do Pessegu</v>
      </c>
    </row>
    <row r="158" spans="1:9" ht="85" customHeight="1" x14ac:dyDescent="0.35">
      <c r="A158" s="346">
        <v>31</v>
      </c>
      <c r="B158" s="267" t="s">
        <v>13631</v>
      </c>
      <c r="C158" s="268" t="s">
        <v>853</v>
      </c>
      <c r="D158" s="267" t="s">
        <v>6226</v>
      </c>
      <c r="E158" s="267" t="s">
        <v>13198</v>
      </c>
      <c r="F158" s="267" t="s">
        <v>13185</v>
      </c>
      <c r="G158" s="267" t="s">
        <v>13632</v>
      </c>
      <c r="H158" s="304" t="s">
        <v>13630</v>
      </c>
      <c r="I158" s="610" t="str">
        <f>HYPERLINK("https://maps.google.com/?q=Sines%20%E2%80%94%20Muralhas%20do%20Castelo%20Sines%20Portugal","👁 Sines — Muralhas do Castelo")</f>
        <v>👁 Sines — Muralhas do Castelo</v>
      </c>
    </row>
    <row r="159" spans="1:9" ht="85" customHeight="1" x14ac:dyDescent="0.35">
      <c r="A159" s="362">
        <v>32</v>
      </c>
      <c r="B159" s="270" t="s">
        <v>13633</v>
      </c>
      <c r="C159" s="271" t="s">
        <v>853</v>
      </c>
      <c r="D159" s="270" t="s">
        <v>7447</v>
      </c>
      <c r="E159" s="270" t="s">
        <v>13194</v>
      </c>
      <c r="F159" s="270" t="s">
        <v>13190</v>
      </c>
      <c r="G159" s="270" t="s">
        <v>13634</v>
      </c>
      <c r="H159" s="305" t="s">
        <v>13635</v>
      </c>
      <c r="I159" s="611" t="str">
        <f>HYPERLINK("https://maps.google.com/?q=Santiago%20do%20Cac%C3%A9m%20(Castelo)%20Santiago%20do%20Cac%C3%A9m%20Portugal","👁 Santiago do Cacém (Castelo)")</f>
        <v>👁 Santiago do Cacém (Castelo)</v>
      </c>
    </row>
    <row r="160" spans="1:9" ht="85" customHeight="1" x14ac:dyDescent="0.35">
      <c r="A160" s="346">
        <v>33</v>
      </c>
      <c r="B160" s="267" t="s">
        <v>13636</v>
      </c>
      <c r="C160" s="268" t="s">
        <v>853</v>
      </c>
      <c r="D160" s="267" t="s">
        <v>5516</v>
      </c>
      <c r="E160" s="267" t="s">
        <v>13194</v>
      </c>
      <c r="F160" s="267" t="s">
        <v>13185</v>
      </c>
      <c r="G160" s="267" t="s">
        <v>13637</v>
      </c>
      <c r="H160" s="304" t="s">
        <v>13638</v>
      </c>
      <c r="I160" s="610" t="str">
        <f>HYPERLINK("https://maps.google.com/?q=Comporta%20%E2%80%94%20Cais%20Palaf%C3%ADtico%20da%20Carrasqueira%20Alc%C3%A1cer%20do%20Sal%20Portugal","👁 Comporta — Cais Palafítico d")</f>
        <v>👁 Comporta — Cais Palafítico d</v>
      </c>
    </row>
    <row r="161" spans="1:9" ht="85" customHeight="1" x14ac:dyDescent="0.35">
      <c r="A161" s="362">
        <v>34</v>
      </c>
      <c r="B161" s="270" t="s">
        <v>13543</v>
      </c>
      <c r="C161" s="271" t="s">
        <v>853</v>
      </c>
      <c r="D161" s="270" t="s">
        <v>6161</v>
      </c>
      <c r="E161" s="270" t="s">
        <v>13232</v>
      </c>
      <c r="F161" s="270" t="s">
        <v>13185</v>
      </c>
      <c r="G161" s="270" t="s">
        <v>13544</v>
      </c>
      <c r="H161" s="305" t="s">
        <v>13639</v>
      </c>
      <c r="I161" s="611" t="str">
        <f>HYPERLINK("https://maps.google.com/?q=Troia%20%E2%80%94%20Ponta%20do%20Adoxe%20Gr%C3%A2ndola%20Portugal","👁 Troia — Ponta do Adoxe")</f>
        <v>👁 Troia — Ponta do Adoxe</v>
      </c>
    </row>
    <row r="162" spans="1:9" ht="85" customHeight="1" x14ac:dyDescent="0.35">
      <c r="A162" s="346">
        <v>35</v>
      </c>
      <c r="B162" s="267" t="s">
        <v>13640</v>
      </c>
      <c r="C162" s="268" t="s">
        <v>853</v>
      </c>
      <c r="D162" s="267" t="s">
        <v>13641</v>
      </c>
      <c r="E162" s="267" t="s">
        <v>13184</v>
      </c>
      <c r="F162" s="267" t="s">
        <v>13185</v>
      </c>
      <c r="G162" s="267" t="s">
        <v>13642</v>
      </c>
      <c r="H162" s="304" t="s">
        <v>13643</v>
      </c>
      <c r="I162" s="610" t="str">
        <f>HYPERLINK("https://maps.google.com/?q=Nossa%20Senhora%20dAires%20Viana%20Portugal","👁 Nossa Senhora d'Aires")</f>
        <v>👁 Nossa Senhora d'Aires</v>
      </c>
    </row>
    <row r="163" spans="1:9" ht="85" customHeight="1" x14ac:dyDescent="0.35">
      <c r="A163" s="362">
        <v>36</v>
      </c>
      <c r="B163" s="270" t="s">
        <v>13644</v>
      </c>
      <c r="C163" s="271" t="s">
        <v>853</v>
      </c>
      <c r="D163" s="270" t="s">
        <v>9950</v>
      </c>
      <c r="E163" s="270" t="s">
        <v>13198</v>
      </c>
      <c r="F163" s="270" t="s">
        <v>13199</v>
      </c>
      <c r="G163" s="270" t="s">
        <v>13645</v>
      </c>
      <c r="H163" s="305" t="s">
        <v>13646</v>
      </c>
      <c r="I163" s="611" t="str">
        <f>HYPERLINK("https://maps.google.com/?q=Alvito%20(Castelo%2FPousada)%20Alvito%20Portugal","👁 Alvito (Castelo/Pousada)")</f>
        <v>👁 Alvito (Castelo/Pousada)</v>
      </c>
    </row>
    <row r="164" spans="1:9" ht="85" customHeight="1" x14ac:dyDescent="0.35">
      <c r="A164" s="346">
        <v>37</v>
      </c>
      <c r="B164" s="267" t="s">
        <v>13540</v>
      </c>
      <c r="C164" s="268" t="s">
        <v>853</v>
      </c>
      <c r="D164" s="267" t="s">
        <v>6161</v>
      </c>
      <c r="E164" s="267" t="s">
        <v>13194</v>
      </c>
      <c r="F164" s="267" t="s">
        <v>13190</v>
      </c>
      <c r="G164" s="267" t="s">
        <v>13541</v>
      </c>
      <c r="H164" s="304" t="s">
        <v>13647</v>
      </c>
      <c r="I164" s="610" t="str">
        <f>HYPERLINK("https://maps.google.com/?q=Gr%C3%A2ndola%20%E2%80%94%20Serra%20Gr%C3%A2ndola%20Portugal","👁 Grândola — Serra")</f>
        <v>👁 Grândola — Serra</v>
      </c>
    </row>
    <row r="165" spans="1:9" ht="85" customHeight="1" x14ac:dyDescent="0.35">
      <c r="A165" s="362">
        <v>38</v>
      </c>
      <c r="B165" s="270" t="s">
        <v>13648</v>
      </c>
      <c r="C165" s="271" t="s">
        <v>853</v>
      </c>
      <c r="D165" s="270" t="s">
        <v>8703</v>
      </c>
      <c r="E165" s="270" t="s">
        <v>13198</v>
      </c>
      <c r="F165" s="270" t="s">
        <v>13185</v>
      </c>
      <c r="G165" s="270" t="s">
        <v>13649</v>
      </c>
      <c r="H165" s="305" t="s">
        <v>13650</v>
      </c>
      <c r="I165" s="611" t="str">
        <f>HYPERLINK("https://maps.google.com/?q=Ferreira%20do%20Alentejo%20%E2%80%94%20Calv%C3%A1rio%20Ferreira%20do%20Alentejo%20Portugal","👁 Ferreira do Alentejo — Calvá")</f>
        <v>👁 Ferreira do Alentejo — Calvá</v>
      </c>
    </row>
    <row r="166" spans="1:9" ht="85" customHeight="1" x14ac:dyDescent="0.35">
      <c r="A166" s="346">
        <v>39</v>
      </c>
      <c r="B166" s="267" t="s">
        <v>6854</v>
      </c>
      <c r="C166" s="268" t="s">
        <v>853</v>
      </c>
      <c r="D166" s="267" t="s">
        <v>6081</v>
      </c>
      <c r="E166" s="267" t="s">
        <v>13232</v>
      </c>
      <c r="F166" s="267" t="s">
        <v>13185</v>
      </c>
      <c r="G166" s="267" t="s">
        <v>13651</v>
      </c>
      <c r="H166" s="304" t="s">
        <v>13652</v>
      </c>
      <c r="I166" s="610" t="str">
        <f>HYPERLINK("https://maps.google.com/?q=Mina%20de%20S%C3%A3o%20Domingos%20M%C3%A9rtola%20Portugal","👁 Mina de São Domingos")</f>
        <v>👁 Mina de São Domingos</v>
      </c>
    </row>
    <row r="167" spans="1:9" ht="85" customHeight="1" x14ac:dyDescent="0.35">
      <c r="A167" s="362">
        <v>40</v>
      </c>
      <c r="B167" s="270" t="s">
        <v>13653</v>
      </c>
      <c r="C167" s="271" t="s">
        <v>853</v>
      </c>
      <c r="D167" s="270" t="s">
        <v>13654</v>
      </c>
      <c r="E167" s="270" t="s">
        <v>13194</v>
      </c>
      <c r="F167" s="270" t="s">
        <v>13185</v>
      </c>
      <c r="G167" s="270" t="s">
        <v>13655</v>
      </c>
      <c r="H167" s="305" t="s">
        <v>13656</v>
      </c>
      <c r="I167" s="611" t="str">
        <f>HYPERLINK("https://maps.google.com/?q=Odivelas%20%E2%80%94%20Alqueva%20Ferreira%20Portugal","👁 Odivelas — Alqueva")</f>
        <v>👁 Odivelas — Alqueva</v>
      </c>
    </row>
    <row r="168" spans="1:9" ht="22" customHeight="1" x14ac:dyDescent="0.35">
      <c r="A168" s="1477" t="s">
        <v>13657</v>
      </c>
      <c r="B168" s="1313"/>
      <c r="C168" s="1313"/>
      <c r="D168" s="1313"/>
      <c r="E168" s="1313"/>
      <c r="F168" s="1313"/>
      <c r="G168" s="1313"/>
      <c r="H168" s="1313"/>
    </row>
    <row r="169" spans="1:9" ht="85" customHeight="1" x14ac:dyDescent="0.35">
      <c r="A169" s="348">
        <v>1</v>
      </c>
      <c r="B169" s="273" t="s">
        <v>13658</v>
      </c>
      <c r="C169" s="274" t="s">
        <v>767</v>
      </c>
      <c r="D169" s="273" t="s">
        <v>2201</v>
      </c>
      <c r="E169" s="273" t="s">
        <v>13198</v>
      </c>
      <c r="F169" s="273" t="s">
        <v>13185</v>
      </c>
      <c r="G169" s="273" t="s">
        <v>13659</v>
      </c>
      <c r="H169" s="304" t="s">
        <v>13660</v>
      </c>
      <c r="I169" s="612" t="str">
        <f>HYPERLINK("https://maps.google.com/?q=Ponta%20da%20Piedade%20Lagos%20Portugal","👁 Ponta da Piedade")</f>
        <v>👁 Ponta da Piedade</v>
      </c>
    </row>
    <row r="170" spans="1:9" ht="85" customHeight="1" x14ac:dyDescent="0.35">
      <c r="A170" s="354">
        <v>2</v>
      </c>
      <c r="B170" s="277" t="s">
        <v>10392</v>
      </c>
      <c r="C170" s="278" t="s">
        <v>767</v>
      </c>
      <c r="D170" s="277" t="s">
        <v>5964</v>
      </c>
      <c r="E170" s="277" t="s">
        <v>13184</v>
      </c>
      <c r="F170" s="277" t="s">
        <v>13185</v>
      </c>
      <c r="G170" s="277" t="s">
        <v>13661</v>
      </c>
      <c r="H170" s="305" t="s">
        <v>13662</v>
      </c>
      <c r="I170" s="613" t="str">
        <f>HYPERLINK("https://maps.google.com/?q=Cabo%20de%20S%C3%A3o%20Vicente%20Sagres%20Portugal","👁 Cabo de São Vicente")</f>
        <v>👁 Cabo de São Vicente</v>
      </c>
    </row>
    <row r="171" spans="1:9" ht="85" customHeight="1" x14ac:dyDescent="0.35">
      <c r="A171" s="348">
        <v>3</v>
      </c>
      <c r="B171" s="273" t="s">
        <v>7494</v>
      </c>
      <c r="C171" s="274" t="s">
        <v>767</v>
      </c>
      <c r="D171" s="273" t="s">
        <v>5964</v>
      </c>
      <c r="E171" s="273" t="s">
        <v>13424</v>
      </c>
      <c r="F171" s="273" t="s">
        <v>13185</v>
      </c>
      <c r="G171" s="273" t="s">
        <v>13663</v>
      </c>
      <c r="H171" s="304" t="s">
        <v>13664</v>
      </c>
      <c r="I171" s="612" t="str">
        <f>HYPERLINK("https://maps.google.com/?q=Fortaleza%20de%20Sagres%20Sagres%20Portugal","👁 Fortaleza de Sagres")</f>
        <v>👁 Fortaleza de Sagres</v>
      </c>
    </row>
    <row r="172" spans="1:9" ht="85" customHeight="1" x14ac:dyDescent="0.35">
      <c r="A172" s="354">
        <v>4</v>
      </c>
      <c r="B172" s="277" t="s">
        <v>13665</v>
      </c>
      <c r="C172" s="278" t="s">
        <v>767</v>
      </c>
      <c r="D172" s="277" t="s">
        <v>2190</v>
      </c>
      <c r="E172" s="277" t="s">
        <v>13232</v>
      </c>
      <c r="F172" s="277" t="s">
        <v>13185</v>
      </c>
      <c r="G172" s="277" t="s">
        <v>13666</v>
      </c>
      <c r="H172" s="305" t="s">
        <v>13667</v>
      </c>
      <c r="I172" s="613" t="str">
        <f>HYPERLINK("https://maps.google.com/?q=Algar%20de%20Benagil%20(Topo)%20Lagoa%20Portugal","👁 Algar de Benagil (Topo)")</f>
        <v>👁 Algar de Benagil (Topo)</v>
      </c>
    </row>
    <row r="173" spans="1:9" ht="85" customHeight="1" x14ac:dyDescent="0.35">
      <c r="A173" s="348">
        <v>5</v>
      </c>
      <c r="B173" s="273" t="s">
        <v>13668</v>
      </c>
      <c r="C173" s="274" t="s">
        <v>767</v>
      </c>
      <c r="D173" s="273" t="s">
        <v>2190</v>
      </c>
      <c r="E173" s="273" t="s">
        <v>13198</v>
      </c>
      <c r="F173" s="273" t="s">
        <v>13185</v>
      </c>
      <c r="G173" s="273" t="s">
        <v>6894</v>
      </c>
      <c r="H173" s="304" t="s">
        <v>13669</v>
      </c>
      <c r="I173" s="612" t="str">
        <f>HYPERLINK("https://maps.google.com/?q=Praia%20da%20Marinha%20%E2%80%94%20Miradouro%20dos%20Arcos%20Lagoa%20Portugal","👁 Praia da Marinha — Miradouro")</f>
        <v>👁 Praia da Marinha — Miradouro</v>
      </c>
    </row>
    <row r="174" spans="1:9" ht="85" customHeight="1" x14ac:dyDescent="0.35">
      <c r="A174" s="354">
        <v>6</v>
      </c>
      <c r="B174" s="277" t="s">
        <v>13670</v>
      </c>
      <c r="C174" s="278" t="s">
        <v>767</v>
      </c>
      <c r="D174" s="277" t="s">
        <v>13671</v>
      </c>
      <c r="E174" s="277" t="s">
        <v>13184</v>
      </c>
      <c r="F174" s="277" t="s">
        <v>13185</v>
      </c>
      <c r="G174" s="277" t="s">
        <v>13672</v>
      </c>
      <c r="H174" s="305" t="s">
        <v>13673</v>
      </c>
      <c r="I174" s="613" t="str">
        <f>HYPERLINK("https://maps.google.com/?q=Senhora%20da%20Rocha%20Porches%20Portugal","👁 Senhora da Rocha")</f>
        <v>👁 Senhora da Rocha</v>
      </c>
    </row>
    <row r="175" spans="1:9" ht="85" customHeight="1" x14ac:dyDescent="0.35">
      <c r="A175" s="348">
        <v>7</v>
      </c>
      <c r="B175" s="273" t="s">
        <v>13674</v>
      </c>
      <c r="C175" s="274" t="s">
        <v>767</v>
      </c>
      <c r="D175" s="273" t="s">
        <v>13675</v>
      </c>
      <c r="E175" s="273" t="s">
        <v>13194</v>
      </c>
      <c r="F175" s="273" t="s">
        <v>13190</v>
      </c>
      <c r="G175" s="273" t="s">
        <v>13383</v>
      </c>
      <c r="H175" s="304" t="s">
        <v>13676</v>
      </c>
      <c r="I175" s="612" t="str">
        <f>HYPERLINK("https://maps.google.com/?q=Cani%C3%A7o%20%E2%80%94%20Prainha%20Alvor%20Portugal","👁 Caniço — Prainha")</f>
        <v>👁 Caniço — Prainha</v>
      </c>
    </row>
    <row r="176" spans="1:9" ht="85" customHeight="1" x14ac:dyDescent="0.35">
      <c r="A176" s="354">
        <v>8</v>
      </c>
      <c r="B176" s="277" t="s">
        <v>13677</v>
      </c>
      <c r="C176" s="278" t="s">
        <v>767</v>
      </c>
      <c r="D176" s="277" t="s">
        <v>13678</v>
      </c>
      <c r="E176" s="277" t="s">
        <v>13194</v>
      </c>
      <c r="F176" s="277" t="s">
        <v>13185</v>
      </c>
      <c r="G176" s="277" t="s">
        <v>13679</v>
      </c>
      <c r="H176" s="305" t="s">
        <v>13680</v>
      </c>
      <c r="I176" s="613" t="str">
        <f>HYPERLINK("https://maps.google.com/?q=Pontal%20%E2%80%94%20Algar%20Seco%20Carvoeiro%20Portugal","👁 Pontal — Algar Seco")</f>
        <v>👁 Pontal — Algar Seco</v>
      </c>
    </row>
    <row r="177" spans="1:9" ht="85" customHeight="1" x14ac:dyDescent="0.35">
      <c r="A177" s="348">
        <v>9</v>
      </c>
      <c r="B177" s="273" t="s">
        <v>13681</v>
      </c>
      <c r="C177" s="274" t="s">
        <v>767</v>
      </c>
      <c r="D177" s="273" t="s">
        <v>9985</v>
      </c>
      <c r="E177" s="273" t="s">
        <v>13232</v>
      </c>
      <c r="F177" s="273" t="s">
        <v>13185</v>
      </c>
      <c r="G177" s="273" t="s">
        <v>13682</v>
      </c>
      <c r="H177" s="304" t="s">
        <v>13683</v>
      </c>
      <c r="I177" s="612" t="str">
        <f>HYPERLINK("https://maps.google.com/?q=Torre%20de%20Aspa%20Vila%20do%20Bispo%20Portugal","👁 Torre de Aspa")</f>
        <v>👁 Torre de Aspa</v>
      </c>
    </row>
    <row r="178" spans="1:9" ht="85" customHeight="1" x14ac:dyDescent="0.35">
      <c r="A178" s="354">
        <v>10</v>
      </c>
      <c r="B178" s="277" t="s">
        <v>13684</v>
      </c>
      <c r="C178" s="278" t="s">
        <v>767</v>
      </c>
      <c r="D178" s="277" t="s">
        <v>9985</v>
      </c>
      <c r="E178" s="277" t="s">
        <v>13184</v>
      </c>
      <c r="F178" s="277" t="s">
        <v>13185</v>
      </c>
      <c r="G178" s="277" t="s">
        <v>13274</v>
      </c>
      <c r="H178" s="305" t="s">
        <v>13685</v>
      </c>
      <c r="I178" s="613" t="str">
        <f>HYPERLINK("https://maps.google.com/?q=Miradouro%20do%20Castelejo%20Vila%20do%20Bispo%20Portugal","👁 Miradouro do Castelejo")</f>
        <v>👁 Miradouro do Castelejo</v>
      </c>
    </row>
    <row r="179" spans="1:9" ht="85" customHeight="1" x14ac:dyDescent="0.35">
      <c r="A179" s="348">
        <v>11</v>
      </c>
      <c r="B179" s="273" t="s">
        <v>5775</v>
      </c>
      <c r="C179" s="274" t="s">
        <v>767</v>
      </c>
      <c r="D179" s="273" t="s">
        <v>2164</v>
      </c>
      <c r="E179" s="273" t="s">
        <v>13203</v>
      </c>
      <c r="F179" s="273" t="s">
        <v>13185</v>
      </c>
      <c r="G179" s="273" t="s">
        <v>13686</v>
      </c>
      <c r="H179" s="304" t="s">
        <v>13687</v>
      </c>
      <c r="I179" s="612" t="str">
        <f>HYPERLINK("https://maps.google.com/?q=F%C3%B3ia%20Monchique%20Portugal","👁 Fóia")</f>
        <v>👁 Fóia</v>
      </c>
    </row>
    <row r="180" spans="1:9" ht="85" customHeight="1" x14ac:dyDescent="0.35">
      <c r="A180" s="354">
        <v>12</v>
      </c>
      <c r="B180" s="277" t="s">
        <v>13688</v>
      </c>
      <c r="C180" s="278" t="s">
        <v>767</v>
      </c>
      <c r="D180" s="277" t="s">
        <v>2164</v>
      </c>
      <c r="E180" s="277" t="s">
        <v>13424</v>
      </c>
      <c r="F180" s="277" t="s">
        <v>13190</v>
      </c>
      <c r="G180" s="277" t="s">
        <v>13425</v>
      </c>
      <c r="H180" s="305" t="s">
        <v>13689</v>
      </c>
      <c r="I180" s="613" t="str">
        <f>HYPERLINK("https://maps.google.com/?q=Picota%20Monchique%20Portugal","👁 Picota")</f>
        <v>👁 Picota</v>
      </c>
    </row>
    <row r="181" spans="1:9" ht="85" customHeight="1" x14ac:dyDescent="0.35">
      <c r="A181" s="348">
        <v>13</v>
      </c>
      <c r="B181" s="273" t="s">
        <v>13690</v>
      </c>
      <c r="C181" s="274" t="s">
        <v>767</v>
      </c>
      <c r="D181" s="273" t="s">
        <v>2164</v>
      </c>
      <c r="E181" s="273" t="s">
        <v>13194</v>
      </c>
      <c r="F181" s="273" t="s">
        <v>13199</v>
      </c>
      <c r="G181" s="273" t="s">
        <v>13691</v>
      </c>
      <c r="H181" s="304" t="s">
        <v>13692</v>
      </c>
      <c r="I181" s="612" t="str">
        <f>HYPERLINK("https://maps.google.com/?q=Miradouro%20da%20Fonte%20Santa%20Monchique%20Portugal","👁 Miradouro da Fonte Santa")</f>
        <v>👁 Miradouro da Fonte Santa</v>
      </c>
    </row>
    <row r="182" spans="1:9" ht="85" customHeight="1" x14ac:dyDescent="0.35">
      <c r="A182" s="354">
        <v>14</v>
      </c>
      <c r="B182" s="277" t="s">
        <v>13693</v>
      </c>
      <c r="C182" s="278" t="s">
        <v>767</v>
      </c>
      <c r="D182" s="277" t="s">
        <v>2172</v>
      </c>
      <c r="E182" s="277" t="s">
        <v>13198</v>
      </c>
      <c r="F182" s="277" t="s">
        <v>13185</v>
      </c>
      <c r="G182" s="277" t="s">
        <v>13694</v>
      </c>
      <c r="H182" s="305" t="s">
        <v>13695</v>
      </c>
      <c r="I182" s="613" t="str">
        <f>HYPERLINK("https://maps.google.com/?q=Cumeada%20%E2%80%94%20Barranco%20do%20Velho%20Loul%C3%A9%20Portugal","👁 Cumeada — Barranco do Velho")</f>
        <v>👁 Cumeada — Barranco do Velho</v>
      </c>
    </row>
    <row r="183" spans="1:9" ht="85" customHeight="1" x14ac:dyDescent="0.35">
      <c r="A183" s="348">
        <v>15</v>
      </c>
      <c r="B183" s="273" t="s">
        <v>13696</v>
      </c>
      <c r="C183" s="274" t="s">
        <v>767</v>
      </c>
      <c r="D183" s="273" t="s">
        <v>2172</v>
      </c>
      <c r="E183" s="273" t="s">
        <v>13194</v>
      </c>
      <c r="F183" s="273" t="s">
        <v>13185</v>
      </c>
      <c r="G183" s="273" t="s">
        <v>13697</v>
      </c>
      <c r="H183" s="304" t="s">
        <v>13698</v>
      </c>
      <c r="I183" s="612" t="str">
        <f>HYPERLINK("https://maps.google.com/?q=Miradouro%20do%20Moinho%20%E2%80%94%20Alte%20Loul%C3%A9%20Portugal","👁 Miradouro do Moinho — Alte")</f>
        <v>👁 Miradouro do Moinho — Alte</v>
      </c>
    </row>
    <row r="184" spans="1:9" ht="85" customHeight="1" x14ac:dyDescent="0.35">
      <c r="A184" s="354">
        <v>16</v>
      </c>
      <c r="B184" s="277" t="s">
        <v>13699</v>
      </c>
      <c r="C184" s="278" t="s">
        <v>767</v>
      </c>
      <c r="D184" s="277" t="s">
        <v>2172</v>
      </c>
      <c r="E184" s="277" t="s">
        <v>13184</v>
      </c>
      <c r="F184" s="277" t="s">
        <v>13185</v>
      </c>
      <c r="G184" s="277" t="s">
        <v>13700</v>
      </c>
      <c r="H184" s="305" t="s">
        <v>13701</v>
      </c>
      <c r="I184" s="613" t="str">
        <f>HYPERLINK("https://maps.google.com/?q=Malh%C3%A3o%20Loul%C3%A9%20Portugal","👁 Malhão")</f>
        <v>👁 Malhão</v>
      </c>
    </row>
    <row r="185" spans="1:9" ht="85" customHeight="1" x14ac:dyDescent="0.35">
      <c r="A185" s="348">
        <v>17</v>
      </c>
      <c r="B185" s="273" t="s">
        <v>13702</v>
      </c>
      <c r="C185" s="274" t="s">
        <v>767</v>
      </c>
      <c r="D185" s="273" t="s">
        <v>13703</v>
      </c>
      <c r="E185" s="273" t="s">
        <v>13184</v>
      </c>
      <c r="F185" s="273" t="s">
        <v>13185</v>
      </c>
      <c r="G185" s="273" t="s">
        <v>13704</v>
      </c>
      <c r="H185" s="304" t="s">
        <v>13705</v>
      </c>
      <c r="I185" s="612" t="str">
        <f>HYPERLINK("https://maps.google.com/?q=Cerro%20de%20S.%20Miguel%20Olh%C3%A3o%2FFaro%20Portugal","👁 Cerro de S. Miguel")</f>
        <v>👁 Cerro de S. Miguel</v>
      </c>
    </row>
    <row r="186" spans="1:9" ht="85" customHeight="1" x14ac:dyDescent="0.35">
      <c r="A186" s="354">
        <v>18</v>
      </c>
      <c r="B186" s="277" t="s">
        <v>13706</v>
      </c>
      <c r="C186" s="278" t="s">
        <v>767</v>
      </c>
      <c r="D186" s="277" t="s">
        <v>5761</v>
      </c>
      <c r="E186" s="277" t="s">
        <v>13250</v>
      </c>
      <c r="F186" s="277" t="s">
        <v>13185</v>
      </c>
      <c r="G186" s="277" t="s">
        <v>13707</v>
      </c>
      <c r="H186" s="305" t="s">
        <v>13708</v>
      </c>
      <c r="I186" s="613" t="str">
        <f>HYPERLINK("https://maps.google.com/?q=Ludo%20%E2%80%94%20Faro%20Faro%20Portugal","👁 Ludo — Faro")</f>
        <v>👁 Ludo — Faro</v>
      </c>
    </row>
    <row r="187" spans="1:9" ht="85" customHeight="1" x14ac:dyDescent="0.35">
      <c r="A187" s="348">
        <v>19</v>
      </c>
      <c r="B187" s="273" t="s">
        <v>13709</v>
      </c>
      <c r="C187" s="274" t="s">
        <v>767</v>
      </c>
      <c r="D187" s="273" t="s">
        <v>2172</v>
      </c>
      <c r="E187" s="273" t="s">
        <v>13424</v>
      </c>
      <c r="F187" s="273" t="s">
        <v>13185</v>
      </c>
      <c r="G187" s="273" t="s">
        <v>13710</v>
      </c>
      <c r="H187" s="304" t="s">
        <v>13711</v>
      </c>
      <c r="I187" s="612" t="str">
        <f>HYPERLINK("https://maps.google.com/?q=Quinta%20do%20Lago%20%E2%80%94%20Passadi%C3%A7os%20Loul%C3%A9%20Portugal","👁 Quinta do Lago — Passadiços")</f>
        <v>👁 Quinta do Lago — Passadiços</v>
      </c>
    </row>
    <row r="188" spans="1:9" ht="85" customHeight="1" x14ac:dyDescent="0.35">
      <c r="A188" s="354">
        <v>20</v>
      </c>
      <c r="B188" s="277" t="s">
        <v>13712</v>
      </c>
      <c r="C188" s="278" t="s">
        <v>767</v>
      </c>
      <c r="D188" s="277" t="s">
        <v>5764</v>
      </c>
      <c r="E188" s="277" t="s">
        <v>13194</v>
      </c>
      <c r="F188" s="277" t="s">
        <v>13185</v>
      </c>
      <c r="G188" s="277" t="s">
        <v>13713</v>
      </c>
      <c r="H188" s="305" t="s">
        <v>13714</v>
      </c>
      <c r="I188" s="613" t="str">
        <f>HYPERLINK("https://maps.google.com/?q=Forte%20de%20Rato%20%E2%80%94%20Tavira%20Tavira%20Portugal","👁 Forte de Rato — Tavira")</f>
        <v>👁 Forte de Rato — Tavira</v>
      </c>
    </row>
    <row r="189" spans="1:9" ht="85" customHeight="1" x14ac:dyDescent="0.35">
      <c r="A189" s="348">
        <v>21</v>
      </c>
      <c r="B189" s="273" t="s">
        <v>7507</v>
      </c>
      <c r="C189" s="274" t="s">
        <v>767</v>
      </c>
      <c r="D189" s="273" t="s">
        <v>2172</v>
      </c>
      <c r="E189" s="273" t="s">
        <v>13194</v>
      </c>
      <c r="F189" s="273" t="s">
        <v>13190</v>
      </c>
      <c r="G189" s="273" t="s">
        <v>13383</v>
      </c>
      <c r="H189" s="304" t="s">
        <v>13715</v>
      </c>
      <c r="I189" s="612" t="str">
        <f>HYPERLINK("https://maps.google.com/?q=Castelo%20de%20Loul%C3%A9%20Loul%C3%A9%20Portugal","👁 Castelo de Loulé")</f>
        <v>👁 Castelo de Loulé</v>
      </c>
    </row>
    <row r="190" spans="1:9" ht="85" customHeight="1" x14ac:dyDescent="0.35">
      <c r="A190" s="354">
        <v>22</v>
      </c>
      <c r="B190" s="277" t="s">
        <v>13716</v>
      </c>
      <c r="C190" s="278" t="s">
        <v>767</v>
      </c>
      <c r="D190" s="277" t="s">
        <v>6432</v>
      </c>
      <c r="E190" s="277" t="s">
        <v>13198</v>
      </c>
      <c r="F190" s="277" t="s">
        <v>13185</v>
      </c>
      <c r="G190" s="277" t="s">
        <v>13717</v>
      </c>
      <c r="H190" s="305" t="s">
        <v>13718</v>
      </c>
      <c r="I190" s="613" t="str">
        <f>HYPERLINK("https://maps.google.com/?q=Igreja%20de%20S.%20Louren%C3%A7o%20%E2%80%94%20Almancil%20Almancil%20Portugal","👁 Igreja de S. Lourenço — Alma")</f>
        <v>👁 Igreja de S. Lourenço — Alma</v>
      </c>
    </row>
    <row r="191" spans="1:9" ht="85" customHeight="1" x14ac:dyDescent="0.35">
      <c r="A191" s="348">
        <v>23</v>
      </c>
      <c r="B191" s="273" t="s">
        <v>13719</v>
      </c>
      <c r="C191" s="274" t="s">
        <v>767</v>
      </c>
      <c r="D191" s="273" t="s">
        <v>6469</v>
      </c>
      <c r="E191" s="273" t="s">
        <v>13194</v>
      </c>
      <c r="F191" s="273" t="s">
        <v>13185</v>
      </c>
      <c r="G191" s="273" t="s">
        <v>13720</v>
      </c>
      <c r="H191" s="304" t="s">
        <v>13721</v>
      </c>
      <c r="I191" s="612" t="str">
        <f>HYPERLINK("https://maps.google.com/?q=Miradouro%20de%20Vilamoura%20%E2%80%94%20Fal%C3%A9sia%20Vilamoura%20Portugal","👁 Miradouro de Vilamoura — Fal")</f>
        <v>👁 Miradouro de Vilamoura — Fal</v>
      </c>
    </row>
    <row r="192" spans="1:9" ht="85" customHeight="1" x14ac:dyDescent="0.35">
      <c r="A192" s="354">
        <v>24</v>
      </c>
      <c r="B192" s="277" t="s">
        <v>12042</v>
      </c>
      <c r="C192" s="278" t="s">
        <v>767</v>
      </c>
      <c r="D192" s="277" t="s">
        <v>10296</v>
      </c>
      <c r="E192" s="277" t="s">
        <v>13184</v>
      </c>
      <c r="F192" s="277" t="s">
        <v>13185</v>
      </c>
      <c r="G192" s="277" t="s">
        <v>13713</v>
      </c>
      <c r="H192" s="305" t="s">
        <v>13722</v>
      </c>
      <c r="I192" s="613" t="str">
        <f>HYPERLINK("https://maps.google.com/?q=Cacela%20Velha%20VRSA%20Portugal","👁 Cacela Velha")</f>
        <v>👁 Cacela Velha</v>
      </c>
    </row>
    <row r="193" spans="1:9" ht="85" customHeight="1" x14ac:dyDescent="0.35">
      <c r="A193" s="348">
        <v>25</v>
      </c>
      <c r="B193" s="273" t="s">
        <v>7491</v>
      </c>
      <c r="C193" s="274" t="s">
        <v>767</v>
      </c>
      <c r="D193" s="273" t="s">
        <v>5532</v>
      </c>
      <c r="E193" s="273" t="s">
        <v>13232</v>
      </c>
      <c r="F193" s="273" t="s">
        <v>13185</v>
      </c>
      <c r="G193" s="273" t="s">
        <v>13723</v>
      </c>
      <c r="H193" s="304" t="s">
        <v>13724</v>
      </c>
      <c r="I193" s="612" t="str">
        <f>HYPERLINK("https://maps.google.com/?q=Castelo%20de%20Castro%20Marim%20Castro%20Marim%20Portugal","👁 Castelo de Castro Marim")</f>
        <v>👁 Castelo de Castro Marim</v>
      </c>
    </row>
    <row r="194" spans="1:9" ht="85" customHeight="1" x14ac:dyDescent="0.35">
      <c r="A194" s="354">
        <v>26</v>
      </c>
      <c r="B194" s="277" t="s">
        <v>13725</v>
      </c>
      <c r="C194" s="278" t="s">
        <v>767</v>
      </c>
      <c r="D194" s="277" t="s">
        <v>5532</v>
      </c>
      <c r="E194" s="277" t="s">
        <v>13198</v>
      </c>
      <c r="F194" s="277" t="s">
        <v>13185</v>
      </c>
      <c r="G194" s="277" t="s">
        <v>13726</v>
      </c>
      <c r="H194" s="305" t="s">
        <v>13727</v>
      </c>
      <c r="I194" s="613" t="str">
        <f>HYPERLINK("https://maps.google.com/?q=Revelim%20de%20Santo%20Ant%C3%B3nio%20Castro%20Marim%20Portugal","👁 Revelim de Santo António")</f>
        <v>👁 Revelim de Santo António</v>
      </c>
    </row>
    <row r="195" spans="1:9" ht="85" customHeight="1" x14ac:dyDescent="0.35">
      <c r="A195" s="348">
        <v>27</v>
      </c>
      <c r="B195" s="273" t="s">
        <v>13728</v>
      </c>
      <c r="C195" s="274" t="s">
        <v>767</v>
      </c>
      <c r="D195" s="273" t="s">
        <v>10296</v>
      </c>
      <c r="E195" s="273" t="s">
        <v>13198</v>
      </c>
      <c r="F195" s="273" t="s">
        <v>13185</v>
      </c>
      <c r="G195" s="273" t="s">
        <v>13729</v>
      </c>
      <c r="H195" s="304" t="s">
        <v>13730</v>
      </c>
      <c r="I195" s="612" t="str">
        <f>HYPERLINK("https://maps.google.com/?q=Vila%20Real%20de%20S.%20Ant%C3%B3nio%20%E2%80%94%20Farol%20VRSA%20Portugal","👁 Vila Real de S. António — Fa")</f>
        <v>👁 Vila Real de S. António — Fa</v>
      </c>
    </row>
    <row r="196" spans="1:9" ht="85" customHeight="1" x14ac:dyDescent="0.35">
      <c r="A196" s="354">
        <v>28</v>
      </c>
      <c r="B196" s="277" t="s">
        <v>13731</v>
      </c>
      <c r="C196" s="278" t="s">
        <v>767</v>
      </c>
      <c r="D196" s="277" t="s">
        <v>2186</v>
      </c>
      <c r="E196" s="277" t="s">
        <v>13184</v>
      </c>
      <c r="F196" s="277" t="s">
        <v>13185</v>
      </c>
      <c r="G196" s="277" t="s">
        <v>13732</v>
      </c>
      <c r="H196" s="305" t="s">
        <v>13733</v>
      </c>
      <c r="I196" s="613" t="str">
        <f>HYPERLINK("https://maps.google.com/?q=Pau%20da%20Bandeira%20%E2%80%94%20Albufeira%20Albufeira%20Portugal","👁 Pau da Bandeira — Albufeira")</f>
        <v>👁 Pau da Bandeira — Albufeira</v>
      </c>
    </row>
    <row r="197" spans="1:9" ht="85" customHeight="1" x14ac:dyDescent="0.35">
      <c r="A197" s="348">
        <v>29</v>
      </c>
      <c r="B197" s="273" t="s">
        <v>13734</v>
      </c>
      <c r="C197" s="274" t="s">
        <v>767</v>
      </c>
      <c r="D197" s="273" t="s">
        <v>2186</v>
      </c>
      <c r="E197" s="273" t="s">
        <v>13194</v>
      </c>
      <c r="F197" s="273" t="s">
        <v>13185</v>
      </c>
      <c r="G197" s="273" t="s">
        <v>13735</v>
      </c>
      <c r="H197" s="304" t="s">
        <v>13736</v>
      </c>
      <c r="I197" s="612" t="str">
        <f>HYPERLINK("https://maps.google.com/?q=Fal%C3%A9sia%20Alfamar%20Albufeira%20Portugal","👁 Falésia Alfamar")</f>
        <v>👁 Falésia Alfamar</v>
      </c>
    </row>
    <row r="198" spans="1:9" ht="85" customHeight="1" x14ac:dyDescent="0.35">
      <c r="A198" s="354">
        <v>30</v>
      </c>
      <c r="B198" s="277" t="s">
        <v>13737</v>
      </c>
      <c r="C198" s="278" t="s">
        <v>767</v>
      </c>
      <c r="D198" s="277" t="s">
        <v>2205</v>
      </c>
      <c r="E198" s="277" t="s">
        <v>13184</v>
      </c>
      <c r="F198" s="277" t="s">
        <v>13185</v>
      </c>
      <c r="G198" s="277" t="s">
        <v>13738</v>
      </c>
      <c r="H198" s="305" t="s">
        <v>13739</v>
      </c>
      <c r="I198" s="613" t="str">
        <f>HYPERLINK("https://maps.google.com/?q=Miradouro%20dos%20Tr%C3%AAs%20Castelos%20Portim%C3%A3o%20Portugal","👁 Miradouro dos Três Castelos")</f>
        <v>👁 Miradouro dos Três Castelos</v>
      </c>
    </row>
    <row r="199" spans="1:9" ht="85" customHeight="1" x14ac:dyDescent="0.35">
      <c r="A199" s="348">
        <v>31</v>
      </c>
      <c r="B199" s="273" t="s">
        <v>13740</v>
      </c>
      <c r="C199" s="274" t="s">
        <v>767</v>
      </c>
      <c r="D199" s="273" t="s">
        <v>2190</v>
      </c>
      <c r="E199" s="273" t="s">
        <v>13194</v>
      </c>
      <c r="F199" s="273" t="s">
        <v>13185</v>
      </c>
      <c r="G199" s="273" t="s">
        <v>13741</v>
      </c>
      <c r="H199" s="304" t="s">
        <v>13742</v>
      </c>
      <c r="I199" s="612" t="str">
        <f>HYPERLINK("https://maps.google.com/?q=Ferragudo%20%E2%80%94%20Igreja%20Lagoa%20Portugal","👁 Ferragudo — Igreja")</f>
        <v>👁 Ferragudo — Igreja</v>
      </c>
    </row>
    <row r="200" spans="1:9" ht="85" customHeight="1" x14ac:dyDescent="0.35">
      <c r="A200" s="354">
        <v>32</v>
      </c>
      <c r="B200" s="277" t="s">
        <v>13743</v>
      </c>
      <c r="C200" s="278" t="s">
        <v>767</v>
      </c>
      <c r="D200" s="277" t="s">
        <v>7499</v>
      </c>
      <c r="E200" s="277" t="s">
        <v>13194</v>
      </c>
      <c r="F200" s="277" t="s">
        <v>13185</v>
      </c>
      <c r="G200" s="277" t="s">
        <v>13744</v>
      </c>
      <c r="H200" s="305" t="s">
        <v>13745</v>
      </c>
      <c r="I200" s="613" t="str">
        <f>HYPERLINK("https://maps.google.com/?q=Alcoutim%20(Castelo)%20Alcoutim%20Portugal","👁 Alcoutim (Castelo)")</f>
        <v>👁 Alcoutim (Castelo)</v>
      </c>
    </row>
    <row r="201" spans="1:9" ht="85" customHeight="1" x14ac:dyDescent="0.35">
      <c r="A201" s="348">
        <v>33</v>
      </c>
      <c r="B201" s="273" t="s">
        <v>13746</v>
      </c>
      <c r="C201" s="274" t="s">
        <v>767</v>
      </c>
      <c r="D201" s="273" t="s">
        <v>7499</v>
      </c>
      <c r="E201" s="273" t="s">
        <v>13198</v>
      </c>
      <c r="F201" s="273" t="s">
        <v>13185</v>
      </c>
      <c r="G201" s="273" t="s">
        <v>13747</v>
      </c>
      <c r="H201" s="304" t="s">
        <v>13748</v>
      </c>
      <c r="I201" s="612" t="str">
        <f>HYPERLINK("https://maps.google.com/?q=Miradouro%20da%20Ponta%20da%20Alcaria%20Alcoutim%20Portugal","👁 Miradouro da Ponta da Alcari")</f>
        <v>👁 Miradouro da Ponta da Alcari</v>
      </c>
    </row>
    <row r="202" spans="1:9" ht="85" customHeight="1" x14ac:dyDescent="0.35">
      <c r="A202" s="354">
        <v>34</v>
      </c>
      <c r="B202" s="277" t="s">
        <v>13749</v>
      </c>
      <c r="C202" s="278" t="s">
        <v>767</v>
      </c>
      <c r="D202" s="277" t="s">
        <v>2186</v>
      </c>
      <c r="E202" s="277" t="s">
        <v>13250</v>
      </c>
      <c r="F202" s="277" t="s">
        <v>13185</v>
      </c>
      <c r="G202" s="277" t="s">
        <v>13750</v>
      </c>
      <c r="H202" s="305" t="s">
        <v>13751</v>
      </c>
      <c r="I202" s="613" t="str">
        <f>HYPERLINK("https://maps.google.com/?q=Paderne%20(Castelo)%20Albufeira%20Portugal","👁 Paderne (Castelo)")</f>
        <v>👁 Paderne (Castelo)</v>
      </c>
    </row>
    <row r="203" spans="1:9" ht="85" customHeight="1" x14ac:dyDescent="0.35">
      <c r="A203" s="348">
        <v>35</v>
      </c>
      <c r="B203" s="273" t="s">
        <v>13752</v>
      </c>
      <c r="C203" s="274" t="s">
        <v>767</v>
      </c>
      <c r="D203" s="273" t="s">
        <v>2180</v>
      </c>
      <c r="E203" s="273" t="s">
        <v>13194</v>
      </c>
      <c r="F203" s="273" t="s">
        <v>13185</v>
      </c>
      <c r="G203" s="273" t="s">
        <v>13520</v>
      </c>
      <c r="H203" s="304" t="s">
        <v>13753</v>
      </c>
      <c r="I203" s="612" t="str">
        <f>HYPERLINK("https://maps.google.com/?q=Silves%20(Muralhas%20do%20Castelo)%20Silves%20Portugal","👁 Silves (Muralhas do Castelo)")</f>
        <v>👁 Silves (Muralhas do Castelo)</v>
      </c>
    </row>
    <row r="204" spans="1:9" ht="85" customHeight="1" x14ac:dyDescent="0.35">
      <c r="A204" s="354">
        <v>36</v>
      </c>
      <c r="B204" s="277" t="s">
        <v>13754</v>
      </c>
      <c r="C204" s="278" t="s">
        <v>767</v>
      </c>
      <c r="D204" s="277" t="s">
        <v>5761</v>
      </c>
      <c r="E204" s="277" t="s">
        <v>13503</v>
      </c>
      <c r="F204" s="277" t="s">
        <v>13185</v>
      </c>
      <c r="G204" s="277" t="s">
        <v>13755</v>
      </c>
      <c r="H204" s="305" t="s">
        <v>13756</v>
      </c>
      <c r="I204" s="613" t="str">
        <f>HYPERLINK("https://maps.google.com/?q=Cabo%20de%20Santa%20Maria%20%E2%80%94%20Ilha%20Deserta%20Faro%20Portugal","👁 Cabo de Santa Maria — Ilha D")</f>
        <v>👁 Cabo de Santa Maria — Ilha D</v>
      </c>
    </row>
    <row r="205" spans="1:9" ht="85" customHeight="1" x14ac:dyDescent="0.35">
      <c r="A205" s="348">
        <v>37</v>
      </c>
      <c r="B205" s="273" t="s">
        <v>13757</v>
      </c>
      <c r="C205" s="274" t="s">
        <v>767</v>
      </c>
      <c r="D205" s="273" t="s">
        <v>2164</v>
      </c>
      <c r="E205" s="273" t="s">
        <v>13194</v>
      </c>
      <c r="F205" s="273" t="s">
        <v>13185</v>
      </c>
      <c r="G205" s="273" t="s">
        <v>13758</v>
      </c>
      <c r="H205" s="304" t="s">
        <v>13759</v>
      </c>
      <c r="I205" s="612" t="str">
        <f>HYPERLINK("https://maps.google.com/?q=Azilheira%20(Serra)%20Monchique%20Portugal","👁 Azilheira (Serra)")</f>
        <v>👁 Azilheira (Serra)</v>
      </c>
    </row>
    <row r="206" spans="1:9" ht="22" customHeight="1" x14ac:dyDescent="0.35">
      <c r="A206" s="1475" t="s">
        <v>13326</v>
      </c>
      <c r="B206" s="1313"/>
      <c r="C206" s="1313"/>
      <c r="D206" s="1313"/>
      <c r="E206" s="1313"/>
      <c r="F206" s="1313"/>
      <c r="G206" s="1313"/>
      <c r="H206" s="1313"/>
    </row>
    <row r="207" spans="1:9" ht="85" customHeight="1" x14ac:dyDescent="0.35">
      <c r="A207" s="358">
        <v>1</v>
      </c>
      <c r="B207" s="259" t="s">
        <v>13760</v>
      </c>
      <c r="C207" s="260" t="s">
        <v>836</v>
      </c>
      <c r="D207" s="259" t="s">
        <v>1276</v>
      </c>
      <c r="E207" s="259" t="s">
        <v>13184</v>
      </c>
      <c r="F207" s="259" t="s">
        <v>13185</v>
      </c>
      <c r="G207" s="259" t="s">
        <v>13761</v>
      </c>
      <c r="H207" s="305" t="s">
        <v>13432</v>
      </c>
      <c r="I207" s="606" t="str">
        <f>HYPERLINK("https://maps.google.com/?q=Miradouro%20da%20Serrinha%20%E2%80%94%20Tomar%20Tomar%20Portugal","👁 Miradouro da Serrinha — Toma")</f>
        <v>👁 Miradouro da Serrinha — Toma</v>
      </c>
    </row>
    <row r="208" spans="1:9" ht="22" customHeight="1" x14ac:dyDescent="0.35">
      <c r="A208" s="1477" t="s">
        <v>13657</v>
      </c>
      <c r="B208" s="1313"/>
      <c r="C208" s="1313"/>
      <c r="D208" s="1313"/>
      <c r="E208" s="1313"/>
      <c r="F208" s="1313"/>
      <c r="G208" s="1313"/>
      <c r="H208" s="1313"/>
    </row>
    <row r="209" spans="1:9" ht="85" customHeight="1" x14ac:dyDescent="0.35">
      <c r="A209" s="348">
        <v>1</v>
      </c>
      <c r="B209" s="273" t="s">
        <v>13762</v>
      </c>
      <c r="C209" s="274" t="s">
        <v>767</v>
      </c>
      <c r="D209" s="273" t="s">
        <v>2186</v>
      </c>
      <c r="E209" s="273" t="s">
        <v>13198</v>
      </c>
      <c r="F209" s="273" t="s">
        <v>13190</v>
      </c>
      <c r="G209" s="273" t="s">
        <v>13763</v>
      </c>
      <c r="H209" s="304" t="s">
        <v>13764</v>
      </c>
      <c r="I209" s="612" t="str">
        <f>HYPERLINK("https://maps.google.com/?q=Ermida%20de%20N.%20Sra.%20da%20Orada%20Albufeira%20Portugal","👁 Ermida de N. Sra. da Orada")</f>
        <v>👁 Ermida de N. Sra. da Orada</v>
      </c>
    </row>
    <row r="210" spans="1:9" ht="85" customHeight="1" x14ac:dyDescent="0.35">
      <c r="A210" s="354">
        <v>2</v>
      </c>
      <c r="B210" s="277" t="s">
        <v>13765</v>
      </c>
      <c r="C210" s="278" t="s">
        <v>767</v>
      </c>
      <c r="D210" s="277" t="s">
        <v>2205</v>
      </c>
      <c r="E210" s="277" t="s">
        <v>13198</v>
      </c>
      <c r="F210" s="277" t="s">
        <v>13185</v>
      </c>
      <c r="G210" s="277" t="s">
        <v>13766</v>
      </c>
      <c r="H210" s="305" t="s">
        <v>13767</v>
      </c>
      <c r="I210" s="613" t="str">
        <f>HYPERLINK("https://maps.google.com/?q=Fortaleza%20de%20Santa%20Catarina%20Portim%C3%A3o%20Portugal","👁 Fortaleza de Santa Catarina")</f>
        <v>👁 Fortaleza de Santa Catarina</v>
      </c>
    </row>
    <row r="211" spans="1:9" ht="22" customHeight="1" x14ac:dyDescent="0.35">
      <c r="A211" s="1370" t="s">
        <v>13768</v>
      </c>
      <c r="B211" s="1313"/>
      <c r="C211" s="1313"/>
      <c r="D211" s="1313"/>
      <c r="E211" s="1313"/>
      <c r="F211" s="1313"/>
      <c r="G211" s="1313"/>
      <c r="H211" s="1313"/>
    </row>
    <row r="212" spans="1:9" ht="85" customHeight="1" x14ac:dyDescent="0.35">
      <c r="A212" s="350">
        <v>1</v>
      </c>
      <c r="B212" s="251" t="s">
        <v>13769</v>
      </c>
      <c r="C212" s="252" t="s">
        <v>524</v>
      </c>
      <c r="D212" s="251" t="s">
        <v>2219</v>
      </c>
      <c r="E212" s="251" t="s">
        <v>13184</v>
      </c>
      <c r="F212" s="251" t="s">
        <v>13185</v>
      </c>
      <c r="G212" s="251" t="s">
        <v>13770</v>
      </c>
      <c r="H212" s="304" t="s">
        <v>13771</v>
      </c>
      <c r="I212" s="616" t="str">
        <f>HYPERLINK("https://maps.google.com/?q=Cabo%20Gir%C3%A3o%20Funchal%20Portugal","👁 Cabo Girão")</f>
        <v>👁 Cabo Girão</v>
      </c>
    </row>
    <row r="213" spans="1:9" ht="85" customHeight="1" x14ac:dyDescent="0.35">
      <c r="A213" s="356">
        <v>2</v>
      </c>
      <c r="B213" s="254" t="s">
        <v>13772</v>
      </c>
      <c r="C213" s="255" t="s">
        <v>524</v>
      </c>
      <c r="D213" s="254" t="s">
        <v>2219</v>
      </c>
      <c r="E213" s="254" t="s">
        <v>13198</v>
      </c>
      <c r="F213" s="254" t="s">
        <v>13190</v>
      </c>
      <c r="G213" s="254" t="s">
        <v>13383</v>
      </c>
      <c r="H213" s="305" t="s">
        <v>13773</v>
      </c>
      <c r="I213" s="617" t="str">
        <f>HYPERLINK("https://maps.google.com/?q=Pico%20dos%20Barcelos%20Funchal%20Portugal","👁 Pico dos Barcelos")</f>
        <v>👁 Pico dos Barcelos</v>
      </c>
    </row>
    <row r="214" spans="1:9" ht="85" customHeight="1" x14ac:dyDescent="0.35">
      <c r="A214" s="350">
        <v>3</v>
      </c>
      <c r="B214" s="251" t="s">
        <v>13774</v>
      </c>
      <c r="C214" s="252" t="s">
        <v>524</v>
      </c>
      <c r="D214" s="251" t="s">
        <v>2219</v>
      </c>
      <c r="E214" s="251" t="s">
        <v>13184</v>
      </c>
      <c r="F214" s="251" t="s">
        <v>13185</v>
      </c>
      <c r="G214" s="251" t="s">
        <v>13775</v>
      </c>
      <c r="H214" s="304" t="s">
        <v>13771</v>
      </c>
      <c r="I214" s="616" t="str">
        <f>HYPERLINK("https://maps.google.com/?q=Miradouro%20das%20Neves%20Funchal%20Portugal","👁 Miradouro das Neves")</f>
        <v>👁 Miradouro das Neves</v>
      </c>
    </row>
    <row r="215" spans="1:9" ht="85" customHeight="1" x14ac:dyDescent="0.35">
      <c r="A215" s="356">
        <v>4</v>
      </c>
      <c r="B215" s="254" t="s">
        <v>13776</v>
      </c>
      <c r="C215" s="255" t="s">
        <v>524</v>
      </c>
      <c r="D215" s="254" t="s">
        <v>13777</v>
      </c>
      <c r="E215" s="254" t="s">
        <v>13194</v>
      </c>
      <c r="F215" s="254" t="s">
        <v>13185</v>
      </c>
      <c r="G215" s="254" t="s">
        <v>13778</v>
      </c>
      <c r="H215" s="305" t="s">
        <v>13779</v>
      </c>
      <c r="I215" s="617" t="str">
        <f>HYPERLINK("https://maps.google.com/?q=Cristo%20Rei%20do%20Garajau%20Cani%C3%A7o%20Portugal","👁 Cristo Rei do Garajau")</f>
        <v>👁 Cristo Rei do Garajau</v>
      </c>
    </row>
    <row r="216" spans="1:9" ht="85" customHeight="1" x14ac:dyDescent="0.35">
      <c r="A216" s="350">
        <v>5</v>
      </c>
      <c r="B216" s="251" t="s">
        <v>13780</v>
      </c>
      <c r="C216" s="252" t="s">
        <v>524</v>
      </c>
      <c r="D216" s="251" t="s">
        <v>2219</v>
      </c>
      <c r="E216" s="251" t="s">
        <v>13194</v>
      </c>
      <c r="F216" s="251" t="s">
        <v>13199</v>
      </c>
      <c r="G216" s="251" t="s">
        <v>13385</v>
      </c>
      <c r="H216" s="304" t="s">
        <v>13781</v>
      </c>
      <c r="I216" s="616" t="str">
        <f>HYPERLINK("https://maps.google.com/?q=Monte%20%E2%80%94%20Largo%20da%20Igreja%20Funchal%20Portugal","👁 Monte — Largo da Igreja")</f>
        <v>👁 Monte — Largo da Igreja</v>
      </c>
    </row>
    <row r="217" spans="1:9" ht="85" customHeight="1" x14ac:dyDescent="0.35">
      <c r="A217" s="356">
        <v>6</v>
      </c>
      <c r="B217" s="254" t="s">
        <v>5983</v>
      </c>
      <c r="C217" s="255" t="s">
        <v>524</v>
      </c>
      <c r="D217" s="254" t="s">
        <v>3678</v>
      </c>
      <c r="E217" s="254" t="s">
        <v>13194</v>
      </c>
      <c r="F217" s="254" t="s">
        <v>13185</v>
      </c>
      <c r="G217" s="254" t="s">
        <v>13207</v>
      </c>
      <c r="H217" s="305" t="s">
        <v>13782</v>
      </c>
      <c r="I217" s="617" t="str">
        <f>HYPERLINK("https://maps.google.com/?q=Eira%20do%20Serrado%20Curral%20das%20Freiras%20Portugal","👁 Eira do Serrado")</f>
        <v>👁 Eira do Serrado</v>
      </c>
    </row>
    <row r="218" spans="1:9" ht="85" customHeight="1" x14ac:dyDescent="0.35">
      <c r="A218" s="350">
        <v>7</v>
      </c>
      <c r="B218" s="251" t="s">
        <v>5803</v>
      </c>
      <c r="C218" s="252" t="s">
        <v>524</v>
      </c>
      <c r="D218" s="251" t="s">
        <v>2219</v>
      </c>
      <c r="E218" s="251" t="s">
        <v>13203</v>
      </c>
      <c r="F218" s="251" t="s">
        <v>13185</v>
      </c>
      <c r="G218" s="251" t="s">
        <v>13783</v>
      </c>
      <c r="H218" s="304" t="s">
        <v>13784</v>
      </c>
      <c r="I218" s="616" t="str">
        <f>HYPERLINK("https://maps.google.com/?q=Pico%20do%20Arieiro%20Funchal%20Portugal","👁 Pico do Arieiro")</f>
        <v>👁 Pico do Arieiro</v>
      </c>
    </row>
    <row r="219" spans="1:9" ht="85" customHeight="1" x14ac:dyDescent="0.35">
      <c r="A219" s="356">
        <v>8</v>
      </c>
      <c r="B219" s="254" t="s">
        <v>10640</v>
      </c>
      <c r="C219" s="255" t="s">
        <v>524</v>
      </c>
      <c r="D219" s="254" t="s">
        <v>2219</v>
      </c>
      <c r="E219" s="254" t="s">
        <v>13785</v>
      </c>
      <c r="F219" s="254" t="s">
        <v>13185</v>
      </c>
      <c r="G219" s="254" t="s">
        <v>13786</v>
      </c>
      <c r="H219" s="305" t="s">
        <v>13787</v>
      </c>
      <c r="I219" s="617" t="str">
        <f>HYPERLINK("https://maps.google.com/?q=Pico%20Ruivo%20Funchal%20Portugal","👁 Pico Ruivo")</f>
        <v>👁 Pico Ruivo</v>
      </c>
    </row>
    <row r="220" spans="1:9" ht="85" customHeight="1" x14ac:dyDescent="0.35">
      <c r="A220" s="350">
        <v>9</v>
      </c>
      <c r="B220" s="251" t="s">
        <v>13788</v>
      </c>
      <c r="C220" s="252" t="s">
        <v>524</v>
      </c>
      <c r="D220" s="251" t="s">
        <v>2219</v>
      </c>
      <c r="E220" s="251" t="s">
        <v>13194</v>
      </c>
      <c r="F220" s="251" t="s">
        <v>13185</v>
      </c>
      <c r="G220" s="251" t="s">
        <v>13789</v>
      </c>
      <c r="H220" s="304" t="s">
        <v>13790</v>
      </c>
      <c r="I220" s="616" t="str">
        <f>HYPERLINK("https://maps.google.com/?q=Bica%20da%20Cana%20Funchal%20Portugal","👁 Bica da Cana")</f>
        <v>👁 Bica da Cana</v>
      </c>
    </row>
    <row r="221" spans="1:9" ht="85" customHeight="1" x14ac:dyDescent="0.35">
      <c r="A221" s="356">
        <v>10</v>
      </c>
      <c r="B221" s="254" t="s">
        <v>13791</v>
      </c>
      <c r="C221" s="255" t="s">
        <v>524</v>
      </c>
      <c r="D221" s="254" t="s">
        <v>2219</v>
      </c>
      <c r="E221" s="254" t="s">
        <v>13184</v>
      </c>
      <c r="F221" s="254" t="s">
        <v>13185</v>
      </c>
      <c r="G221" s="254" t="s">
        <v>13792</v>
      </c>
      <c r="H221" s="305" t="s">
        <v>13771</v>
      </c>
      <c r="I221" s="617" t="str">
        <f>HYPERLINK("https://maps.google.com/?q=Lombo%20do%20Mouro%20Funchal%20Portugal","👁 Lombo do Mouro")</f>
        <v>👁 Lombo do Mouro</v>
      </c>
    </row>
    <row r="222" spans="1:9" ht="85" customHeight="1" x14ac:dyDescent="0.35">
      <c r="A222" s="350">
        <v>11</v>
      </c>
      <c r="B222" s="251" t="s">
        <v>13793</v>
      </c>
      <c r="C222" s="252" t="s">
        <v>524</v>
      </c>
      <c r="D222" s="251" t="s">
        <v>2219</v>
      </c>
      <c r="E222" s="251" t="s">
        <v>13198</v>
      </c>
      <c r="F222" s="251" t="s">
        <v>13199</v>
      </c>
      <c r="G222" s="251" t="s">
        <v>13247</v>
      </c>
      <c r="H222" s="304" t="s">
        <v>13794</v>
      </c>
      <c r="I222" s="616" t="str">
        <f>HYPERLINK("https://maps.google.com/?q=Miradouro%20do%20Pared%C3%A3o%20Funchal%20Portugal","👁 Miradouro do Paredão")</f>
        <v>👁 Miradouro do Paredão</v>
      </c>
    </row>
    <row r="223" spans="1:9" ht="85" customHeight="1" x14ac:dyDescent="0.35">
      <c r="A223" s="356">
        <v>12</v>
      </c>
      <c r="B223" s="254" t="s">
        <v>13795</v>
      </c>
      <c r="C223" s="255" t="s">
        <v>524</v>
      </c>
      <c r="D223" s="254" t="s">
        <v>2219</v>
      </c>
      <c r="E223" s="254" t="s">
        <v>13250</v>
      </c>
      <c r="F223" s="254" t="s">
        <v>13185</v>
      </c>
      <c r="G223" s="254" t="s">
        <v>13796</v>
      </c>
      <c r="H223" s="305" t="s">
        <v>13797</v>
      </c>
      <c r="I223" s="617" t="str">
        <f>HYPERLINK("https://maps.google.com/?q=Ninho%20da%20Manta%20Funchal%20Portugal","👁 Ninho da Manta")</f>
        <v>👁 Ninho da Manta</v>
      </c>
    </row>
    <row r="224" spans="1:9" ht="85" customHeight="1" x14ac:dyDescent="0.35">
      <c r="A224" s="350">
        <v>13</v>
      </c>
      <c r="B224" s="251" t="s">
        <v>13798</v>
      </c>
      <c r="C224" s="252" t="s">
        <v>524</v>
      </c>
      <c r="D224" s="251" t="s">
        <v>8728</v>
      </c>
      <c r="E224" s="251" t="s">
        <v>13184</v>
      </c>
      <c r="F224" s="251" t="s">
        <v>13185</v>
      </c>
      <c r="G224" s="251" t="s">
        <v>13799</v>
      </c>
      <c r="H224" s="304" t="s">
        <v>13800</v>
      </c>
      <c r="I224" s="616" t="str">
        <f>HYPERLINK("https://maps.google.com/?q=V%C3%A9u%20da%20Noiva%20(Seixal)%20S%C3%A3o%20Vicente%20Portugal","👁 Véu da Noiva (Seixal)")</f>
        <v>👁 Véu da Noiva (Seixal)</v>
      </c>
    </row>
    <row r="225" spans="1:9" ht="85" customHeight="1" x14ac:dyDescent="0.35">
      <c r="A225" s="356">
        <v>14</v>
      </c>
      <c r="B225" s="254" t="s">
        <v>6009</v>
      </c>
      <c r="C225" s="255" t="s">
        <v>524</v>
      </c>
      <c r="D225" s="254" t="s">
        <v>5999</v>
      </c>
      <c r="E225" s="254" t="s">
        <v>13198</v>
      </c>
      <c r="F225" s="254" t="s">
        <v>13185</v>
      </c>
      <c r="G225" s="254" t="s">
        <v>13801</v>
      </c>
      <c r="H225" s="305" t="s">
        <v>13802</v>
      </c>
      <c r="I225" s="617" t="str">
        <f>HYPERLINK("https://maps.google.com/?q=Ribeira%20da%20Janela%20Porto%20Moniz%20Portugal","👁 Ribeira da Janela")</f>
        <v>👁 Ribeira da Janela</v>
      </c>
    </row>
    <row r="226" spans="1:9" ht="85" customHeight="1" x14ac:dyDescent="0.35">
      <c r="A226" s="350">
        <v>15</v>
      </c>
      <c r="B226" s="251" t="s">
        <v>13803</v>
      </c>
      <c r="C226" s="252" t="s">
        <v>524</v>
      </c>
      <c r="D226" s="251" t="s">
        <v>5988</v>
      </c>
      <c r="E226" s="251" t="s">
        <v>13194</v>
      </c>
      <c r="F226" s="251" t="s">
        <v>13185</v>
      </c>
      <c r="G226" s="251" t="s">
        <v>13804</v>
      </c>
      <c r="H226" s="304" t="s">
        <v>13805</v>
      </c>
      <c r="I226" s="616" t="str">
        <f>HYPERLINK("https://maps.google.com/?q=Rocha%20do%20Navio%20(Santana)%20Santana%20Portugal","👁 Rocha do Navio (Santana)")</f>
        <v>👁 Rocha do Navio (Santana)</v>
      </c>
    </row>
    <row r="227" spans="1:9" ht="85" customHeight="1" x14ac:dyDescent="0.35">
      <c r="A227" s="356">
        <v>16</v>
      </c>
      <c r="B227" s="254" t="s">
        <v>13806</v>
      </c>
      <c r="C227" s="255" t="s">
        <v>524</v>
      </c>
      <c r="D227" s="254" t="s">
        <v>2848</v>
      </c>
      <c r="E227" s="254" t="s">
        <v>13184</v>
      </c>
      <c r="F227" s="254" t="s">
        <v>13185</v>
      </c>
      <c r="G227" s="254" t="s">
        <v>13344</v>
      </c>
      <c r="H227" s="305" t="s">
        <v>13807</v>
      </c>
      <c r="I227" s="617" t="str">
        <f>HYPERLINK("https://maps.google.com/?q=Cabanas%20(S%C3%A3o%20Jorge)%20S%C3%A3o%20Jorge%20Portugal","👁 Cabanas (São Jorge)")</f>
        <v>👁 Cabanas (São Jorge)</v>
      </c>
    </row>
    <row r="228" spans="1:9" ht="85" customHeight="1" x14ac:dyDescent="0.35">
      <c r="A228" s="350">
        <v>17</v>
      </c>
      <c r="B228" s="251" t="s">
        <v>13808</v>
      </c>
      <c r="C228" s="252" t="s">
        <v>524</v>
      </c>
      <c r="D228" s="251" t="s">
        <v>2823</v>
      </c>
      <c r="E228" s="251" t="s">
        <v>13198</v>
      </c>
      <c r="F228" s="251" t="s">
        <v>13185</v>
      </c>
      <c r="G228" s="251" t="s">
        <v>13558</v>
      </c>
      <c r="H228" s="304" t="s">
        <v>13809</v>
      </c>
      <c r="I228" s="616" t="str">
        <f>HYPERLINK("https://maps.google.com/?q=Guindaste%20(Faial)%20Faial%20Portugal","👁 Guindaste (Faial)")</f>
        <v>👁 Guindaste (Faial)</v>
      </c>
    </row>
    <row r="229" spans="1:9" ht="85" customHeight="1" x14ac:dyDescent="0.35">
      <c r="A229" s="356">
        <v>18</v>
      </c>
      <c r="B229" s="254" t="s">
        <v>13810</v>
      </c>
      <c r="C229" s="255" t="s">
        <v>524</v>
      </c>
      <c r="D229" s="254" t="s">
        <v>2219</v>
      </c>
      <c r="E229" s="254" t="s">
        <v>13184</v>
      </c>
      <c r="F229" s="254" t="s">
        <v>13185</v>
      </c>
      <c r="G229" s="254" t="s">
        <v>13661</v>
      </c>
      <c r="H229" s="305" t="s">
        <v>13771</v>
      </c>
      <c r="I229" s="617" t="str">
        <f>HYPERLINK("https://maps.google.com/?q=Ponta%20do%20Rosto%20Funchal%20Portugal","👁 Ponta do Rosto")</f>
        <v>👁 Ponta do Rosto</v>
      </c>
    </row>
    <row r="230" spans="1:9" ht="85" customHeight="1" x14ac:dyDescent="0.35">
      <c r="A230" s="350">
        <v>19</v>
      </c>
      <c r="B230" s="251" t="s">
        <v>13811</v>
      </c>
      <c r="C230" s="252" t="s">
        <v>524</v>
      </c>
      <c r="D230" s="251" t="s">
        <v>2219</v>
      </c>
      <c r="E230" s="251" t="s">
        <v>13184</v>
      </c>
      <c r="F230" s="251" t="s">
        <v>13185</v>
      </c>
      <c r="G230" s="251" t="s">
        <v>13812</v>
      </c>
      <c r="H230" s="304" t="s">
        <v>13771</v>
      </c>
      <c r="I230" s="616" t="str">
        <f>HYPERLINK("https://maps.google.com/?q=Ba%C3%ADa%20dAbra%20Funchal%20Portugal","👁 Baía d'Abra")</f>
        <v>👁 Baía d'Abra</v>
      </c>
    </row>
    <row r="231" spans="1:9" ht="85" customHeight="1" x14ac:dyDescent="0.35">
      <c r="A231" s="356">
        <v>20</v>
      </c>
      <c r="B231" s="254" t="s">
        <v>13813</v>
      </c>
      <c r="C231" s="255" t="s">
        <v>524</v>
      </c>
      <c r="D231" s="254" t="s">
        <v>10009</v>
      </c>
      <c r="E231" s="254" t="s">
        <v>13184</v>
      </c>
      <c r="F231" s="254" t="s">
        <v>13185</v>
      </c>
      <c r="G231" s="254" t="s">
        <v>13814</v>
      </c>
      <c r="H231" s="305" t="s">
        <v>13815</v>
      </c>
      <c r="I231" s="617" t="str">
        <f>HYPERLINK("https://maps.google.com/?q=Pico%20do%20Facho%20(Machico)%20Machico%20Portugal","👁 Pico do Facho (Machico)")</f>
        <v>👁 Pico do Facho (Machico)</v>
      </c>
    </row>
    <row r="232" spans="1:9" ht="85" customHeight="1" x14ac:dyDescent="0.35">
      <c r="A232" s="350">
        <v>21</v>
      </c>
      <c r="B232" s="251" t="s">
        <v>13816</v>
      </c>
      <c r="C232" s="252" t="s">
        <v>524</v>
      </c>
      <c r="D232" s="251" t="s">
        <v>2219</v>
      </c>
      <c r="E232" s="251" t="s">
        <v>13184</v>
      </c>
      <c r="F232" s="251" t="s">
        <v>13185</v>
      </c>
      <c r="G232" s="251" t="s">
        <v>13817</v>
      </c>
      <c r="H232" s="304" t="s">
        <v>13771</v>
      </c>
      <c r="I232" s="616" t="str">
        <f>HYPERLINK("https://maps.google.com/?q=Miradouro%20da%20Portela%20Funchal%20Portugal","👁 Miradouro da Portela")</f>
        <v>👁 Miradouro da Portela</v>
      </c>
    </row>
    <row r="233" spans="1:9" ht="85" customHeight="1" x14ac:dyDescent="0.35">
      <c r="A233" s="356">
        <v>22</v>
      </c>
      <c r="B233" s="254" t="s">
        <v>13818</v>
      </c>
      <c r="C233" s="255" t="s">
        <v>524</v>
      </c>
      <c r="D233" s="254" t="s">
        <v>8733</v>
      </c>
      <c r="E233" s="254" t="s">
        <v>13198</v>
      </c>
      <c r="F233" s="254" t="s">
        <v>13185</v>
      </c>
      <c r="G233" s="254" t="s">
        <v>13819</v>
      </c>
      <c r="H233" s="305" t="s">
        <v>13820</v>
      </c>
      <c r="I233" s="617" t="str">
        <f>HYPERLINK("https://maps.google.com/?q=Farol%20da%20Ponta%20do%20Pargo%20Calheta%20Portugal","👁 Farol da Ponta do Pargo")</f>
        <v>👁 Farol da Ponta do Pargo</v>
      </c>
    </row>
    <row r="234" spans="1:9" ht="85" customHeight="1" x14ac:dyDescent="0.35">
      <c r="A234" s="350">
        <v>23</v>
      </c>
      <c r="B234" s="251" t="s">
        <v>13821</v>
      </c>
      <c r="C234" s="252" t="s">
        <v>524</v>
      </c>
      <c r="D234" s="251" t="s">
        <v>8733</v>
      </c>
      <c r="E234" s="251" t="s">
        <v>13198</v>
      </c>
      <c r="F234" s="251" t="s">
        <v>13185</v>
      </c>
      <c r="G234" s="251" t="s">
        <v>13822</v>
      </c>
      <c r="H234" s="304" t="s">
        <v>13820</v>
      </c>
      <c r="I234" s="616" t="str">
        <f>HYPERLINK("https://maps.google.com/?q=Fio%20(Ponta%20do%20Pargo)%20Calheta%20Portugal","👁 Fio (Ponta do Pargo)")</f>
        <v>👁 Fio (Ponta do Pargo)</v>
      </c>
    </row>
    <row r="235" spans="1:9" ht="85" customHeight="1" x14ac:dyDescent="0.35">
      <c r="A235" s="356">
        <v>24</v>
      </c>
      <c r="B235" s="254" t="s">
        <v>13823</v>
      </c>
      <c r="C235" s="255" t="s">
        <v>524</v>
      </c>
      <c r="D235" s="254" t="s">
        <v>8733</v>
      </c>
      <c r="E235" s="254" t="s">
        <v>13198</v>
      </c>
      <c r="F235" s="254" t="s">
        <v>13185</v>
      </c>
      <c r="G235" s="254" t="s">
        <v>13824</v>
      </c>
      <c r="H235" s="305" t="s">
        <v>13820</v>
      </c>
      <c r="I235" s="617" t="str">
        <f>HYPERLINK("https://maps.google.com/?q=Massapez%20(Jardim%20do%20Mar)%20Calheta%20Portugal","👁 Massapez (Jardim do Mar)")</f>
        <v>👁 Massapez (Jardim do Mar)</v>
      </c>
    </row>
    <row r="236" spans="1:9" ht="85" customHeight="1" x14ac:dyDescent="0.35">
      <c r="A236" s="350">
        <v>25</v>
      </c>
      <c r="B236" s="251" t="s">
        <v>13825</v>
      </c>
      <c r="C236" s="252" t="s">
        <v>524</v>
      </c>
      <c r="D236" s="251" t="s">
        <v>7921</v>
      </c>
      <c r="E236" s="251" t="s">
        <v>13184</v>
      </c>
      <c r="F236" s="251" t="s">
        <v>13185</v>
      </c>
      <c r="G236" s="251" t="s">
        <v>13315</v>
      </c>
      <c r="H236" s="304" t="s">
        <v>13826</v>
      </c>
      <c r="I236" s="616" t="str">
        <f>HYPERLINK("https://maps.google.com/?q=Lugar%20de%20Baixo%20Ponta%20do%20Sol%20Portugal","👁 Lugar de Baixo")</f>
        <v>👁 Lugar de Baixo</v>
      </c>
    </row>
    <row r="237" spans="1:9" ht="85" customHeight="1" x14ac:dyDescent="0.35">
      <c r="A237" s="356">
        <v>26</v>
      </c>
      <c r="B237" s="254" t="s">
        <v>13827</v>
      </c>
      <c r="C237" s="255" t="s">
        <v>524</v>
      </c>
      <c r="D237" s="254" t="s">
        <v>2219</v>
      </c>
      <c r="E237" s="254" t="s">
        <v>13424</v>
      </c>
      <c r="F237" s="254" t="s">
        <v>13199</v>
      </c>
      <c r="G237" s="254" t="s">
        <v>13828</v>
      </c>
      <c r="H237" s="305" t="s">
        <v>13829</v>
      </c>
      <c r="I237" s="617" t="str">
        <f>HYPERLINK("https://maps.google.com/?q=Raba%C3%A7al%20%E2%80%94%20Cascata%20do%20Risco%20Funchal%20Portugal","👁 Rabaçal — Cascata do Risco")</f>
        <v>👁 Rabaçal — Cascata do Risco</v>
      </c>
    </row>
    <row r="238" spans="1:9" ht="85" customHeight="1" x14ac:dyDescent="0.35">
      <c r="A238" s="350">
        <v>27</v>
      </c>
      <c r="B238" s="251" t="s">
        <v>13830</v>
      </c>
      <c r="C238" s="252" t="s">
        <v>524</v>
      </c>
      <c r="D238" s="251" t="s">
        <v>2219</v>
      </c>
      <c r="E238" s="251" t="s">
        <v>13194</v>
      </c>
      <c r="F238" s="251" t="s">
        <v>13831</v>
      </c>
      <c r="G238" s="251" t="s">
        <v>13832</v>
      </c>
      <c r="H238" s="304" t="s">
        <v>13790</v>
      </c>
      <c r="I238" s="616" t="str">
        <f>HYPERLINK("https://maps.google.com/?q=Fanal%20Funchal%20Portugal","👁 Fanal")</f>
        <v>👁 Fanal</v>
      </c>
    </row>
    <row r="239" spans="1:9" ht="85" customHeight="1" x14ac:dyDescent="0.35">
      <c r="A239" s="356">
        <v>28</v>
      </c>
      <c r="B239" s="254" t="s">
        <v>13833</v>
      </c>
      <c r="C239" s="255" t="s">
        <v>524</v>
      </c>
      <c r="D239" s="254" t="s">
        <v>2219</v>
      </c>
      <c r="E239" s="254" t="s">
        <v>13198</v>
      </c>
      <c r="F239" s="254" t="s">
        <v>13199</v>
      </c>
      <c r="G239" s="254" t="s">
        <v>13834</v>
      </c>
      <c r="H239" s="305" t="s">
        <v>13794</v>
      </c>
      <c r="I239" s="617" t="str">
        <f>HYPERLINK("https://maps.google.com/?q=Fonte%20do%20Bispo%20Funchal%20Portugal","👁 Fonte do Bispo")</f>
        <v>👁 Fonte do Bispo</v>
      </c>
    </row>
    <row r="240" spans="1:9" ht="85" customHeight="1" x14ac:dyDescent="0.35">
      <c r="A240" s="350">
        <v>29</v>
      </c>
      <c r="B240" s="251" t="s">
        <v>13835</v>
      </c>
      <c r="C240" s="252" t="s">
        <v>524</v>
      </c>
      <c r="D240" s="251" t="s">
        <v>7530</v>
      </c>
      <c r="E240" s="251" t="s">
        <v>13194</v>
      </c>
      <c r="F240" s="251" t="s">
        <v>13199</v>
      </c>
      <c r="G240" s="251" t="s">
        <v>13836</v>
      </c>
      <c r="H240" s="304" t="s">
        <v>13837</v>
      </c>
      <c r="I240" s="616" t="str">
        <f>HYPERLINK("https://maps.google.com/?q=Pico%20do%20Castelo%20(Porto%20Santo)%20Porto%20Santo%20Portugal","👁 Pico do Castelo (Porto Santo")</f>
        <v>👁 Pico do Castelo (Porto Santo</v>
      </c>
    </row>
    <row r="241" spans="1:9" ht="85" customHeight="1" x14ac:dyDescent="0.35">
      <c r="A241" s="356">
        <v>30</v>
      </c>
      <c r="B241" s="254" t="s">
        <v>13838</v>
      </c>
      <c r="C241" s="255" t="s">
        <v>524</v>
      </c>
      <c r="D241" s="254" t="s">
        <v>7530</v>
      </c>
      <c r="E241" s="254" t="s">
        <v>13184</v>
      </c>
      <c r="F241" s="254" t="s">
        <v>13185</v>
      </c>
      <c r="G241" s="254" t="s">
        <v>13344</v>
      </c>
      <c r="H241" s="305" t="s">
        <v>13839</v>
      </c>
      <c r="I241" s="617" t="str">
        <f>HYPERLINK("https://maps.google.com/?q=Pico%20das%20Flores%20(Porto%20Santo)%20Porto%20Santo%20Portugal","👁 Pico das Flores (Porto Santo")</f>
        <v>👁 Pico das Flores (Porto Santo</v>
      </c>
    </row>
    <row r="242" spans="1:9" ht="85" customHeight="1" x14ac:dyDescent="0.35">
      <c r="A242" s="350">
        <v>31</v>
      </c>
      <c r="B242" s="251" t="s">
        <v>13840</v>
      </c>
      <c r="C242" s="252" t="s">
        <v>524</v>
      </c>
      <c r="D242" s="251" t="s">
        <v>7530</v>
      </c>
      <c r="E242" s="251" t="s">
        <v>13184</v>
      </c>
      <c r="F242" s="251" t="s">
        <v>13185</v>
      </c>
      <c r="G242" s="251" t="s">
        <v>13558</v>
      </c>
      <c r="H242" s="304" t="s">
        <v>13839</v>
      </c>
      <c r="I242" s="616" t="str">
        <f>HYPERLINK("https://maps.google.com/?q=Miradouro%20da%20Portela%20(Porto%20Santo)%20Porto%20Santo%20Portugal","👁 Miradouro da Portela (Porto ")</f>
        <v xml:space="preserve">👁 Miradouro da Portela (Porto </v>
      </c>
    </row>
    <row r="243" spans="1:9" ht="85" customHeight="1" x14ac:dyDescent="0.35">
      <c r="A243" s="356">
        <v>32</v>
      </c>
      <c r="B243" s="254" t="s">
        <v>13841</v>
      </c>
      <c r="C243" s="255" t="s">
        <v>524</v>
      </c>
      <c r="D243" s="254" t="s">
        <v>7530</v>
      </c>
      <c r="E243" s="254" t="s">
        <v>13198</v>
      </c>
      <c r="F243" s="254" t="s">
        <v>13185</v>
      </c>
      <c r="G243" s="254" t="s">
        <v>13842</v>
      </c>
      <c r="H243" s="305" t="s">
        <v>13843</v>
      </c>
      <c r="I243" s="617" t="str">
        <f>HYPERLINK("https://maps.google.com/?q=Fonte%20da%20Areia%20(Porto%20Santo)%20Porto%20Santo%20Portugal","👁 Fonte da Areia (Porto Santo)")</f>
        <v>👁 Fonte da Areia (Porto Santo)</v>
      </c>
    </row>
    <row r="244" spans="1:9" ht="85" customHeight="1" x14ac:dyDescent="0.35">
      <c r="A244" s="350">
        <v>33</v>
      </c>
      <c r="B244" s="251" t="s">
        <v>13844</v>
      </c>
      <c r="C244" s="252" t="s">
        <v>524</v>
      </c>
      <c r="D244" s="251" t="s">
        <v>7530</v>
      </c>
      <c r="E244" s="251" t="s">
        <v>13232</v>
      </c>
      <c r="F244" s="251" t="s">
        <v>13185</v>
      </c>
      <c r="G244" s="251" t="s">
        <v>13411</v>
      </c>
      <c r="H244" s="304" t="s">
        <v>13845</v>
      </c>
      <c r="I244" s="616" t="str">
        <f>HYPERLINK("https://maps.google.com/?q=Zimbralinho%20(Porto%20Santo)%20Porto%20Santo%20Portugal","👁 Zimbralinho (Porto Santo)")</f>
        <v>👁 Zimbralinho (Porto Santo)</v>
      </c>
    </row>
    <row r="245" spans="1:9" ht="85" customHeight="1" x14ac:dyDescent="0.35">
      <c r="A245" s="356">
        <v>34</v>
      </c>
      <c r="B245" s="254" t="s">
        <v>13846</v>
      </c>
      <c r="C245" s="255" t="s">
        <v>524</v>
      </c>
      <c r="D245" s="254" t="s">
        <v>7530</v>
      </c>
      <c r="E245" s="254" t="s">
        <v>13184</v>
      </c>
      <c r="F245" s="254" t="s">
        <v>13185</v>
      </c>
      <c r="G245" s="254" t="s">
        <v>13403</v>
      </c>
      <c r="H245" s="305" t="s">
        <v>13839</v>
      </c>
      <c r="I245" s="617" t="str">
        <f>HYPERLINK("https://maps.google.com/?q=Ponta%20da%20Calheta%20(Porto%20Santo)%20Porto%20Santo%20Portugal","👁 Ponta da Calheta (Porto Sant")</f>
        <v>👁 Ponta da Calheta (Porto Sant</v>
      </c>
    </row>
    <row r="246" spans="1:9" ht="85" customHeight="1" x14ac:dyDescent="0.35">
      <c r="A246" s="350">
        <v>35</v>
      </c>
      <c r="B246" s="251" t="s">
        <v>13847</v>
      </c>
      <c r="C246" s="252" t="s">
        <v>524</v>
      </c>
      <c r="D246" s="251" t="s">
        <v>2219</v>
      </c>
      <c r="E246" s="251" t="s">
        <v>13232</v>
      </c>
      <c r="F246" s="251" t="s">
        <v>13848</v>
      </c>
      <c r="G246" s="251" t="s">
        <v>13849</v>
      </c>
      <c r="H246" s="304" t="s">
        <v>13850</v>
      </c>
      <c r="I246" s="616" t="str">
        <f>HYPERLINK("https://maps.google.com/?q=Assobiadores%20(Pa%C3%BAl%20da%20Serra)%20Funchal%20Portugal","👁 Assobiadores (Paúl da Serra)")</f>
        <v>👁 Assobiadores (Paúl da Serra)</v>
      </c>
    </row>
    <row r="247" spans="1:9" ht="85" customHeight="1" x14ac:dyDescent="0.35">
      <c r="A247" s="356">
        <v>36</v>
      </c>
      <c r="B247" s="254" t="s">
        <v>13851</v>
      </c>
      <c r="C247" s="255" t="s">
        <v>524</v>
      </c>
      <c r="D247" s="254" t="s">
        <v>8728</v>
      </c>
      <c r="E247" s="254" t="s">
        <v>13194</v>
      </c>
      <c r="F247" s="254" t="s">
        <v>13199</v>
      </c>
      <c r="G247" s="254" t="s">
        <v>13366</v>
      </c>
      <c r="H247" s="305" t="s">
        <v>13852</v>
      </c>
      <c r="I247" s="617" t="str">
        <f>HYPERLINK("https://maps.google.com/?q=Ch%C3%A3o%20da%20Ribeira%20(Seixal)%20S%C3%A3o%20Vicente%20Portugal","👁 Chão da Ribeira (Seixal)")</f>
        <v>👁 Chão da Ribeira (Seixal)</v>
      </c>
    </row>
    <row r="248" spans="1:9" ht="85" customHeight="1" x14ac:dyDescent="0.35">
      <c r="A248" s="350">
        <v>37</v>
      </c>
      <c r="B248" s="251" t="s">
        <v>13853</v>
      </c>
      <c r="C248" s="252" t="s">
        <v>524</v>
      </c>
      <c r="D248" s="251" t="s">
        <v>2848</v>
      </c>
      <c r="E248" s="251" t="s">
        <v>13198</v>
      </c>
      <c r="F248" s="251" t="s">
        <v>13185</v>
      </c>
      <c r="G248" s="251" t="s">
        <v>13854</v>
      </c>
      <c r="H248" s="304" t="s">
        <v>13855</v>
      </c>
      <c r="I248" s="616" t="str">
        <f>HYPERLINK("https://maps.google.com/?q=S%C3%A3o%20Crist%C3%B3v%C3%A3o%20(Arco%20de%20S.%20Jorge)%20S%C3%A3o%20Jorge%20Portugal","👁 São Cristóvão (Arco de S. Jo")</f>
        <v>👁 São Cristóvão (Arco de S. Jo</v>
      </c>
    </row>
    <row r="249" spans="1:9" ht="85" customHeight="1" x14ac:dyDescent="0.35">
      <c r="A249" s="356">
        <v>38</v>
      </c>
      <c r="B249" s="254" t="s">
        <v>13856</v>
      </c>
      <c r="C249" s="255" t="s">
        <v>524</v>
      </c>
      <c r="D249" s="254" t="s">
        <v>7530</v>
      </c>
      <c r="E249" s="254" t="s">
        <v>13194</v>
      </c>
      <c r="F249" s="254" t="s">
        <v>13185</v>
      </c>
      <c r="G249" s="254" t="s">
        <v>13857</v>
      </c>
      <c r="H249" s="305" t="s">
        <v>13858</v>
      </c>
      <c r="I249" s="617" t="str">
        <f>HYPERLINK("https://maps.google.com/?q=Morgadiho%20(Porto%20Santo)%20Porto%20Santo%20Portugal","👁 Morgadiho (Porto Santo)")</f>
        <v>👁 Morgadiho (Porto Santo)</v>
      </c>
    </row>
    <row r="250" spans="1:9" ht="85" customHeight="1" x14ac:dyDescent="0.35">
      <c r="A250" s="350">
        <v>39</v>
      </c>
      <c r="B250" s="251" t="s">
        <v>13859</v>
      </c>
      <c r="C250" s="252" t="s">
        <v>524</v>
      </c>
      <c r="D250" s="251" t="s">
        <v>2823</v>
      </c>
      <c r="E250" s="251" t="s">
        <v>13860</v>
      </c>
      <c r="F250" s="251" t="s">
        <v>13185</v>
      </c>
      <c r="G250" s="251" t="s">
        <v>13861</v>
      </c>
      <c r="H250" s="304" t="s">
        <v>13862</v>
      </c>
      <c r="I250" s="616" t="str">
        <f>HYPERLINK("https://maps.google.com/?q=Penha%20d%C3%81guia%20(Topo)%20Faial%20Portugal","👁 Penha d'Águia (Topo)")</f>
        <v>👁 Penha d'Águia (Topo)</v>
      </c>
    </row>
    <row r="251" spans="1:9" ht="85" customHeight="1" x14ac:dyDescent="0.35">
      <c r="A251" s="356">
        <v>40</v>
      </c>
      <c r="B251" s="254" t="s">
        <v>13863</v>
      </c>
      <c r="C251" s="255" t="s">
        <v>524</v>
      </c>
      <c r="D251" s="254" t="s">
        <v>2219</v>
      </c>
      <c r="E251" s="254" t="s">
        <v>13232</v>
      </c>
      <c r="F251" s="254" t="s">
        <v>13831</v>
      </c>
      <c r="G251" s="254" t="s">
        <v>13857</v>
      </c>
      <c r="H251" s="305" t="s">
        <v>13850</v>
      </c>
      <c r="I251" s="617" t="str">
        <f>HYPERLINK("https://maps.google.com/?q=Assobiadores%20II%20Funchal%20Portugal","👁 Assobiadores II")</f>
        <v>👁 Assobiadores II</v>
      </c>
    </row>
    <row r="252" spans="1:9" ht="22" customHeight="1" x14ac:dyDescent="0.35">
      <c r="A252" s="1369" t="s">
        <v>13864</v>
      </c>
      <c r="B252" s="1313"/>
      <c r="C252" s="1313"/>
      <c r="D252" s="1313"/>
      <c r="E252" s="1313"/>
      <c r="F252" s="1313"/>
      <c r="G252" s="1313"/>
      <c r="H252" s="1313"/>
    </row>
    <row r="253" spans="1:9" ht="85" customHeight="1" x14ac:dyDescent="0.35">
      <c r="A253" s="344">
        <v>1</v>
      </c>
      <c r="B253" s="281" t="s">
        <v>13865</v>
      </c>
      <c r="C253" s="282" t="s">
        <v>522</v>
      </c>
      <c r="D253" s="281" t="s">
        <v>2815</v>
      </c>
      <c r="E253" s="281" t="s">
        <v>13184</v>
      </c>
      <c r="F253" s="281" t="s">
        <v>13185</v>
      </c>
      <c r="G253" s="281" t="s">
        <v>13866</v>
      </c>
      <c r="H253" s="304" t="s">
        <v>13867</v>
      </c>
      <c r="I253" s="614" t="str">
        <f>HYPERLINK("https://maps.google.com/?q=Miradouro%20da%20Vista%20do%20Rei%20(Sete%20Cidades)%20S%C3%A3o%20Miguel%20Portugal","👁 Miradouro da Vista do Rei (S")</f>
        <v>👁 Miradouro da Vista do Rei (S</v>
      </c>
    </row>
    <row r="254" spans="1:9" ht="85" customHeight="1" x14ac:dyDescent="0.35">
      <c r="A254" s="342">
        <v>2</v>
      </c>
      <c r="B254" s="284" t="s">
        <v>13868</v>
      </c>
      <c r="C254" s="367" t="s">
        <v>522</v>
      </c>
      <c r="D254" s="284" t="s">
        <v>2815</v>
      </c>
      <c r="E254" s="284" t="s">
        <v>13869</v>
      </c>
      <c r="F254" s="284" t="s">
        <v>13190</v>
      </c>
      <c r="G254" s="284" t="s">
        <v>13870</v>
      </c>
      <c r="H254" s="305" t="s">
        <v>13871</v>
      </c>
      <c r="I254" s="615" t="str">
        <f>HYPERLINK("https://maps.google.com/?q=Miradouro%20da%20Grota%20do%20Inferno%20S%C3%A3o%20Miguel%20Portugal","👁 Miradouro da Grota do Infern")</f>
        <v>👁 Miradouro da Grota do Infern</v>
      </c>
    </row>
    <row r="255" spans="1:9" ht="85" customHeight="1" x14ac:dyDescent="0.35">
      <c r="A255" s="344">
        <v>3</v>
      </c>
      <c r="B255" s="281" t="s">
        <v>13872</v>
      </c>
      <c r="C255" s="282" t="s">
        <v>522</v>
      </c>
      <c r="D255" s="281" t="s">
        <v>2815</v>
      </c>
      <c r="E255" s="281" t="s">
        <v>13184</v>
      </c>
      <c r="F255" s="281" t="s">
        <v>13185</v>
      </c>
      <c r="G255" s="281" t="s">
        <v>13634</v>
      </c>
      <c r="H255" s="304" t="s">
        <v>13867</v>
      </c>
      <c r="I255" s="614" t="str">
        <f>HYPERLINK("https://maps.google.com/?q=Miradouro%20do%20Pico%20do%20Ferro%20(Furnas)%20S%C3%A3o%20Miguel%20Portugal","👁 Miradouro do Pico do Ferro (")</f>
        <v>👁 Miradouro do Pico do Ferro (</v>
      </c>
    </row>
    <row r="256" spans="1:9" ht="85" customHeight="1" x14ac:dyDescent="0.35">
      <c r="A256" s="342">
        <v>4</v>
      </c>
      <c r="B256" s="284" t="s">
        <v>13873</v>
      </c>
      <c r="C256" s="367" t="s">
        <v>522</v>
      </c>
      <c r="D256" s="284" t="s">
        <v>2815</v>
      </c>
      <c r="E256" s="284" t="s">
        <v>13184</v>
      </c>
      <c r="F256" s="284" t="s">
        <v>13185</v>
      </c>
      <c r="G256" s="284" t="s">
        <v>13874</v>
      </c>
      <c r="H256" s="305" t="s">
        <v>13867</v>
      </c>
      <c r="I256" s="615" t="str">
        <f>HYPERLINK("https://maps.google.com/?q=Miradouro%20de%20Santa%20Iria%20S%C3%A3o%20Miguel%20Portugal","👁 Miradouro de Santa Iria")</f>
        <v>👁 Miradouro de Santa Iria</v>
      </c>
    </row>
    <row r="257" spans="1:9" ht="85" customHeight="1" x14ac:dyDescent="0.35">
      <c r="A257" s="344">
        <v>5</v>
      </c>
      <c r="B257" s="281" t="s">
        <v>13875</v>
      </c>
      <c r="C257" s="282" t="s">
        <v>522</v>
      </c>
      <c r="D257" s="281" t="s">
        <v>2815</v>
      </c>
      <c r="E257" s="281" t="s">
        <v>13198</v>
      </c>
      <c r="F257" s="281" t="s">
        <v>13185</v>
      </c>
      <c r="G257" s="281" t="s">
        <v>13876</v>
      </c>
      <c r="H257" s="304" t="s">
        <v>13877</v>
      </c>
      <c r="I257" s="614" t="str">
        <f>HYPERLINK("https://maps.google.com/?q=Miradouro%20da%20Ponta%20do%20Sossego%20S%C3%A3o%20Miguel%20Portugal","👁 Miradouro da Ponta do Sosseg")</f>
        <v>👁 Miradouro da Ponta do Sosseg</v>
      </c>
    </row>
    <row r="258" spans="1:9" ht="85" customHeight="1" x14ac:dyDescent="0.35">
      <c r="A258" s="342">
        <v>6</v>
      </c>
      <c r="B258" s="284" t="s">
        <v>13878</v>
      </c>
      <c r="C258" s="367" t="s">
        <v>522</v>
      </c>
      <c r="D258" s="284" t="s">
        <v>2815</v>
      </c>
      <c r="E258" s="284" t="s">
        <v>13184</v>
      </c>
      <c r="F258" s="284" t="s">
        <v>13185</v>
      </c>
      <c r="G258" s="284" t="s">
        <v>13879</v>
      </c>
      <c r="H258" s="305" t="s">
        <v>13867</v>
      </c>
      <c r="I258" s="615" t="str">
        <f>HYPERLINK("https://maps.google.com/?q=Miradouro%20do%20Pico%20do%20Carv%C3%A3o%20S%C3%A3o%20Miguel%20Portugal","👁 Miradouro do Pico do Carvão")</f>
        <v>👁 Miradouro do Pico do Carvão</v>
      </c>
    </row>
    <row r="259" spans="1:9" ht="85" customHeight="1" x14ac:dyDescent="0.35">
      <c r="A259" s="344">
        <v>7</v>
      </c>
      <c r="B259" s="281" t="s">
        <v>13880</v>
      </c>
      <c r="C259" s="282" t="s">
        <v>522</v>
      </c>
      <c r="D259" s="281" t="s">
        <v>2815</v>
      </c>
      <c r="E259" s="281" t="s">
        <v>13184</v>
      </c>
      <c r="F259" s="281" t="s">
        <v>13185</v>
      </c>
      <c r="G259" s="281" t="s">
        <v>13329</v>
      </c>
      <c r="H259" s="304" t="s">
        <v>13867</v>
      </c>
      <c r="I259" s="614" t="str">
        <f>HYPERLINK("https://maps.google.com/?q=Miradouro%20da%20Lagoa%20do%20Fogo%20S%C3%A3o%20Miguel%20Portugal","👁 Miradouro da Lagoa do Fogo")</f>
        <v>👁 Miradouro da Lagoa do Fogo</v>
      </c>
    </row>
    <row r="260" spans="1:9" ht="85" customHeight="1" x14ac:dyDescent="0.35">
      <c r="A260" s="342">
        <v>8</v>
      </c>
      <c r="B260" s="284" t="s">
        <v>13522</v>
      </c>
      <c r="C260" s="367" t="s">
        <v>522</v>
      </c>
      <c r="D260" s="284" t="s">
        <v>2815</v>
      </c>
      <c r="E260" s="284" t="s">
        <v>13184</v>
      </c>
      <c r="F260" s="284" t="s">
        <v>13185</v>
      </c>
      <c r="G260" s="284" t="s">
        <v>13881</v>
      </c>
      <c r="H260" s="305" t="s">
        <v>13867</v>
      </c>
      <c r="I260" s="615" t="str">
        <f>HYPERLINK("https://maps.google.com/?q=Miradouro%20do%20Salto%20do%20Cavalo%20S%C3%A3o%20Miguel%20Portugal","👁 Miradouro do Salto do Cavalo")</f>
        <v>👁 Miradouro do Salto do Cavalo</v>
      </c>
    </row>
    <row r="261" spans="1:9" ht="85" customHeight="1" x14ac:dyDescent="0.35">
      <c r="A261" s="344">
        <v>9</v>
      </c>
      <c r="B261" s="281" t="s">
        <v>13882</v>
      </c>
      <c r="C261" s="282" t="s">
        <v>522</v>
      </c>
      <c r="D261" s="281" t="s">
        <v>2815</v>
      </c>
      <c r="E261" s="281" t="s">
        <v>13194</v>
      </c>
      <c r="F261" s="281" t="s">
        <v>13185</v>
      </c>
      <c r="G261" s="281" t="s">
        <v>13883</v>
      </c>
      <c r="H261" s="304" t="s">
        <v>13884</v>
      </c>
      <c r="I261" s="614" t="str">
        <f>HYPERLINK("https://maps.google.com/?q=Miradouro%20da%20Vigia%20das%20Baleias%20(Capelas)%20S%C3%A3o%20Miguel%20Portugal","👁 Miradouro da Vigia das Balei")</f>
        <v>👁 Miradouro da Vigia das Balei</v>
      </c>
    </row>
    <row r="262" spans="1:9" ht="85" customHeight="1" x14ac:dyDescent="0.35">
      <c r="A262" s="342">
        <v>10</v>
      </c>
      <c r="B262" s="284" t="s">
        <v>13885</v>
      </c>
      <c r="C262" s="367" t="s">
        <v>522</v>
      </c>
      <c r="D262" s="284" t="s">
        <v>2815</v>
      </c>
      <c r="E262" s="284" t="s">
        <v>13232</v>
      </c>
      <c r="F262" s="284" t="s">
        <v>13185</v>
      </c>
      <c r="G262" s="284" t="s">
        <v>13366</v>
      </c>
      <c r="H262" s="305" t="s">
        <v>13886</v>
      </c>
      <c r="I262" s="615" t="str">
        <f>HYPERLINK("https://maps.google.com/?q=Miradouro%20das%20Cumeeiras%20S%C3%A3o%20Miguel%20Portugal","👁 Miradouro das Cumeeiras")</f>
        <v>👁 Miradouro das Cumeeiras</v>
      </c>
    </row>
    <row r="263" spans="1:9" ht="85" customHeight="1" x14ac:dyDescent="0.35">
      <c r="A263" s="344">
        <v>11</v>
      </c>
      <c r="B263" s="281" t="s">
        <v>13887</v>
      </c>
      <c r="C263" s="282" t="s">
        <v>522</v>
      </c>
      <c r="D263" s="281" t="s">
        <v>2841</v>
      </c>
      <c r="E263" s="281" t="s">
        <v>13184</v>
      </c>
      <c r="F263" s="281" t="s">
        <v>13185</v>
      </c>
      <c r="G263" s="281" t="s">
        <v>13888</v>
      </c>
      <c r="H263" s="304" t="s">
        <v>13889</v>
      </c>
      <c r="I263" s="614" t="str">
        <f>HYPERLINK("https://maps.google.com/?q=Serra%20do%20Cume%20(Terceira)%20Terceira%20Portugal","👁 Serra do Cume (Terceira)")</f>
        <v>👁 Serra do Cume (Terceira)</v>
      </c>
    </row>
    <row r="264" spans="1:9" ht="85" customHeight="1" x14ac:dyDescent="0.35">
      <c r="A264" s="342">
        <v>12</v>
      </c>
      <c r="B264" s="284" t="s">
        <v>13890</v>
      </c>
      <c r="C264" s="367" t="s">
        <v>522</v>
      </c>
      <c r="D264" s="284" t="s">
        <v>2841</v>
      </c>
      <c r="E264" s="284" t="s">
        <v>13891</v>
      </c>
      <c r="F264" s="284" t="s">
        <v>13199</v>
      </c>
      <c r="G264" s="284" t="s">
        <v>13892</v>
      </c>
      <c r="H264" s="305" t="s">
        <v>13893</v>
      </c>
      <c r="I264" s="615" t="str">
        <f>HYPERLINK("https://maps.google.com/?q=Miradouro%20do%20Monte%20Brasil%20(Terceira)%20Terceira%20Portugal","👁 Miradouro do Monte Brasil (T")</f>
        <v>👁 Miradouro do Monte Brasil (T</v>
      </c>
    </row>
    <row r="265" spans="1:9" ht="85" customHeight="1" x14ac:dyDescent="0.35">
      <c r="A265" s="344">
        <v>13</v>
      </c>
      <c r="B265" s="281" t="s">
        <v>13894</v>
      </c>
      <c r="C265" s="282" t="s">
        <v>522</v>
      </c>
      <c r="D265" s="281" t="s">
        <v>2833</v>
      </c>
      <c r="E265" s="281" t="s">
        <v>13250</v>
      </c>
      <c r="F265" s="281" t="s">
        <v>13199</v>
      </c>
      <c r="G265" s="281" t="s">
        <v>13663</v>
      </c>
      <c r="H265" s="304" t="s">
        <v>13895</v>
      </c>
      <c r="I265" s="614" t="str">
        <f>HYPERLINK("https://maps.google.com/?q=Miradouro%20da%20Ribeira%20do%20Ferreiro%20(Flores)%20Flores%20Portugal","👁 Miradouro da Ribeira do Ferr")</f>
        <v>👁 Miradouro da Ribeira do Ferr</v>
      </c>
    </row>
    <row r="266" spans="1:9" ht="85" customHeight="1" x14ac:dyDescent="0.35">
      <c r="A266" s="342">
        <v>14</v>
      </c>
      <c r="B266" s="284" t="s">
        <v>895</v>
      </c>
      <c r="C266" s="367" t="s">
        <v>522</v>
      </c>
      <c r="D266" s="284" t="s">
        <v>2823</v>
      </c>
      <c r="E266" s="284" t="s">
        <v>13198</v>
      </c>
      <c r="F266" s="284" t="s">
        <v>13185</v>
      </c>
      <c r="G266" s="284" t="s">
        <v>13896</v>
      </c>
      <c r="H266" s="305" t="s">
        <v>13897</v>
      </c>
      <c r="I266" s="615" t="str">
        <f>HYPERLINK("https://maps.google.com/?q=Caldeira%20do%20Faial%20Faial%20Portugal","👁 Caldeira do Faial")</f>
        <v>👁 Caldeira do Faial</v>
      </c>
    </row>
    <row r="267" spans="1:9" ht="85" customHeight="1" x14ac:dyDescent="0.35">
      <c r="A267" s="344">
        <v>15</v>
      </c>
      <c r="B267" s="281" t="s">
        <v>13898</v>
      </c>
      <c r="C267" s="282" t="s">
        <v>522</v>
      </c>
      <c r="D267" s="281" t="s">
        <v>2823</v>
      </c>
      <c r="E267" s="281" t="s">
        <v>13194</v>
      </c>
      <c r="F267" s="281" t="s">
        <v>13185</v>
      </c>
      <c r="G267" s="281" t="s">
        <v>13899</v>
      </c>
      <c r="H267" s="304" t="s">
        <v>13900</v>
      </c>
      <c r="I267" s="614" t="str">
        <f>HYPERLINK("https://maps.google.com/?q=Miradouro%20do%20Vulc%C3%A3o%20dos%20Capelinhos%20(Faial)%20Faial%20Portugal","👁 Miradouro do Vulcão dos Cape")</f>
        <v>👁 Miradouro do Vulcão dos Cape</v>
      </c>
    </row>
    <row r="268" spans="1:9" ht="85" customHeight="1" x14ac:dyDescent="0.35">
      <c r="A268" s="342">
        <v>16</v>
      </c>
      <c r="B268" s="284" t="s">
        <v>13901</v>
      </c>
      <c r="C268" s="367" t="s">
        <v>522</v>
      </c>
      <c r="D268" s="284" t="s">
        <v>2828</v>
      </c>
      <c r="E268" s="284" t="s">
        <v>13184</v>
      </c>
      <c r="F268" s="284" t="s">
        <v>13185</v>
      </c>
      <c r="G268" s="284" t="s">
        <v>13902</v>
      </c>
      <c r="H268" s="305" t="s">
        <v>13903</v>
      </c>
      <c r="I268" s="615" t="str">
        <f>HYPERLINK("https://maps.google.com/?q=Ponta%20da%20Ilha%20(Pico)%20Pico%20Portugal","👁 Ponta da Ilha (Pico)")</f>
        <v>👁 Ponta da Ilha (Pico)</v>
      </c>
    </row>
    <row r="269" spans="1:9" ht="85" customHeight="1" x14ac:dyDescent="0.35">
      <c r="A269" s="344">
        <v>17</v>
      </c>
      <c r="B269" s="281" t="s">
        <v>13904</v>
      </c>
      <c r="C269" s="282" t="s">
        <v>522</v>
      </c>
      <c r="D269" s="281" t="s">
        <v>2828</v>
      </c>
      <c r="E269" s="281" t="s">
        <v>13194</v>
      </c>
      <c r="F269" s="281" t="s">
        <v>13185</v>
      </c>
      <c r="G269" s="281" t="s">
        <v>13905</v>
      </c>
      <c r="H269" s="304" t="s">
        <v>13906</v>
      </c>
      <c r="I269" s="614" t="str">
        <f>HYPERLINK("https://maps.google.com/?q=Miradouro%20da%20Lagoa%20do%20Capit%C3%A3o%20(Pico)%20Pico%20Portugal","👁 Miradouro da Lagoa do Capitã")</f>
        <v>👁 Miradouro da Lagoa do Capitã</v>
      </c>
    </row>
    <row r="270" spans="1:9" ht="85" customHeight="1" x14ac:dyDescent="0.35">
      <c r="A270" s="342">
        <v>18</v>
      </c>
      <c r="B270" s="284" t="s">
        <v>13907</v>
      </c>
      <c r="C270" s="367" t="s">
        <v>522</v>
      </c>
      <c r="D270" s="284" t="s">
        <v>2848</v>
      </c>
      <c r="E270" s="284" t="s">
        <v>13184</v>
      </c>
      <c r="F270" s="284" t="s">
        <v>13185</v>
      </c>
      <c r="G270" s="284" t="s">
        <v>13908</v>
      </c>
      <c r="H270" s="305" t="s">
        <v>13909</v>
      </c>
      <c r="I270" s="615" t="str">
        <f>HYPERLINK("https://maps.google.com/?q=Miradouro%20da%20Faj%C3%A3%20dos%20Cubres%20(S.%20Jorge)%20S%C3%A3o%20Jorge%20Portugal","👁 Miradouro da Fajã dos Cubres")</f>
        <v>👁 Miradouro da Fajã dos Cubres</v>
      </c>
    </row>
    <row r="271" spans="1:9" ht="85" customHeight="1" x14ac:dyDescent="0.35">
      <c r="A271" s="344">
        <v>19</v>
      </c>
      <c r="B271" s="281" t="s">
        <v>13910</v>
      </c>
      <c r="C271" s="282" t="s">
        <v>522</v>
      </c>
      <c r="D271" s="281" t="s">
        <v>2848</v>
      </c>
      <c r="E271" s="281" t="s">
        <v>13424</v>
      </c>
      <c r="F271" s="281" t="s">
        <v>13185</v>
      </c>
      <c r="G271" s="281" t="s">
        <v>13911</v>
      </c>
      <c r="H271" s="304" t="s">
        <v>13912</v>
      </c>
      <c r="I271" s="614" t="str">
        <f>HYPERLINK("https://maps.google.com/?q=Pico%20da%20Esperan%C3%A7a%20(S.%20Jorge)%20S%C3%A3o%20Jorge%20Portugal","👁 Pico da Esperança (S. Jorge)")</f>
        <v>👁 Pico da Esperança (S. Jorge)</v>
      </c>
    </row>
    <row r="272" spans="1:9" ht="85" customHeight="1" x14ac:dyDescent="0.35">
      <c r="A272" s="342">
        <v>20</v>
      </c>
      <c r="B272" s="284" t="s">
        <v>13913</v>
      </c>
      <c r="C272" s="367" t="s">
        <v>522</v>
      </c>
      <c r="D272" s="284" t="s">
        <v>2837</v>
      </c>
      <c r="E272" s="284" t="s">
        <v>13198</v>
      </c>
      <c r="F272" s="284" t="s">
        <v>13185</v>
      </c>
      <c r="G272" s="284" t="s">
        <v>13914</v>
      </c>
      <c r="H272" s="305" t="s">
        <v>13915</v>
      </c>
      <c r="I272" s="615" t="str">
        <f>HYPERLINK("https://maps.google.com/?q=Caldeira%20da%20Graciosa%20Graciosa%20Portugal","👁 Caldeira da Graciosa")</f>
        <v>👁 Caldeira da Graciosa</v>
      </c>
    </row>
    <row r="273" spans="1:9" ht="85" customHeight="1" x14ac:dyDescent="0.35">
      <c r="A273" s="344">
        <v>21</v>
      </c>
      <c r="B273" s="281" t="s">
        <v>13916</v>
      </c>
      <c r="C273" s="282" t="s">
        <v>522</v>
      </c>
      <c r="D273" s="281" t="s">
        <v>2848</v>
      </c>
      <c r="E273" s="281" t="s">
        <v>13198</v>
      </c>
      <c r="F273" s="281" t="s">
        <v>13190</v>
      </c>
      <c r="G273" s="281" t="s">
        <v>13917</v>
      </c>
      <c r="H273" s="304" t="s">
        <v>13918</v>
      </c>
      <c r="I273" s="614" t="str">
        <f>HYPERLINK("https://maps.google.com/?q=Miradouro%20das%20Sete%20Fontes%20(S.%20Jorge)%20S%C3%A3o%20Jorge%20Portugal","👁 Miradouro das Sete Fontes (S")</f>
        <v>👁 Miradouro das Sete Fontes (S</v>
      </c>
    </row>
    <row r="274" spans="1:9" ht="85" customHeight="1" x14ac:dyDescent="0.35">
      <c r="A274" s="342">
        <v>22</v>
      </c>
      <c r="B274" s="284" t="s">
        <v>13919</v>
      </c>
      <c r="C274" s="367" t="s">
        <v>522</v>
      </c>
      <c r="D274" s="284" t="s">
        <v>2833</v>
      </c>
      <c r="E274" s="284" t="s">
        <v>13184</v>
      </c>
      <c r="F274" s="284" t="s">
        <v>13185</v>
      </c>
      <c r="G274" s="284" t="s">
        <v>13920</v>
      </c>
      <c r="H274" s="305" t="s">
        <v>13921</v>
      </c>
      <c r="I274" s="615" t="str">
        <f>HYPERLINK("https://maps.google.com/?q=Miradouro%20do%20Pico%20Longo%20(Flores)%20Flores%20Portugal","👁 Miradouro do Pico Longo (Flo")</f>
        <v>👁 Miradouro do Pico Longo (Flo</v>
      </c>
    </row>
    <row r="275" spans="1:9" ht="85" customHeight="1" x14ac:dyDescent="0.35">
      <c r="A275" s="344">
        <v>23</v>
      </c>
      <c r="B275" s="281" t="s">
        <v>13922</v>
      </c>
      <c r="C275" s="282" t="s">
        <v>522</v>
      </c>
      <c r="D275" s="281" t="s">
        <v>2833</v>
      </c>
      <c r="E275" s="281" t="s">
        <v>13184</v>
      </c>
      <c r="F275" s="281" t="s">
        <v>13185</v>
      </c>
      <c r="G275" s="281" t="s">
        <v>13923</v>
      </c>
      <c r="H275" s="304" t="s">
        <v>13921</v>
      </c>
      <c r="I275" s="614" t="str">
        <f>HYPERLINK("https://maps.google.com/?q=Miradouro%20da%20Rocha%20dos%20Bord%C3%B5es%20(Flores)%20Flores%20Portugal","👁 Miradouro da Rocha dos Bordõ")</f>
        <v>👁 Miradouro da Rocha dos Bordõ</v>
      </c>
    </row>
    <row r="276" spans="1:9" ht="85" customHeight="1" x14ac:dyDescent="0.35">
      <c r="A276" s="342">
        <v>24</v>
      </c>
      <c r="B276" s="284" t="s">
        <v>13924</v>
      </c>
      <c r="C276" s="367" t="s">
        <v>522</v>
      </c>
      <c r="D276" s="284" t="s">
        <v>2844</v>
      </c>
      <c r="E276" s="284" t="s">
        <v>13198</v>
      </c>
      <c r="F276" s="284" t="s">
        <v>13185</v>
      </c>
      <c r="G276" s="284" t="s">
        <v>13442</v>
      </c>
      <c r="H276" s="305" t="s">
        <v>13925</v>
      </c>
      <c r="I276" s="615" t="str">
        <f>HYPERLINK("https://maps.google.com/?q=Miradouro%20do%20Caldeir%C3%A3o%20(Corvo)%20Corvo%20Portugal","👁 Miradouro do Caldeirão (Corv")</f>
        <v>👁 Miradouro do Caldeirão (Corv</v>
      </c>
    </row>
    <row r="277" spans="1:9" ht="85" customHeight="1" x14ac:dyDescent="0.35">
      <c r="A277" s="344">
        <v>25</v>
      </c>
      <c r="B277" s="281" t="s">
        <v>13926</v>
      </c>
      <c r="C277" s="282" t="s">
        <v>522</v>
      </c>
      <c r="D277" s="281" t="s">
        <v>2850</v>
      </c>
      <c r="E277" s="281" t="s">
        <v>13184</v>
      </c>
      <c r="F277" s="281" t="s">
        <v>13185</v>
      </c>
      <c r="G277" s="281" t="s">
        <v>13927</v>
      </c>
      <c r="H277" s="304" t="s">
        <v>13928</v>
      </c>
      <c r="I277" s="614" t="str">
        <f>HYPERLINK("https://maps.google.com/?q=Miradouro%20de%20S%C3%A3o%20Louren%C3%A7o%20(S.%20Maria)%20Santa%20Maria%20Portugal","👁 Miradouro de São Lourenço (S")</f>
        <v>👁 Miradouro de São Lourenço (S</v>
      </c>
    </row>
    <row r="278" spans="1:9" ht="85" customHeight="1" x14ac:dyDescent="0.35">
      <c r="A278" s="342">
        <v>26</v>
      </c>
      <c r="B278" s="284" t="s">
        <v>13929</v>
      </c>
      <c r="C278" s="367" t="s">
        <v>522</v>
      </c>
      <c r="D278" s="284" t="s">
        <v>2850</v>
      </c>
      <c r="E278" s="284" t="s">
        <v>13198</v>
      </c>
      <c r="F278" s="284" t="s">
        <v>13185</v>
      </c>
      <c r="G278" s="284" t="s">
        <v>13896</v>
      </c>
      <c r="H278" s="305" t="s">
        <v>13930</v>
      </c>
      <c r="I278" s="615" t="str">
        <f>HYPERLINK("https://maps.google.com/?q=Miradouro%20do%20Pico%20do%20Facho%20(S.%20Maria)%20Santa%20Maria%20Portugal","👁 Miradouro do Pico do Facho (")</f>
        <v>👁 Miradouro do Pico do Facho (</v>
      </c>
    </row>
    <row r="279" spans="1:9" ht="85" customHeight="1" x14ac:dyDescent="0.35">
      <c r="A279" s="344">
        <v>27</v>
      </c>
      <c r="B279" s="281" t="s">
        <v>13931</v>
      </c>
      <c r="C279" s="282" t="s">
        <v>522</v>
      </c>
      <c r="D279" s="281" t="s">
        <v>2815</v>
      </c>
      <c r="E279" s="281" t="s">
        <v>13194</v>
      </c>
      <c r="F279" s="281" t="s">
        <v>13199</v>
      </c>
      <c r="G279" s="281" t="s">
        <v>13932</v>
      </c>
      <c r="H279" s="304" t="s">
        <v>13933</v>
      </c>
      <c r="I279" s="614" t="str">
        <f>HYPERLINK("https://maps.google.com/?q=Miradouro%20do%20Salto%20do%20Farinha%20(S.%20Miguel)%20S%C3%A3o%20Miguel%20Portugal","👁 Miradouro do Salto do Farinh")</f>
        <v>👁 Miradouro do Salto do Farinh</v>
      </c>
    </row>
    <row r="280" spans="1:9" ht="85" customHeight="1" x14ac:dyDescent="0.35">
      <c r="A280" s="342">
        <v>28</v>
      </c>
      <c r="B280" s="284" t="s">
        <v>13934</v>
      </c>
      <c r="C280" s="367" t="s">
        <v>522</v>
      </c>
      <c r="D280" s="284" t="s">
        <v>2815</v>
      </c>
      <c r="E280" s="284" t="s">
        <v>13198</v>
      </c>
      <c r="F280" s="284" t="s">
        <v>13190</v>
      </c>
      <c r="G280" s="284" t="s">
        <v>13935</v>
      </c>
      <c r="H280" s="305" t="s">
        <v>13936</v>
      </c>
      <c r="I280" s="615" t="str">
        <f>HYPERLINK("https://maps.google.com/?q=Miradouro%20da%20Ponta%20da%20Madrugada%20(S.%20Miguel)%20S%C3%A3o%20Miguel%20Portugal","👁 Miradouro da Ponta da Madrug")</f>
        <v>👁 Miradouro da Ponta da Madrug</v>
      </c>
    </row>
    <row r="281" spans="1:9" ht="85" customHeight="1" x14ac:dyDescent="0.35">
      <c r="A281" s="344">
        <v>29</v>
      </c>
      <c r="B281" s="281" t="s">
        <v>13937</v>
      </c>
      <c r="C281" s="282" t="s">
        <v>522</v>
      </c>
      <c r="D281" s="281" t="s">
        <v>2815</v>
      </c>
      <c r="E281" s="281" t="s">
        <v>13184</v>
      </c>
      <c r="F281" s="281" t="s">
        <v>13185</v>
      </c>
      <c r="G281" s="281" t="s">
        <v>13938</v>
      </c>
      <c r="H281" s="304" t="s">
        <v>13867</v>
      </c>
      <c r="I281" s="614" t="str">
        <f>HYPERLINK("https://maps.google.com/?q=Miradouro%20do%20Despe-te-que-suas%20(S.%20Miguel)%20S%C3%A3o%20Miguel%20Portugal","👁 Miradouro do Despe-te-que-su")</f>
        <v>👁 Miradouro do Despe-te-que-su</v>
      </c>
    </row>
    <row r="282" spans="1:9" ht="85" customHeight="1" x14ac:dyDescent="0.35">
      <c r="A282" s="342">
        <v>30</v>
      </c>
      <c r="B282" s="284" t="s">
        <v>13939</v>
      </c>
      <c r="C282" s="367" t="s">
        <v>522</v>
      </c>
      <c r="D282" s="284" t="s">
        <v>2841</v>
      </c>
      <c r="E282" s="284" t="s">
        <v>13184</v>
      </c>
      <c r="F282" s="284" t="s">
        <v>13185</v>
      </c>
      <c r="G282" s="284" t="s">
        <v>13940</v>
      </c>
      <c r="H282" s="305" t="s">
        <v>13889</v>
      </c>
      <c r="I282" s="615" t="str">
        <f>HYPERLINK("https://maps.google.com/?q=Miradouro%20da%20Serretinha%20(Terceira)%20Terceira%20Portugal","👁 Miradouro da Serretinha (Ter")</f>
        <v>👁 Miradouro da Serretinha (Ter</v>
      </c>
    </row>
    <row r="283" spans="1:9" ht="85" customHeight="1" x14ac:dyDescent="0.35">
      <c r="A283" s="344">
        <v>31</v>
      </c>
      <c r="B283" s="281" t="s">
        <v>13941</v>
      </c>
      <c r="C283" s="282" t="s">
        <v>522</v>
      </c>
      <c r="D283" s="281" t="s">
        <v>2833</v>
      </c>
      <c r="E283" s="281" t="s">
        <v>13198</v>
      </c>
      <c r="F283" s="281" t="s">
        <v>13185</v>
      </c>
      <c r="G283" s="281" t="s">
        <v>13488</v>
      </c>
      <c r="H283" s="304" t="s">
        <v>13942</v>
      </c>
      <c r="I283" s="614" t="str">
        <f>HYPERLINK("https://maps.google.com/?q=Miradouro%20da%20Alagoa%20(Flores)%20Flores%20Portugal","👁 Miradouro da Alagoa (Flores)")</f>
        <v>👁 Miradouro da Alagoa (Flores)</v>
      </c>
    </row>
    <row r="284" spans="1:9" ht="85" customHeight="1" x14ac:dyDescent="0.35">
      <c r="A284" s="342">
        <v>32</v>
      </c>
      <c r="B284" s="284" t="s">
        <v>13943</v>
      </c>
      <c r="C284" s="367" t="s">
        <v>522</v>
      </c>
      <c r="D284" s="284" t="s">
        <v>2833</v>
      </c>
      <c r="E284" s="284" t="s">
        <v>13184</v>
      </c>
      <c r="F284" s="284" t="s">
        <v>13185</v>
      </c>
      <c r="G284" s="284" t="s">
        <v>13944</v>
      </c>
      <c r="H284" s="305" t="s">
        <v>13921</v>
      </c>
      <c r="I284" s="615" t="str">
        <f>HYPERLINK("https://maps.google.com/?q=Miradouro%20da%20Faj%C3%A3%20de%20Lopo%20Vaz%20(Flores)%20Flores%20Portugal","👁 Miradouro da Fajã de Lopo Va")</f>
        <v>👁 Miradouro da Fajã de Lopo Va</v>
      </c>
    </row>
    <row r="285" spans="1:9" ht="85" customHeight="1" x14ac:dyDescent="0.35">
      <c r="A285" s="344">
        <v>33</v>
      </c>
      <c r="B285" s="281" t="s">
        <v>13945</v>
      </c>
      <c r="C285" s="282" t="s">
        <v>522</v>
      </c>
      <c r="D285" s="281" t="s">
        <v>2848</v>
      </c>
      <c r="E285" s="281" t="s">
        <v>13184</v>
      </c>
      <c r="F285" s="281" t="s">
        <v>13185</v>
      </c>
      <c r="G285" s="281" t="s">
        <v>13946</v>
      </c>
      <c r="H285" s="304" t="s">
        <v>13909</v>
      </c>
      <c r="I285" s="614" t="str">
        <f>HYPERLINK("https://maps.google.com/?q=Miradouro%20da%20Serra%20do%20Topo%20(S.%20Jorge)%20S%C3%A3o%20Jorge%20Portugal","👁 Miradouro da Serra do Topo (")</f>
        <v>👁 Miradouro da Serra do Topo (</v>
      </c>
    </row>
    <row r="286" spans="1:9" ht="85" customHeight="1" x14ac:dyDescent="0.35">
      <c r="A286" s="342">
        <v>34</v>
      </c>
      <c r="B286" s="284" t="s">
        <v>13947</v>
      </c>
      <c r="C286" s="367" t="s">
        <v>522</v>
      </c>
      <c r="D286" s="284" t="s">
        <v>2828</v>
      </c>
      <c r="E286" s="284" t="s">
        <v>13184</v>
      </c>
      <c r="F286" s="284" t="s">
        <v>13185</v>
      </c>
      <c r="G286" s="284" t="s">
        <v>13948</v>
      </c>
      <c r="H286" s="305" t="s">
        <v>13903</v>
      </c>
      <c r="I286" s="615" t="str">
        <f>HYPERLINK("https://maps.google.com/?q=Miradouro%20da%20Terra%20Alta%20(Pico)%20Pico%20Portugal","👁 Miradouro da Terra Alta (Pic")</f>
        <v>👁 Miradouro da Terra Alta (Pic</v>
      </c>
    </row>
    <row r="287" spans="1:9" ht="85" customHeight="1" x14ac:dyDescent="0.35">
      <c r="A287" s="344">
        <v>35</v>
      </c>
      <c r="B287" s="281" t="s">
        <v>13949</v>
      </c>
      <c r="C287" s="282" t="s">
        <v>522</v>
      </c>
      <c r="D287" s="281" t="s">
        <v>2823</v>
      </c>
      <c r="E287" s="281" t="s">
        <v>13184</v>
      </c>
      <c r="F287" s="281" t="s">
        <v>13185</v>
      </c>
      <c r="G287" s="281" t="s">
        <v>13950</v>
      </c>
      <c r="H287" s="304" t="s">
        <v>13951</v>
      </c>
      <c r="I287" s="614" t="str">
        <f>HYPERLINK("https://maps.google.com/?q=Miradouro%20de%20N.%20Sra.%20da%20Concei%C3%A7%C3%A3o%20(Faial)%20Faial%20Portugal","👁 Miradouro de N. Sra. da Conc")</f>
        <v>👁 Miradouro de N. Sra. da Conc</v>
      </c>
    </row>
    <row r="288" spans="1:9" ht="85" customHeight="1" x14ac:dyDescent="0.35">
      <c r="A288" s="342">
        <v>36</v>
      </c>
      <c r="B288" s="284" t="s">
        <v>13952</v>
      </c>
      <c r="C288" s="367" t="s">
        <v>522</v>
      </c>
      <c r="D288" s="284" t="s">
        <v>2848</v>
      </c>
      <c r="E288" s="284" t="s">
        <v>13198</v>
      </c>
      <c r="F288" s="284" t="s">
        <v>13185</v>
      </c>
      <c r="G288" s="284" t="s">
        <v>13953</v>
      </c>
      <c r="H288" s="305" t="s">
        <v>13954</v>
      </c>
      <c r="I288" s="615" t="str">
        <f>HYPERLINK("https://maps.google.com/?q=Miradouro%20das%20Manadas%20(S.%20Jorge)%20S%C3%A3o%20Jorge%20Portugal","👁 Miradouro das Manadas (S. Jo")</f>
        <v>👁 Miradouro das Manadas (S. Jo</v>
      </c>
    </row>
    <row r="289" spans="1:9" ht="85" customHeight="1" x14ac:dyDescent="0.35">
      <c r="A289" s="344">
        <v>37</v>
      </c>
      <c r="B289" s="281" t="s">
        <v>13955</v>
      </c>
      <c r="C289" s="282" t="s">
        <v>522</v>
      </c>
      <c r="D289" s="281" t="s">
        <v>2850</v>
      </c>
      <c r="E289" s="281" t="s">
        <v>13194</v>
      </c>
      <c r="F289" s="281" t="s">
        <v>13185</v>
      </c>
      <c r="G289" s="281" t="s">
        <v>13240</v>
      </c>
      <c r="H289" s="304" t="s">
        <v>13956</v>
      </c>
      <c r="I289" s="614" t="str">
        <f>HYPERLINK("https://maps.google.com/?q=Miradouro%20da%20Pedreira%20(S.%20Maria)%20Santa%20Maria%20Portugal","👁 Miradouro da Pedreira (S. Ma")</f>
        <v>👁 Miradouro da Pedreira (S. Ma</v>
      </c>
    </row>
    <row r="290" spans="1:9" ht="85" customHeight="1" x14ac:dyDescent="0.35">
      <c r="A290" s="342">
        <v>38</v>
      </c>
      <c r="B290" s="284" t="s">
        <v>13957</v>
      </c>
      <c r="C290" s="367" t="s">
        <v>522</v>
      </c>
      <c r="D290" s="284" t="s">
        <v>2837</v>
      </c>
      <c r="E290" s="284" t="s">
        <v>13194</v>
      </c>
      <c r="F290" s="284" t="s">
        <v>13185</v>
      </c>
      <c r="G290" s="284" t="s">
        <v>13958</v>
      </c>
      <c r="H290" s="305" t="s">
        <v>13959</v>
      </c>
      <c r="I290" s="615" t="str">
        <f>HYPERLINK("https://maps.google.com/?q=Miradouro%20da%20Grota%20do%20Enxofre%20(Graciosa)%20Graciosa%20Portugal","👁 Miradouro da Grota do Enxofr")</f>
        <v>👁 Miradouro da Grota do Enxofr</v>
      </c>
    </row>
    <row r="291" spans="1:9" ht="85" customHeight="1" x14ac:dyDescent="0.35">
      <c r="A291" s="344">
        <v>39</v>
      </c>
      <c r="B291" s="281" t="s">
        <v>13960</v>
      </c>
      <c r="C291" s="282" t="s">
        <v>522</v>
      </c>
      <c r="D291" s="281" t="s">
        <v>2823</v>
      </c>
      <c r="E291" s="281" t="s">
        <v>13232</v>
      </c>
      <c r="F291" s="281" t="s">
        <v>13185</v>
      </c>
      <c r="G291" s="281" t="s">
        <v>13961</v>
      </c>
      <c r="H291" s="304" t="s">
        <v>13962</v>
      </c>
      <c r="I291" s="614" t="str">
        <f>HYPERLINK("https://maps.google.com/?q=Miradouro%20do%20Morro%20de%20Castelo%20Branco%20(Faial)%20Faial%20Portugal","👁 Miradouro do Morro de Castel")</f>
        <v>👁 Miradouro do Morro de Castel</v>
      </c>
    </row>
    <row r="292" spans="1:9" ht="85" customHeight="1" x14ac:dyDescent="0.35">
      <c r="A292" s="342">
        <v>40</v>
      </c>
      <c r="B292" s="284" t="s">
        <v>13963</v>
      </c>
      <c r="C292" s="367" t="s">
        <v>522</v>
      </c>
      <c r="D292" s="284" t="s">
        <v>2828</v>
      </c>
      <c r="E292" s="284" t="s">
        <v>13198</v>
      </c>
      <c r="F292" s="284" t="s">
        <v>13185</v>
      </c>
      <c r="G292" s="284" t="s">
        <v>13964</v>
      </c>
      <c r="H292" s="305" t="s">
        <v>13965</v>
      </c>
      <c r="I292" s="615" t="str">
        <f>HYPERLINK("https://maps.google.com/?q=Miradouro%20da%20Vigia%20da%20Baleia%20(Pico)%20Pico%20Portugal","👁 Miradouro da Vigia da Baleia")</f>
        <v>👁 Miradouro da Vigia da Baleia</v>
      </c>
    </row>
    <row r="293" spans="1:9" ht="22" customHeight="1" x14ac:dyDescent="0.35">
      <c r="A293" s="1477" t="s">
        <v>13657</v>
      </c>
      <c r="B293" s="1313"/>
      <c r="C293" s="1313"/>
      <c r="D293" s="1313"/>
      <c r="E293" s="1313"/>
      <c r="F293" s="1313"/>
      <c r="G293" s="1313"/>
      <c r="H293" s="1313"/>
    </row>
    <row r="294" spans="1:9" ht="85" customHeight="1" x14ac:dyDescent="0.35">
      <c r="A294" s="348">
        <v>1</v>
      </c>
      <c r="B294" s="273" t="s">
        <v>13966</v>
      </c>
      <c r="C294" s="274" t="s">
        <v>767</v>
      </c>
      <c r="D294" s="273" t="s">
        <v>5764</v>
      </c>
      <c r="E294" s="273" t="s">
        <v>13503</v>
      </c>
      <c r="F294" s="273" t="s">
        <v>13185</v>
      </c>
      <c r="G294" s="273" t="s">
        <v>13411</v>
      </c>
      <c r="H294" s="304" t="s">
        <v>13967</v>
      </c>
      <c r="I294" s="612" t="str">
        <f>HYPERLINK("https://maps.google.com/?q=Miradouro%20da%20Atalaia%20Tavira%20Portugal","👁 Miradouro da Atalaia")</f>
        <v>👁 Miradouro da Atalaia</v>
      </c>
    </row>
    <row r="296" spans="1:9" x14ac:dyDescent="0.35">
      <c r="A296" s="1353" t="s">
        <v>13968</v>
      </c>
      <c r="B296" s="1354"/>
      <c r="C296" s="1354"/>
      <c r="D296" s="1354"/>
      <c r="E296" s="1354"/>
      <c r="F296" s="1354"/>
      <c r="G296" s="1354"/>
      <c r="H296" s="1354"/>
      <c r="I296" s="375" t="str">
        <f>HYPERLINK("https://maps.google.com/?q=Portugal","👁 ")</f>
        <v xml:space="preserve">👁 </v>
      </c>
    </row>
  </sheetData>
  <mergeCells count="13">
    <mergeCell ref="A4:H4"/>
    <mergeCell ref="A1:H1"/>
    <mergeCell ref="A86:H86"/>
    <mergeCell ref="A211:H211"/>
    <mergeCell ref="A2:H2"/>
    <mergeCell ref="A252:H252"/>
    <mergeCell ref="A296:H296"/>
    <mergeCell ref="A45:H45"/>
    <mergeCell ref="A293:H293"/>
    <mergeCell ref="A208:H208"/>
    <mergeCell ref="A168:H168"/>
    <mergeCell ref="A127:H127"/>
    <mergeCell ref="A206:H206"/>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215"/>
  <sheetViews>
    <sheetView workbookViewId="0">
      <pane ySplit="3" topLeftCell="A129" activePane="bottomLeft" state="frozen"/>
      <selection pane="bottomLeft" activeCell="J189" sqref="J189"/>
    </sheetView>
  </sheetViews>
  <sheetFormatPr defaultRowHeight="14.5" x14ac:dyDescent="0.35"/>
  <cols>
    <col min="1" max="1" width="4" customWidth="1"/>
    <col min="2" max="2" width="40" customWidth="1"/>
    <col min="3" max="3" width="12" customWidth="1"/>
    <col min="4" max="4" width="32" customWidth="1"/>
    <col min="5" max="5" width="16" customWidth="1"/>
    <col min="6" max="6" width="14" customWidth="1"/>
    <col min="7" max="7" width="18" customWidth="1"/>
    <col min="8" max="8" width="52" customWidth="1"/>
    <col min="9" max="9" width="26" customWidth="1"/>
    <col min="10" max="10" width="26.36328125" customWidth="1"/>
  </cols>
  <sheetData>
    <row r="1" spans="1:10" ht="32" customHeight="1" x14ac:dyDescent="0.35">
      <c r="A1" s="1476" t="s">
        <v>13969</v>
      </c>
      <c r="B1" s="1313"/>
      <c r="C1" s="1313"/>
      <c r="D1" s="1313"/>
      <c r="E1" s="1313"/>
      <c r="F1" s="1313"/>
      <c r="G1" s="1313"/>
      <c r="H1" s="1313"/>
      <c r="I1" s="1313"/>
    </row>
    <row r="2" spans="1:10" ht="16" customHeight="1" x14ac:dyDescent="0.45">
      <c r="A2" s="1365" t="s">
        <v>13970</v>
      </c>
      <c r="B2" s="1313"/>
      <c r="C2" s="1313"/>
      <c r="D2" s="1313"/>
      <c r="E2" s="1313"/>
      <c r="F2" s="1313"/>
      <c r="G2" s="1313"/>
      <c r="H2" s="1313"/>
      <c r="I2" s="1313"/>
      <c r="J2" s="676"/>
    </row>
    <row r="3" spans="1:10" ht="24" customHeight="1" x14ac:dyDescent="0.35">
      <c r="A3" s="238" t="s">
        <v>141</v>
      </c>
      <c r="B3" s="238" t="s">
        <v>13971</v>
      </c>
      <c r="C3" s="238" t="s">
        <v>619</v>
      </c>
      <c r="D3" s="238" t="s">
        <v>906</v>
      </c>
      <c r="E3" s="238" t="s">
        <v>16426</v>
      </c>
      <c r="F3" s="238" t="s">
        <v>19695</v>
      </c>
      <c r="G3" s="238" t="s">
        <v>788</v>
      </c>
      <c r="H3" s="303" t="s">
        <v>8</v>
      </c>
      <c r="I3" s="238" t="s">
        <v>8764</v>
      </c>
      <c r="J3" s="714" t="s">
        <v>16558</v>
      </c>
    </row>
    <row r="4" spans="1:10" ht="22" customHeight="1" x14ac:dyDescent="0.45">
      <c r="A4" s="1479" t="s">
        <v>13182</v>
      </c>
      <c r="B4" s="1313"/>
      <c r="C4" s="1313"/>
      <c r="D4" s="1313"/>
      <c r="E4" s="1313"/>
      <c r="F4" s="1313"/>
      <c r="G4" s="1313"/>
      <c r="H4" s="1313"/>
      <c r="I4" s="1313"/>
      <c r="J4" s="676"/>
    </row>
    <row r="5" spans="1:10" ht="110" customHeight="1" x14ac:dyDescent="0.35">
      <c r="A5" s="338">
        <v>1</v>
      </c>
      <c r="B5" s="239" t="s">
        <v>13972</v>
      </c>
      <c r="C5" s="240" t="s">
        <v>792</v>
      </c>
      <c r="D5" s="239" t="s">
        <v>13973</v>
      </c>
      <c r="E5" s="239" t="s">
        <v>13974</v>
      </c>
      <c r="F5" s="239" t="s">
        <v>13975</v>
      </c>
      <c r="G5" s="239" t="s">
        <v>13976</v>
      </c>
      <c r="H5" s="304" t="s">
        <v>13977</v>
      </c>
      <c r="I5" s="239" t="s">
        <v>13978</v>
      </c>
      <c r="J5" s="715" t="str">
        <f>HYPERLINK("https://www.google.com/maps/search/Museu%20Ferrovi%C3%A1rio%20de%20Lousado%20Rua%20da%20Esta%C3%A7%C3%A3o%2C%20Lousado%20Portugal","📍 Museu Ferroviário de Lousado")</f>
        <v>📍 Museu Ferroviário de Lousado</v>
      </c>
    </row>
    <row r="6" spans="1:10" ht="110" customHeight="1" x14ac:dyDescent="0.35">
      <c r="A6" s="336">
        <v>2</v>
      </c>
      <c r="B6" s="242" t="s">
        <v>13979</v>
      </c>
      <c r="C6" s="243" t="s">
        <v>792</v>
      </c>
      <c r="D6" s="242" t="s">
        <v>13980</v>
      </c>
      <c r="E6" s="244" t="s">
        <v>13981</v>
      </c>
      <c r="F6" s="242" t="s">
        <v>13982</v>
      </c>
      <c r="G6" s="242" t="s">
        <v>876</v>
      </c>
      <c r="H6" s="305" t="s">
        <v>13983</v>
      </c>
      <c r="I6" s="242" t="s">
        <v>13984</v>
      </c>
      <c r="J6" s="715" t="str">
        <f>HYPERLINK("https://www.google.com/maps/search/Esta%C3%A7%C3%A3o%20de%20S%C3%A3o%20Bento%20Pra%C3%A7a%20de%20Almeida%20Garrett%2C%20Porto%20Portugal","📍 Estação de São Bento")</f>
        <v>📍 Estação de São Bento</v>
      </c>
    </row>
    <row r="7" spans="1:10" ht="110" customHeight="1" x14ac:dyDescent="0.35">
      <c r="A7" s="338">
        <v>3</v>
      </c>
      <c r="B7" s="239" t="s">
        <v>13985</v>
      </c>
      <c r="C7" s="240" t="s">
        <v>792</v>
      </c>
      <c r="D7" s="239" t="s">
        <v>13986</v>
      </c>
      <c r="E7" s="239" t="s">
        <v>13987</v>
      </c>
      <c r="F7" s="239" t="s">
        <v>13988</v>
      </c>
      <c r="G7" s="239" t="s">
        <v>876</v>
      </c>
      <c r="H7" s="304" t="s">
        <v>13989</v>
      </c>
      <c r="I7" s="239" t="s">
        <v>5484</v>
      </c>
      <c r="J7" s="715" t="str">
        <f>HYPERLINK("https://www.google.com/maps/search/Esta%C3%A7%C3%A3o%20do%20Pinh%C3%A3o%20Largo%20da%20Esta%C3%A7%C3%A3o%2C%20Pinh%C3%A3o%20Portugal","📍 Estação do Pinhão")</f>
        <v>📍 Estação do Pinhão</v>
      </c>
    </row>
    <row r="8" spans="1:10" ht="110" customHeight="1" x14ac:dyDescent="0.35">
      <c r="A8" s="336">
        <v>4</v>
      </c>
      <c r="B8" s="242" t="s">
        <v>13990</v>
      </c>
      <c r="C8" s="243" t="s">
        <v>792</v>
      </c>
      <c r="D8" s="242" t="s">
        <v>13991</v>
      </c>
      <c r="E8" s="242" t="s">
        <v>13992</v>
      </c>
      <c r="F8" s="242" t="s">
        <v>7620</v>
      </c>
      <c r="G8" s="242" t="s">
        <v>13993</v>
      </c>
      <c r="H8" s="305" t="s">
        <v>13994</v>
      </c>
      <c r="I8" s="242" t="s">
        <v>13995</v>
      </c>
      <c r="J8" s="715" t="str">
        <f>HYPERLINK("https://www.google.com/maps/search/N%C3%BAcleo%20Museol%C3%B3gico%20de%20Valen%C3%A7a%20Esta%C3%A7%C3%A3o%20de%20Valen%C3%A7a%20Portugal","📍 Núcleo Museológico de Valença")</f>
        <v>📍 Núcleo Museológico de Valença</v>
      </c>
    </row>
    <row r="9" spans="1:10" ht="110" customHeight="1" x14ac:dyDescent="0.35">
      <c r="A9" s="338">
        <v>5</v>
      </c>
      <c r="B9" s="239" t="s">
        <v>13996</v>
      </c>
      <c r="C9" s="240" t="s">
        <v>792</v>
      </c>
      <c r="D9" s="239" t="s">
        <v>13997</v>
      </c>
      <c r="E9" s="239" t="s">
        <v>13998</v>
      </c>
      <c r="F9" s="239" t="s">
        <v>13999</v>
      </c>
      <c r="G9" s="239" t="s">
        <v>876</v>
      </c>
      <c r="H9" s="304" t="s">
        <v>14000</v>
      </c>
      <c r="I9" s="239" t="s">
        <v>14001</v>
      </c>
      <c r="J9" s="715" t="str">
        <f>HYPERLINK("https://www.google.com/maps/search/Esta%C3%A7%C3%A3o%20da%20R%C3%A9gua%20Largo%20da%20Esta%C3%A7%C3%A3o%2C%20Peso%20da%20R%C3%A9gua%20Portugal","📍 Estação da Régua")</f>
        <v>📍 Estação da Régua</v>
      </c>
    </row>
    <row r="10" spans="1:10" ht="110" customHeight="1" x14ac:dyDescent="0.35">
      <c r="A10" s="336">
        <v>6</v>
      </c>
      <c r="B10" s="242" t="s">
        <v>10502</v>
      </c>
      <c r="C10" s="243" t="s">
        <v>792</v>
      </c>
      <c r="D10" s="242" t="s">
        <v>14002</v>
      </c>
      <c r="E10" s="242" t="s">
        <v>14003</v>
      </c>
      <c r="F10" s="242" t="s">
        <v>14004</v>
      </c>
      <c r="G10" s="242" t="s">
        <v>14005</v>
      </c>
      <c r="H10" s="305" t="s">
        <v>14006</v>
      </c>
      <c r="I10" s="242" t="s">
        <v>14007</v>
      </c>
      <c r="J10" s="715" t="str">
        <f>HYPERLINK("https://www.google.com/maps/search/Museu%20do%20Carro%20El%C3%A9ctrico%20Alameda%20de%20Bas%C3%ADlio%20Teles%2051%2C%20Porto%20Portugal","📍 Museu do Carro Eléctrico")</f>
        <v>📍 Museu do Carro Eléctrico</v>
      </c>
    </row>
    <row r="11" spans="1:10" ht="110" customHeight="1" x14ac:dyDescent="0.35">
      <c r="A11" s="338">
        <v>7</v>
      </c>
      <c r="B11" s="239" t="s">
        <v>14008</v>
      </c>
      <c r="C11" s="240" t="s">
        <v>792</v>
      </c>
      <c r="D11" s="239" t="s">
        <v>14009</v>
      </c>
      <c r="E11" s="239" t="s">
        <v>14010</v>
      </c>
      <c r="F11" s="239" t="s">
        <v>937</v>
      </c>
      <c r="G11" s="239" t="s">
        <v>876</v>
      </c>
      <c r="H11" s="304" t="s">
        <v>14011</v>
      </c>
      <c r="I11" s="239" t="s">
        <v>13984</v>
      </c>
      <c r="J11" s="715" t="str">
        <f>HYPERLINK("https://www.google.com/maps/search/Esta%C3%A7%C3%A3o%20de%20Campanh%C3%A3%20Largo%20da%20Esta%C3%A7%C3%A3o%2C%20Porto%20Portugal","📍 Estação de Campanhã")</f>
        <v>📍 Estação de Campanhã</v>
      </c>
    </row>
    <row r="12" spans="1:10" ht="110" customHeight="1" x14ac:dyDescent="0.35">
      <c r="A12" s="336">
        <v>8</v>
      </c>
      <c r="B12" s="242" t="s">
        <v>14012</v>
      </c>
      <c r="C12" s="243" t="s">
        <v>792</v>
      </c>
      <c r="D12" s="242" t="s">
        <v>7568</v>
      </c>
      <c r="E12" s="242" t="s">
        <v>14013</v>
      </c>
      <c r="F12" s="242" t="s">
        <v>14014</v>
      </c>
      <c r="G12" s="242" t="s">
        <v>876</v>
      </c>
      <c r="H12" s="305" t="s">
        <v>14015</v>
      </c>
      <c r="I12" s="242" t="s">
        <v>5484</v>
      </c>
      <c r="J12" s="715" t="str">
        <f>HYPERLINK("https://www.google.com/maps/search/Ponte%20Maria%20Pia%20Porto%2FGaia%20Portugal","📍 Ponte Maria Pia")</f>
        <v>📍 Ponte Maria Pia</v>
      </c>
    </row>
    <row r="13" spans="1:10" ht="110" customHeight="1" x14ac:dyDescent="0.35">
      <c r="A13" s="338">
        <v>9</v>
      </c>
      <c r="B13" s="239" t="s">
        <v>14016</v>
      </c>
      <c r="C13" s="240" t="s">
        <v>792</v>
      </c>
      <c r="D13" s="239" t="s">
        <v>14017</v>
      </c>
      <c r="E13" s="239" t="s">
        <v>14018</v>
      </c>
      <c r="F13" s="239" t="s">
        <v>14019</v>
      </c>
      <c r="G13" s="239" t="s">
        <v>876</v>
      </c>
      <c r="H13" s="304" t="s">
        <v>14020</v>
      </c>
      <c r="I13" s="239" t="s">
        <v>14021</v>
      </c>
      <c r="J13" s="715" t="str">
        <f>HYPERLINK("https://www.google.com/maps/search/Esta%C3%A7%C3%A3o%20de%20Viana%20do%20Castelo%20Av.%20Combatentes%2C%20Viana%20do%20Castelo%20Portugal","📍 Estação de Viana do Castelo")</f>
        <v>📍 Estação de Viana do Castelo</v>
      </c>
    </row>
    <row r="14" spans="1:10" ht="110" customHeight="1" x14ac:dyDescent="0.35">
      <c r="A14" s="336">
        <v>10</v>
      </c>
      <c r="B14" s="242" t="s">
        <v>14022</v>
      </c>
      <c r="C14" s="243" t="s">
        <v>792</v>
      </c>
      <c r="D14" s="242" t="s">
        <v>3324</v>
      </c>
      <c r="E14" s="242" t="s">
        <v>14023</v>
      </c>
      <c r="F14" s="242" t="s">
        <v>14024</v>
      </c>
      <c r="G14" s="242" t="s">
        <v>14025</v>
      </c>
      <c r="H14" s="305" t="s">
        <v>14026</v>
      </c>
      <c r="I14" s="242" t="s">
        <v>14027</v>
      </c>
      <c r="J14" s="715" t="str">
        <f>HYPERLINK("https://www.google.com/maps/search/N%C3%BAcleo%20Museol%C3%B3gico%20de%20Bragan%C3%A7a%20Av.%20Jo%C3%A3o%20da%20Cruz%2C%20Bragan%C3%A7a%20Portugal","📍 Núcleo Museológico de Bragança")</f>
        <v>📍 Núcleo Museológico de Bragança</v>
      </c>
    </row>
    <row r="15" spans="1:10" ht="110" customHeight="1" x14ac:dyDescent="0.35">
      <c r="A15" s="338">
        <v>11</v>
      </c>
      <c r="B15" s="239" t="s">
        <v>14028</v>
      </c>
      <c r="C15" s="240" t="s">
        <v>792</v>
      </c>
      <c r="D15" s="239" t="s">
        <v>14029</v>
      </c>
      <c r="E15" s="239" t="s">
        <v>14030</v>
      </c>
      <c r="F15" s="239" t="s">
        <v>14031</v>
      </c>
      <c r="G15" s="239" t="s">
        <v>876</v>
      </c>
      <c r="H15" s="304" t="s">
        <v>14032</v>
      </c>
      <c r="I15" s="239" t="s">
        <v>5484</v>
      </c>
      <c r="J15" s="715" t="str">
        <f>HYPERLINK("https://www.google.com/maps/search/Esta%C3%A7%C3%A3o%20do%20Tua%20Foz-Tua%2C%20Carrazeda%20de%20Ansi%C3%A3es%20Portugal","📍 Estação do Tua")</f>
        <v>📍 Estação do Tua</v>
      </c>
    </row>
    <row r="16" spans="1:10" ht="110" customHeight="1" x14ac:dyDescent="0.35">
      <c r="A16" s="336">
        <v>12</v>
      </c>
      <c r="B16" s="242" t="s">
        <v>14033</v>
      </c>
      <c r="C16" s="243" t="s">
        <v>792</v>
      </c>
      <c r="D16" s="242" t="s">
        <v>7568</v>
      </c>
      <c r="E16" s="242" t="s">
        <v>14034</v>
      </c>
      <c r="F16" s="242" t="s">
        <v>937</v>
      </c>
      <c r="G16" s="242" t="s">
        <v>14035</v>
      </c>
      <c r="H16" s="305" t="s">
        <v>14036</v>
      </c>
      <c r="I16" s="242" t="s">
        <v>14037</v>
      </c>
      <c r="J16" s="715" t="str">
        <f>HYPERLINK("https://www.google.com/maps/search/Ponte%20Dom%20Lu%C3%ADs%20I%20(Tabuleiro%20Superior)%20Porto%2FGaia%20Portugal","📍 Ponte Dom Luís I (Tabuleiro Superior)")</f>
        <v>📍 Ponte Dom Luís I (Tabuleiro Superior)</v>
      </c>
    </row>
    <row r="17" spans="1:10" ht="110" customHeight="1" x14ac:dyDescent="0.35">
      <c r="A17" s="338">
        <v>13</v>
      </c>
      <c r="B17" s="239" t="s">
        <v>14038</v>
      </c>
      <c r="C17" s="240" t="s">
        <v>792</v>
      </c>
      <c r="D17" s="239" t="s">
        <v>14039</v>
      </c>
      <c r="E17" s="239" t="s">
        <v>14040</v>
      </c>
      <c r="F17" s="239" t="s">
        <v>14031</v>
      </c>
      <c r="G17" s="239" t="s">
        <v>876</v>
      </c>
      <c r="H17" s="304" t="s">
        <v>14041</v>
      </c>
      <c r="I17" s="239" t="s">
        <v>5484</v>
      </c>
      <c r="J17" s="715" t="str">
        <f>HYPERLINK("https://www.google.com/maps/search/Esta%C3%A7%C3%A3o%20de%20Barcelos%20Av.%20Combatentes%2C%20Barcelos%20Portugal","📍 Estação de Barcelos")</f>
        <v>📍 Estação de Barcelos</v>
      </c>
    </row>
    <row r="18" spans="1:10" ht="110" customHeight="1" x14ac:dyDescent="0.35">
      <c r="A18" s="336">
        <v>14</v>
      </c>
      <c r="B18" s="242" t="s">
        <v>14042</v>
      </c>
      <c r="C18" s="243" t="s">
        <v>792</v>
      </c>
      <c r="D18" s="242" t="s">
        <v>14043</v>
      </c>
      <c r="E18" s="242" t="s">
        <v>14044</v>
      </c>
      <c r="F18" s="242" t="s">
        <v>14031</v>
      </c>
      <c r="G18" s="242" t="s">
        <v>876</v>
      </c>
      <c r="H18" s="305" t="s">
        <v>14045</v>
      </c>
      <c r="I18" s="242" t="s">
        <v>5484</v>
      </c>
      <c r="J18" s="715" t="str">
        <f>HYPERLINK("https://www.google.com/maps/search/Esta%C3%A7%C3%A3o%20de%20Caminha%20Largo%20da%20Esta%C3%A7%C3%A3o%2C%20Caminha%20Portugal","📍 Estação de Caminha")</f>
        <v>📍 Estação de Caminha</v>
      </c>
    </row>
    <row r="19" spans="1:10" ht="110" customHeight="1" x14ac:dyDescent="0.35">
      <c r="A19" s="338">
        <v>15</v>
      </c>
      <c r="B19" s="239" t="s">
        <v>14046</v>
      </c>
      <c r="C19" s="240" t="s">
        <v>792</v>
      </c>
      <c r="D19" s="239" t="s">
        <v>14047</v>
      </c>
      <c r="E19" s="239" t="s">
        <v>14048</v>
      </c>
      <c r="F19" s="239" t="s">
        <v>14049</v>
      </c>
      <c r="G19" s="239" t="s">
        <v>876</v>
      </c>
      <c r="H19" s="304" t="s">
        <v>14050</v>
      </c>
      <c r="I19" s="239" t="s">
        <v>14051</v>
      </c>
      <c r="J19" s="715" t="str">
        <f>HYPERLINK("https://www.google.com/maps/search/Esta%C3%A7%C3%A3o%20de%20Guimar%C3%A3es%20Av.%20D.%20Jo%C3%A3o%20IV%2C%20Guimar%C3%A3es%20Portugal","📍 Estação de Guimarães")</f>
        <v>📍 Estação de Guimarães</v>
      </c>
    </row>
    <row r="20" spans="1:10" ht="110" customHeight="1" x14ac:dyDescent="0.35">
      <c r="A20" s="336">
        <v>16</v>
      </c>
      <c r="B20" s="242" t="s">
        <v>14052</v>
      </c>
      <c r="C20" s="243" t="s">
        <v>792</v>
      </c>
      <c r="D20" s="242" t="s">
        <v>14053</v>
      </c>
      <c r="E20" s="242" t="s">
        <v>14054</v>
      </c>
      <c r="F20" s="242" t="s">
        <v>14055</v>
      </c>
      <c r="G20" s="242" t="s">
        <v>876</v>
      </c>
      <c r="H20" s="305" t="s">
        <v>14056</v>
      </c>
      <c r="I20" s="242" t="s">
        <v>14057</v>
      </c>
      <c r="J20" s="715" t="str">
        <f>HYPERLINK("https://www.google.com/maps/search/Esta%C3%A7%C3%A3o%20de%20Braga%20Largo%20da%20Esta%C3%A7%C3%A3o%2C%20Braga%20Portugal","📍 Estação de Braga")</f>
        <v>📍 Estação de Braga</v>
      </c>
    </row>
    <row r="21" spans="1:10" ht="110" customHeight="1" x14ac:dyDescent="0.35">
      <c r="A21" s="338">
        <v>17</v>
      </c>
      <c r="B21" s="239" t="s">
        <v>14058</v>
      </c>
      <c r="C21" s="240" t="s">
        <v>792</v>
      </c>
      <c r="D21" s="239" t="s">
        <v>14059</v>
      </c>
      <c r="E21" s="239" t="s">
        <v>14060</v>
      </c>
      <c r="F21" s="239" t="s">
        <v>14031</v>
      </c>
      <c r="G21" s="239" t="s">
        <v>876</v>
      </c>
      <c r="H21" s="304" t="s">
        <v>14061</v>
      </c>
      <c r="I21" s="239" t="s">
        <v>5484</v>
      </c>
      <c r="J21" s="715" t="str">
        <f>HYPERLINK("https://www.google.com/maps/search/Esta%C3%A7%C3%A3o%20do%20Pocinho%20Pocinho%2C%20V.N.%20Foz%20C%C3%B4a%20Portugal","📍 Estação do Pocinho")</f>
        <v>📍 Estação do Pocinho</v>
      </c>
    </row>
    <row r="22" spans="1:10" ht="110" customHeight="1" x14ac:dyDescent="0.35">
      <c r="A22" s="336">
        <v>18</v>
      </c>
      <c r="B22" s="242" t="s">
        <v>14062</v>
      </c>
      <c r="C22" s="243" t="s">
        <v>792</v>
      </c>
      <c r="D22" s="242" t="s">
        <v>14063</v>
      </c>
      <c r="E22" s="242" t="s">
        <v>14064</v>
      </c>
      <c r="F22" s="242" t="s">
        <v>937</v>
      </c>
      <c r="G22" s="242" t="s">
        <v>876</v>
      </c>
      <c r="H22" s="305" t="s">
        <v>14065</v>
      </c>
      <c r="I22" s="242" t="s">
        <v>5484</v>
      </c>
      <c r="J22" s="715" t="str">
        <f>HYPERLINK("https://www.google.com/maps/search/Ponte%20Internacional%20de%20Valen%C3%A7a%20Valen%C3%A7a%2FTui%20Portugal","📍 Ponte Internacional de Valença")</f>
        <v>📍 Ponte Internacional de Valença</v>
      </c>
    </row>
    <row r="23" spans="1:10" ht="110" customHeight="1" x14ac:dyDescent="0.35">
      <c r="A23" s="338">
        <v>19</v>
      </c>
      <c r="B23" s="239" t="s">
        <v>14066</v>
      </c>
      <c r="C23" s="240" t="s">
        <v>792</v>
      </c>
      <c r="D23" s="239" t="s">
        <v>14067</v>
      </c>
      <c r="E23" s="239" t="s">
        <v>14068</v>
      </c>
      <c r="F23" s="239" t="s">
        <v>14004</v>
      </c>
      <c r="G23" s="239" t="s">
        <v>14069</v>
      </c>
      <c r="H23" s="304" t="s">
        <v>14070</v>
      </c>
      <c r="I23" s="239" t="s">
        <v>14071</v>
      </c>
      <c r="J23" s="715" t="str">
        <f>HYPERLINK("https://www.google.com/maps/search/N%C3%BAcleo%20Museol%C3%B3gico%20de%20Arco%20de%20Ba%C3%BAlhe%20Esta%C3%A7%C3%A3o%20de%20Arco%20de%20Ba%C3%BAlhe%20Portugal","📍 Núcleo Museológico de Arco de Baúlhe")</f>
        <v>📍 Núcleo Museológico de Arco de Baúlhe</v>
      </c>
    </row>
    <row r="24" spans="1:10" ht="110" customHeight="1" x14ac:dyDescent="0.35">
      <c r="A24" s="336">
        <v>20</v>
      </c>
      <c r="B24" s="242" t="s">
        <v>14072</v>
      </c>
      <c r="C24" s="243" t="s">
        <v>792</v>
      </c>
      <c r="D24" s="242" t="s">
        <v>14073</v>
      </c>
      <c r="E24" s="242" t="s">
        <v>14074</v>
      </c>
      <c r="F24" s="242" t="s">
        <v>14075</v>
      </c>
      <c r="G24" s="242" t="s">
        <v>5484</v>
      </c>
      <c r="H24" s="305" t="s">
        <v>14076</v>
      </c>
      <c r="I24" s="242" t="s">
        <v>5484</v>
      </c>
      <c r="J24" s="715" t="str">
        <f>HYPERLINK("https://www.google.com/maps/search/T%C3%BAnel%20de%20Ca%C3%ADde%20Ca%C3%ADde%20de%20Rei%2C%20Lousada%20Portugal","📍 Túnel de Caíde")</f>
        <v>📍 Túnel de Caíde</v>
      </c>
    </row>
    <row r="25" spans="1:10" ht="110" customHeight="1" x14ac:dyDescent="0.35">
      <c r="A25" s="338">
        <v>21</v>
      </c>
      <c r="B25" s="239" t="s">
        <v>14077</v>
      </c>
      <c r="C25" s="240" t="s">
        <v>792</v>
      </c>
      <c r="D25" s="239" t="s">
        <v>14078</v>
      </c>
      <c r="E25" s="239" t="s">
        <v>14079</v>
      </c>
      <c r="F25" s="239" t="s">
        <v>937</v>
      </c>
      <c r="G25" s="239" t="s">
        <v>876</v>
      </c>
      <c r="H25" s="304" t="s">
        <v>14080</v>
      </c>
      <c r="I25" s="239" t="s">
        <v>5484</v>
      </c>
      <c r="J25" s="715" t="str">
        <f>HYPERLINK("https://www.google.com/maps/search/Esta%C3%A7%C3%A3o%20de%20Ermesinde%20Largo%20da%20Esta%C3%A7%C3%A3o%2C%20Ermesinde%20Portugal","📍 Estação de Ermesinde")</f>
        <v>📍 Estação de Ermesinde</v>
      </c>
    </row>
    <row r="26" spans="1:10" ht="110" customHeight="1" x14ac:dyDescent="0.35">
      <c r="A26" s="336">
        <v>22</v>
      </c>
      <c r="B26" s="242" t="s">
        <v>14081</v>
      </c>
      <c r="C26" s="243" t="s">
        <v>792</v>
      </c>
      <c r="D26" s="242" t="s">
        <v>14082</v>
      </c>
      <c r="E26" s="242" t="s">
        <v>14083</v>
      </c>
      <c r="F26" s="242" t="s">
        <v>14031</v>
      </c>
      <c r="G26" s="242" t="s">
        <v>876</v>
      </c>
      <c r="H26" s="305" t="s">
        <v>14084</v>
      </c>
      <c r="I26" s="242" t="s">
        <v>5484</v>
      </c>
      <c r="J26" s="715" t="str">
        <f>HYPERLINK("https://www.google.com/maps/search/Esta%C3%A7%C3%A3o%20de%20Vila%20Me%C3%A3%20Vila%20Me%C3%A3%2C%20Amarante%20Portugal","📍 Estação de Vila Meã")</f>
        <v>📍 Estação de Vila Meã</v>
      </c>
    </row>
    <row r="27" spans="1:10" ht="110" customHeight="1" x14ac:dyDescent="0.35">
      <c r="A27" s="338">
        <v>23</v>
      </c>
      <c r="B27" s="239" t="s">
        <v>14085</v>
      </c>
      <c r="C27" s="240" t="s">
        <v>792</v>
      </c>
      <c r="D27" s="239" t="s">
        <v>14086</v>
      </c>
      <c r="E27" s="239" t="s">
        <v>14087</v>
      </c>
      <c r="F27" s="239" t="s">
        <v>14031</v>
      </c>
      <c r="G27" s="239" t="s">
        <v>876</v>
      </c>
      <c r="H27" s="304" t="s">
        <v>14088</v>
      </c>
      <c r="I27" s="239" t="s">
        <v>5484</v>
      </c>
      <c r="J27" s="715" t="str">
        <f>HYPERLINK("https://www.google.com/maps/search/Apeadeiro%20de%20Caldas%20do%20Moledo%20Caldas%20do%20Moledo%2C%20R%C3%A9gua%20Portugal","📍 Apeadeiro de Caldas do Moledo")</f>
        <v>📍 Apeadeiro de Caldas do Moledo</v>
      </c>
    </row>
    <row r="28" spans="1:10" ht="110" customHeight="1" x14ac:dyDescent="0.35">
      <c r="A28" s="336">
        <v>24</v>
      </c>
      <c r="B28" s="242" t="s">
        <v>14089</v>
      </c>
      <c r="C28" s="243" t="s">
        <v>792</v>
      </c>
      <c r="D28" s="242" t="s">
        <v>14090</v>
      </c>
      <c r="E28" s="242" t="s">
        <v>14091</v>
      </c>
      <c r="F28" s="242" t="s">
        <v>14031</v>
      </c>
      <c r="G28" s="242" t="s">
        <v>876</v>
      </c>
      <c r="H28" s="305" t="s">
        <v>14092</v>
      </c>
      <c r="I28" s="242" t="s">
        <v>5484</v>
      </c>
      <c r="J28" s="715" t="str">
        <f>HYPERLINK("https://www.google.com/maps/search/Esta%C3%A7%C3%A3o%20de%20Ferradosa%20Vale%20da%20Ferradosa%2C%20S.%20Jo%C3%A3o%20Pesqueira%20Portugal","📍 Estação de Ferradosa")</f>
        <v>📍 Estação de Ferradosa</v>
      </c>
    </row>
    <row r="29" spans="1:10" ht="110" customHeight="1" x14ac:dyDescent="0.35">
      <c r="A29" s="338">
        <v>25</v>
      </c>
      <c r="B29" s="239" t="s">
        <v>14093</v>
      </c>
      <c r="C29" s="240" t="s">
        <v>792</v>
      </c>
      <c r="D29" s="239" t="s">
        <v>14094</v>
      </c>
      <c r="E29" s="239" t="s">
        <v>14095</v>
      </c>
      <c r="F29" s="239" t="s">
        <v>14096</v>
      </c>
      <c r="G29" s="239" t="s">
        <v>876</v>
      </c>
      <c r="H29" s="304" t="s">
        <v>14097</v>
      </c>
      <c r="I29" s="239" t="s">
        <v>14098</v>
      </c>
      <c r="J29" s="715" t="str">
        <f>HYPERLINK("https://www.google.com/maps/search/Esta%C3%A7%C3%A3o%20de%20Vila%20Real%20(Desativada)%20Av.%20da%20Esta%C3%A7%C3%A3o%2C%20Vila%20Real%20Portugal","📍 Estação de Vila Real (Desativada)")</f>
        <v>📍 Estação de Vila Real (Desativada)</v>
      </c>
    </row>
    <row r="30" spans="1:10" ht="110" customHeight="1" x14ac:dyDescent="0.35">
      <c r="A30" s="336">
        <v>26</v>
      </c>
      <c r="B30" s="242" t="s">
        <v>14099</v>
      </c>
      <c r="C30" s="243" t="s">
        <v>792</v>
      </c>
      <c r="D30" s="242" t="s">
        <v>14100</v>
      </c>
      <c r="E30" s="242" t="s">
        <v>14101</v>
      </c>
      <c r="F30" s="242" t="s">
        <v>14102</v>
      </c>
      <c r="G30" s="242" t="s">
        <v>876</v>
      </c>
      <c r="H30" s="305" t="s">
        <v>14103</v>
      </c>
      <c r="I30" s="242" t="s">
        <v>5484</v>
      </c>
      <c r="J30" s="715" t="str">
        <f>HYPERLINK("https://www.google.com/maps/search/Esta%C3%A7%C3%A3o%20de%20Chaves%20(Desativada)%20Av.%20Esta%C3%A7%C3%A3o%2C%20Chaves%20Portugal","📍 Estação de Chaves (Desativada)")</f>
        <v>📍 Estação de Chaves (Desativada)</v>
      </c>
    </row>
    <row r="31" spans="1:10" ht="110" customHeight="1" x14ac:dyDescent="0.35">
      <c r="A31" s="338">
        <v>27</v>
      </c>
      <c r="B31" s="239" t="s">
        <v>14104</v>
      </c>
      <c r="C31" s="240" t="s">
        <v>792</v>
      </c>
      <c r="D31" s="239" t="s">
        <v>14105</v>
      </c>
      <c r="E31" s="239" t="s">
        <v>14106</v>
      </c>
      <c r="F31" s="239" t="s">
        <v>14014</v>
      </c>
      <c r="G31" s="239" t="s">
        <v>5484</v>
      </c>
      <c r="H31" s="304" t="s">
        <v>14107</v>
      </c>
      <c r="I31" s="239" t="s">
        <v>5484</v>
      </c>
      <c r="J31" s="715" t="str">
        <f>HYPERLINK("https://www.google.com/maps/search/Ponte%20de%20S.%20Jo%C3%A3o%20Porto%2FVila%20Nova%20de%20Gaia%20Portugal","📍 Ponte de S. João")</f>
        <v>📍 Ponte de S. João</v>
      </c>
    </row>
    <row r="32" spans="1:10" ht="110" customHeight="1" x14ac:dyDescent="0.35">
      <c r="A32" s="336">
        <v>28</v>
      </c>
      <c r="B32" s="242" t="s">
        <v>14108</v>
      </c>
      <c r="C32" s="243" t="s">
        <v>792</v>
      </c>
      <c r="D32" s="242" t="s">
        <v>14109</v>
      </c>
      <c r="E32" s="242" t="s">
        <v>14110</v>
      </c>
      <c r="F32" s="242" t="s">
        <v>14111</v>
      </c>
      <c r="G32" s="242" t="s">
        <v>876</v>
      </c>
      <c r="H32" s="305" t="s">
        <v>14112</v>
      </c>
      <c r="I32" s="242" t="s">
        <v>5484</v>
      </c>
      <c r="J32" s="715" t="str">
        <f>HYPERLINK("https://www.google.com/maps/search/Esta%C3%A7%C3%A3o%20de%20Contumil%20Rua%20da%20Esta%C3%A7%C3%A3o%2C%20Porto%20Portugal","📍 Estação de Contumil")</f>
        <v>📍 Estação de Contumil</v>
      </c>
    </row>
    <row r="33" spans="1:10" ht="110" customHeight="1" x14ac:dyDescent="0.35">
      <c r="A33" s="338">
        <v>29</v>
      </c>
      <c r="B33" s="239" t="s">
        <v>14113</v>
      </c>
      <c r="C33" s="240" t="s">
        <v>792</v>
      </c>
      <c r="D33" s="239" t="s">
        <v>14114</v>
      </c>
      <c r="E33" s="239" t="s">
        <v>14115</v>
      </c>
      <c r="F33" s="239" t="s">
        <v>14031</v>
      </c>
      <c r="G33" s="239" t="s">
        <v>876</v>
      </c>
      <c r="H33" s="304" t="s">
        <v>14116</v>
      </c>
      <c r="I33" s="239" t="s">
        <v>5484</v>
      </c>
      <c r="J33" s="715" t="str">
        <f>HYPERLINK("https://www.google.com/maps/search/Esta%C3%A7%C3%A3o%20de%20Penafiel%20Novelas%2C%20Penafiel%20Portugal","📍 Estação de Penafiel")</f>
        <v>📍 Estação de Penafiel</v>
      </c>
    </row>
    <row r="34" spans="1:10" ht="110" customHeight="1" x14ac:dyDescent="0.35">
      <c r="A34" s="336">
        <v>30</v>
      </c>
      <c r="B34" s="242" t="s">
        <v>14117</v>
      </c>
      <c r="C34" s="243" t="s">
        <v>792</v>
      </c>
      <c r="D34" s="242" t="s">
        <v>14118</v>
      </c>
      <c r="E34" s="242" t="s">
        <v>14119</v>
      </c>
      <c r="F34" s="242" t="s">
        <v>14120</v>
      </c>
      <c r="G34" s="242" t="s">
        <v>5484</v>
      </c>
      <c r="H34" s="305" t="s">
        <v>14121</v>
      </c>
      <c r="I34" s="242" t="s">
        <v>14122</v>
      </c>
      <c r="J34" s="715" t="str">
        <f>HYPERLINK("https://www.google.com/maps/search/Oficinas%20de%20Guif%C3%B5es%20Guif%C3%B5es%2C%20Matosinhos%20Portugal","📍 Oficinas de Guifões")</f>
        <v>📍 Oficinas de Guifões</v>
      </c>
    </row>
    <row r="35" spans="1:10" ht="110" customHeight="1" x14ac:dyDescent="0.35">
      <c r="A35" s="338">
        <v>31</v>
      </c>
      <c r="B35" s="239" t="s">
        <v>14123</v>
      </c>
      <c r="C35" s="240" t="s">
        <v>792</v>
      </c>
      <c r="D35" s="239" t="s">
        <v>14124</v>
      </c>
      <c r="E35" s="239" t="s">
        <v>14125</v>
      </c>
      <c r="F35" s="239" t="s">
        <v>14126</v>
      </c>
      <c r="G35" s="239" t="s">
        <v>876</v>
      </c>
      <c r="H35" s="304" t="s">
        <v>14127</v>
      </c>
      <c r="I35" s="239" t="s">
        <v>14128</v>
      </c>
      <c r="J35" s="715" t="str">
        <f>HYPERLINK("https://www.google.com/maps/search/Esta%C3%A7%C3%A3o%20de%20Mirandela%20Av.%20Esta%C3%A7%C3%A3o%2C%20Mirandela%20Portugal","📍 Estação de Mirandela")</f>
        <v>📍 Estação de Mirandela</v>
      </c>
    </row>
    <row r="36" spans="1:10" ht="110" customHeight="1" x14ac:dyDescent="0.35">
      <c r="A36" s="336">
        <v>32</v>
      </c>
      <c r="B36" s="242" t="s">
        <v>14129</v>
      </c>
      <c r="C36" s="243" t="s">
        <v>792</v>
      </c>
      <c r="D36" s="242" t="s">
        <v>14130</v>
      </c>
      <c r="E36" s="242" t="s">
        <v>14131</v>
      </c>
      <c r="F36" s="242" t="s">
        <v>14132</v>
      </c>
      <c r="G36" s="242" t="s">
        <v>876</v>
      </c>
      <c r="H36" s="305" t="s">
        <v>14133</v>
      </c>
      <c r="I36" s="242" t="s">
        <v>5484</v>
      </c>
      <c r="J36" s="715" t="str">
        <f>HYPERLINK("https://www.google.com/maps/search/Esta%C3%A7%C3%A3o%20de%20Amarante%20(Desativada)%20Largo%20da%20Esta%C3%A7%C3%A3o%2C%20Amarante%20Portugal","📍 Estação de Amarante (Desativada)")</f>
        <v>📍 Estação de Amarante (Desativada)</v>
      </c>
    </row>
    <row r="37" spans="1:10" ht="110" customHeight="1" x14ac:dyDescent="0.35">
      <c r="A37" s="338">
        <v>33</v>
      </c>
      <c r="B37" s="239" t="s">
        <v>14134</v>
      </c>
      <c r="C37" s="240" t="s">
        <v>792</v>
      </c>
      <c r="D37" s="239" t="s">
        <v>14135</v>
      </c>
      <c r="E37" s="239" t="s">
        <v>14136</v>
      </c>
      <c r="F37" s="239" t="s">
        <v>14102</v>
      </c>
      <c r="G37" s="239" t="s">
        <v>876</v>
      </c>
      <c r="H37" s="304" t="s">
        <v>14137</v>
      </c>
      <c r="I37" s="239" t="s">
        <v>14138</v>
      </c>
      <c r="J37" s="715" t="str">
        <f>HYPERLINK("https://www.google.com/maps/search/Esta%C3%A7%C3%A3o%20da%20Trofa%20(Antiga)%20Rua%20D.%20Pedro%20V%2C%20Trofa%20Portugal","📍 Estação da Trofa (Antiga)")</f>
        <v>📍 Estação da Trofa (Antiga)</v>
      </c>
    </row>
    <row r="38" spans="1:10" ht="110" customHeight="1" x14ac:dyDescent="0.35">
      <c r="A38" s="336">
        <v>34</v>
      </c>
      <c r="B38" s="242" t="s">
        <v>14139</v>
      </c>
      <c r="C38" s="243" t="s">
        <v>792</v>
      </c>
      <c r="D38" s="242" t="s">
        <v>14140</v>
      </c>
      <c r="E38" s="242" t="s">
        <v>14141</v>
      </c>
      <c r="F38" s="242" t="s">
        <v>14014</v>
      </c>
      <c r="G38" s="242" t="s">
        <v>5484</v>
      </c>
      <c r="H38" s="305" t="s">
        <v>14142</v>
      </c>
      <c r="I38" s="242" t="s">
        <v>5484</v>
      </c>
      <c r="J38" s="715" t="str">
        <f>HYPERLINK("https://www.google.com/maps/search/Viaduto%20de%20Pala%20Ribadouro%2C%20Bai%C3%A3o%20Portugal","📍 Viaduto de Pala")</f>
        <v>📍 Viaduto de Pala</v>
      </c>
    </row>
    <row r="39" spans="1:10" ht="110" customHeight="1" x14ac:dyDescent="0.35">
      <c r="A39" s="338">
        <v>35</v>
      </c>
      <c r="B39" s="239" t="s">
        <v>14143</v>
      </c>
      <c r="C39" s="240" t="s">
        <v>792</v>
      </c>
      <c r="D39" s="239" t="s">
        <v>14144</v>
      </c>
      <c r="E39" s="239" t="s">
        <v>14145</v>
      </c>
      <c r="F39" s="239" t="s">
        <v>14031</v>
      </c>
      <c r="G39" s="239" t="s">
        <v>876</v>
      </c>
      <c r="H39" s="304" t="s">
        <v>14146</v>
      </c>
      <c r="I39" s="239" t="s">
        <v>5484</v>
      </c>
      <c r="J39" s="715" t="str">
        <f>HYPERLINK("https://www.google.com/maps/search/Esta%C3%A7%C3%A3o%20de%20Mosteir%C3%B4%20Mosteir%C3%B4%2C%20Bai%C3%A3o%20Portugal","📍 Estação de Mosteirô")</f>
        <v>📍 Estação de Mosteirô</v>
      </c>
    </row>
    <row r="40" spans="1:10" ht="110" customHeight="1" x14ac:dyDescent="0.35">
      <c r="A40" s="336">
        <v>36</v>
      </c>
      <c r="B40" s="242" t="s">
        <v>14147</v>
      </c>
      <c r="C40" s="243" t="s">
        <v>792</v>
      </c>
      <c r="D40" s="242" t="s">
        <v>14148</v>
      </c>
      <c r="E40" s="242" t="s">
        <v>14149</v>
      </c>
      <c r="F40" s="242" t="s">
        <v>14031</v>
      </c>
      <c r="G40" s="242" t="s">
        <v>876</v>
      </c>
      <c r="H40" s="305" t="s">
        <v>14150</v>
      </c>
      <c r="I40" s="242" t="s">
        <v>5484</v>
      </c>
      <c r="J40" s="715" t="str">
        <f>HYPERLINK("https://www.google.com/maps/search/Esta%C3%A7%C3%A3o%20de%20Santo%20Tirso%20Largo%20da%20Esta%C3%A7%C3%A3o%2C%20Santo%20Tirso%20Portugal","📍 Estação de Santo Tirso")</f>
        <v>📍 Estação de Santo Tirso</v>
      </c>
    </row>
    <row r="41" spans="1:10" ht="110" customHeight="1" x14ac:dyDescent="0.35">
      <c r="A41" s="338">
        <v>37</v>
      </c>
      <c r="B41" s="239" t="s">
        <v>14151</v>
      </c>
      <c r="C41" s="240" t="s">
        <v>792</v>
      </c>
      <c r="D41" s="239" t="s">
        <v>14152</v>
      </c>
      <c r="E41" s="239" t="s">
        <v>14153</v>
      </c>
      <c r="F41" s="239" t="s">
        <v>14102</v>
      </c>
      <c r="G41" s="239" t="s">
        <v>876</v>
      </c>
      <c r="H41" s="304" t="s">
        <v>14154</v>
      </c>
      <c r="I41" s="239" t="s">
        <v>5484</v>
      </c>
      <c r="J41" s="715" t="str">
        <f>HYPERLINK("https://www.google.com/maps/search/Cais%20do%20Carv%C3%A3o%20(Porto)%20Rua%20do%20Ouro%2C%20Porto%20Portugal","📍 Cais do Carvão (Porto)")</f>
        <v>📍 Cais do Carvão (Porto)</v>
      </c>
    </row>
    <row r="42" spans="1:10" ht="110" customHeight="1" x14ac:dyDescent="0.35">
      <c r="A42" s="336">
        <v>38</v>
      </c>
      <c r="B42" s="242" t="s">
        <v>14155</v>
      </c>
      <c r="C42" s="243" t="s">
        <v>792</v>
      </c>
      <c r="D42" s="242" t="s">
        <v>14156</v>
      </c>
      <c r="E42" s="242" t="s">
        <v>14157</v>
      </c>
      <c r="F42" s="242" t="s">
        <v>14158</v>
      </c>
      <c r="G42" s="242" t="s">
        <v>14159</v>
      </c>
      <c r="H42" s="305" t="s">
        <v>14160</v>
      </c>
      <c r="I42" s="242" t="s">
        <v>13978</v>
      </c>
      <c r="J42" s="715" t="str">
        <f>HYPERLINK("https://www.google.com/maps/search/Rotunda%20de%20Locomotivas%20de%20Lousado%20Museu%20Ferrovi%C3%A1rio%2C%20Lousado%20Portugal","📍 Rotunda de Locomotivas de Lousado")</f>
        <v>📍 Rotunda de Locomotivas de Lousado</v>
      </c>
    </row>
    <row r="43" spans="1:10" ht="110" customHeight="1" x14ac:dyDescent="0.35">
      <c r="A43" s="338">
        <v>39</v>
      </c>
      <c r="B43" s="239" t="s">
        <v>14161</v>
      </c>
      <c r="C43" s="240" t="s">
        <v>792</v>
      </c>
      <c r="D43" s="239" t="s">
        <v>14162</v>
      </c>
      <c r="E43" s="239" t="s">
        <v>14163</v>
      </c>
      <c r="F43" s="239" t="s">
        <v>14031</v>
      </c>
      <c r="G43" s="239" t="s">
        <v>876</v>
      </c>
      <c r="H43" s="304" t="s">
        <v>14164</v>
      </c>
      <c r="I43" s="239" t="s">
        <v>5484</v>
      </c>
      <c r="J43" s="715" t="str">
        <f>HYPERLINK("https://www.google.com/maps/search/Esta%C3%A7%C3%A3o%20de%20Marco%20de%20Canaveses%20Largo%20da%20Esta%C3%A7%C3%A3o%2C%20Marco%20Portugal","📍 Estação de Marco de Canaveses")</f>
        <v>📍 Estação de Marco de Canaveses</v>
      </c>
    </row>
    <row r="44" spans="1:10" ht="110" customHeight="1" x14ac:dyDescent="0.35">
      <c r="A44" s="336">
        <v>40</v>
      </c>
      <c r="B44" s="242" t="s">
        <v>14165</v>
      </c>
      <c r="C44" s="243" t="s">
        <v>792</v>
      </c>
      <c r="D44" s="242" t="s">
        <v>14166</v>
      </c>
      <c r="E44" s="242" t="s">
        <v>14167</v>
      </c>
      <c r="F44" s="242" t="s">
        <v>14102</v>
      </c>
      <c r="G44" s="242" t="s">
        <v>876</v>
      </c>
      <c r="H44" s="305" t="s">
        <v>14168</v>
      </c>
      <c r="I44" s="242" t="s">
        <v>14169</v>
      </c>
      <c r="J44" s="715" t="str">
        <f>HYPERLINK("https://www.google.com/maps/search/Esta%C3%A7%C3%A3o%20de%20Mon%C3%A7%C3%A3o%20(Desativada)%20Pra%C3%A7a%20da%20Esta%C3%A7%C3%A3o%2C%20Mon%C3%A7%C3%A3o%20Portugal","📍 Estação de Monção (Desativada)")</f>
        <v>📍 Estação de Monção (Desativada)</v>
      </c>
    </row>
    <row r="45" spans="1:10" ht="22" customHeight="1" x14ac:dyDescent="0.45">
      <c r="A45" s="1475" t="s">
        <v>14170</v>
      </c>
      <c r="B45" s="1313"/>
      <c r="C45" s="1313"/>
      <c r="D45" s="1313"/>
      <c r="E45" s="1313"/>
      <c r="F45" s="1313"/>
      <c r="G45" s="1313"/>
      <c r="H45" s="1313"/>
      <c r="I45" s="1313"/>
      <c r="J45" s="676"/>
    </row>
    <row r="46" spans="1:10" ht="110" customHeight="1" x14ac:dyDescent="0.35">
      <c r="A46" s="358">
        <v>1</v>
      </c>
      <c r="B46" s="259" t="s">
        <v>14171</v>
      </c>
      <c r="C46" s="260" t="s">
        <v>836</v>
      </c>
      <c r="D46" s="259" t="s">
        <v>14172</v>
      </c>
      <c r="E46" s="259" t="s">
        <v>14173</v>
      </c>
      <c r="F46" s="259" t="s">
        <v>14004</v>
      </c>
      <c r="G46" s="259" t="s">
        <v>14174</v>
      </c>
      <c r="H46" s="304" t="s">
        <v>14175</v>
      </c>
      <c r="I46" s="259" t="s">
        <v>14176</v>
      </c>
      <c r="J46" s="715" t="str">
        <f>HYPERLINK("https://www.google.com/maps/search/Museu%20Nacional%20Ferrovi%C3%A1rio%20(Entroncamento)%20Rua%20Dr.%20Jos%C3%A9%20Orlando%20de%20Carvalho%2C%20Entroncamento%20Portugal","📍 Museu Nacional Ferroviário (Entroncamento)")</f>
        <v>📍 Museu Nacional Ferroviário (Entroncamento)</v>
      </c>
    </row>
    <row r="47" spans="1:10" ht="110" customHeight="1" x14ac:dyDescent="0.35">
      <c r="A47" s="352">
        <v>2</v>
      </c>
      <c r="B47" s="262" t="s">
        <v>14177</v>
      </c>
      <c r="C47" s="263" t="s">
        <v>836</v>
      </c>
      <c r="D47" s="262" t="s">
        <v>4110</v>
      </c>
      <c r="E47" s="262" t="s">
        <v>14178</v>
      </c>
      <c r="F47" s="262" t="s">
        <v>14179</v>
      </c>
      <c r="G47" s="262" t="s">
        <v>876</v>
      </c>
      <c r="H47" s="305" t="s">
        <v>14180</v>
      </c>
      <c r="I47" s="262" t="s">
        <v>13984</v>
      </c>
      <c r="J47" s="715" t="str">
        <f>HYPERLINK("https://www.google.com/maps/search/Esta%C3%A7%C3%A3o%20de%20Coimbra-A%20Largo%20da%20Esta%C3%A7%C3%A3o%2C%20Coimbra%20Portugal","📍 Estação de Coimbra-A")</f>
        <v>📍 Estação de Coimbra-A</v>
      </c>
    </row>
    <row r="48" spans="1:10" ht="110" customHeight="1" x14ac:dyDescent="0.35">
      <c r="A48" s="358">
        <v>3</v>
      </c>
      <c r="B48" s="259" t="s">
        <v>10476</v>
      </c>
      <c r="C48" s="260" t="s">
        <v>836</v>
      </c>
      <c r="D48" s="259" t="s">
        <v>14181</v>
      </c>
      <c r="E48" s="259" t="s">
        <v>14182</v>
      </c>
      <c r="F48" s="259" t="s">
        <v>14183</v>
      </c>
      <c r="G48" s="259" t="s">
        <v>876</v>
      </c>
      <c r="H48" s="304" t="s">
        <v>14184</v>
      </c>
      <c r="I48" s="259" t="s">
        <v>14185</v>
      </c>
      <c r="J48" s="715" t="str">
        <f>HYPERLINK("https://www.google.com/maps/search/Esta%C3%A7%C3%A3o%20de%20Aveiro%20Largo%20da%20Esta%C3%A7%C3%A3o%2C%20Aveiro%20Portugal","📍 Estação de Aveiro")</f>
        <v>📍 Estação de Aveiro</v>
      </c>
    </row>
    <row r="49" spans="1:10" ht="110" customHeight="1" x14ac:dyDescent="0.35">
      <c r="A49" s="352">
        <v>4</v>
      </c>
      <c r="B49" s="262" t="s">
        <v>14186</v>
      </c>
      <c r="C49" s="263" t="s">
        <v>836</v>
      </c>
      <c r="D49" s="262" t="s">
        <v>14187</v>
      </c>
      <c r="E49" s="262" t="s">
        <v>14188</v>
      </c>
      <c r="F49" s="262" t="s">
        <v>13988</v>
      </c>
      <c r="G49" s="262" t="s">
        <v>876</v>
      </c>
      <c r="H49" s="305" t="s">
        <v>14189</v>
      </c>
      <c r="I49" s="262" t="s">
        <v>14190</v>
      </c>
      <c r="J49" s="715" t="str">
        <f>HYPERLINK("https://www.google.com/maps/search/Esta%C3%A7%C3%A3o%20de%20Vilar%20Formoso%20Largo%20da%20Esta%C3%A7%C3%A3o%2C%20Vilar%20Formoso%20Portugal","📍 Estação de Vilar Formoso")</f>
        <v>📍 Estação de Vilar Formoso</v>
      </c>
    </row>
    <row r="50" spans="1:10" ht="110" customHeight="1" x14ac:dyDescent="0.35">
      <c r="A50" s="358">
        <v>5</v>
      </c>
      <c r="B50" s="259" t="s">
        <v>14191</v>
      </c>
      <c r="C50" s="260" t="s">
        <v>836</v>
      </c>
      <c r="D50" s="259" t="s">
        <v>14192</v>
      </c>
      <c r="E50" s="259" t="s">
        <v>14193</v>
      </c>
      <c r="F50" s="259" t="s">
        <v>14031</v>
      </c>
      <c r="G50" s="259" t="s">
        <v>876</v>
      </c>
      <c r="H50" s="304" t="s">
        <v>14194</v>
      </c>
      <c r="I50" s="259" t="s">
        <v>5484</v>
      </c>
      <c r="J50" s="715" t="str">
        <f>HYPERLINK("https://www.google.com/maps/search/Esta%C3%A7%C3%A3o%20de%20Caldas%20da%20Rainha%20Largo%20da%20Esta%C3%A7%C3%A3o%2C%20Caldas%20da%20Rainha%20Portugal","📍 Estação de Caldas da Rainha")</f>
        <v>📍 Estação de Caldas da Rainha</v>
      </c>
    </row>
    <row r="51" spans="1:10" ht="110" customHeight="1" x14ac:dyDescent="0.35">
      <c r="A51" s="352">
        <v>6</v>
      </c>
      <c r="B51" s="262" t="s">
        <v>14195</v>
      </c>
      <c r="C51" s="263" t="s">
        <v>836</v>
      </c>
      <c r="D51" s="262" t="s">
        <v>14196</v>
      </c>
      <c r="E51" s="262" t="s">
        <v>14197</v>
      </c>
      <c r="F51" s="262" t="s">
        <v>14031</v>
      </c>
      <c r="G51" s="262" t="s">
        <v>876</v>
      </c>
      <c r="H51" s="305" t="s">
        <v>14198</v>
      </c>
      <c r="I51" s="262" t="s">
        <v>5484</v>
      </c>
      <c r="J51" s="715" t="str">
        <f>HYPERLINK("https://www.google.com/maps/search/Esta%C3%A7%C3%A3o%20de%20Abrantes%20Rossio%20ao%20Sul%20do%20Tejo%2C%20Abrantes%20Portugal","📍 Estação de Abrantes")</f>
        <v>📍 Estação de Abrantes</v>
      </c>
    </row>
    <row r="52" spans="1:10" ht="110" customHeight="1" x14ac:dyDescent="0.35">
      <c r="A52" s="358">
        <v>7</v>
      </c>
      <c r="B52" s="259" t="s">
        <v>14199</v>
      </c>
      <c r="C52" s="260" t="s">
        <v>836</v>
      </c>
      <c r="D52" s="259" t="s">
        <v>14200</v>
      </c>
      <c r="E52" s="259" t="s">
        <v>14201</v>
      </c>
      <c r="F52" s="259" t="s">
        <v>14202</v>
      </c>
      <c r="G52" s="259" t="s">
        <v>876</v>
      </c>
      <c r="H52" s="304" t="s">
        <v>14203</v>
      </c>
      <c r="I52" s="259" t="s">
        <v>5484</v>
      </c>
      <c r="J52" s="715" t="str">
        <f>HYPERLINK("https://www.google.com/maps/search/Esta%C3%A7%C3%A3o%20de%20Castelo%20Branco%20Av.%20do%20Empres%C3%A1rio%2C%20Castelo%20Branco%20Portugal","📍 Estação de Castelo Branco")</f>
        <v>📍 Estação de Castelo Branco</v>
      </c>
    </row>
    <row r="53" spans="1:10" ht="110" customHeight="1" x14ac:dyDescent="0.35">
      <c r="A53" s="352">
        <v>8</v>
      </c>
      <c r="B53" s="262" t="s">
        <v>14204</v>
      </c>
      <c r="C53" s="263" t="s">
        <v>836</v>
      </c>
      <c r="D53" s="262" t="s">
        <v>14205</v>
      </c>
      <c r="E53" s="262" t="s">
        <v>14206</v>
      </c>
      <c r="F53" s="262" t="s">
        <v>937</v>
      </c>
      <c r="G53" s="262" t="s">
        <v>876</v>
      </c>
      <c r="H53" s="305" t="s">
        <v>14207</v>
      </c>
      <c r="I53" s="262" t="s">
        <v>5484</v>
      </c>
      <c r="J53" s="715" t="str">
        <f>HYPERLINK("https://www.google.com/maps/search/Esta%C3%A7%C3%A3o%20da%20Guarda%20Bairro%20da%20Esta%C3%A7%C3%A3o%2C%20Guarda%20Portugal","📍 Estação da Guarda")</f>
        <v>📍 Estação da Guarda</v>
      </c>
    </row>
    <row r="54" spans="1:10" ht="110" customHeight="1" x14ac:dyDescent="0.35">
      <c r="A54" s="358">
        <v>9</v>
      </c>
      <c r="B54" s="259" t="s">
        <v>14208</v>
      </c>
      <c r="C54" s="260" t="s">
        <v>836</v>
      </c>
      <c r="D54" s="259" t="s">
        <v>14209</v>
      </c>
      <c r="E54" s="259" t="s">
        <v>14210</v>
      </c>
      <c r="F54" s="259" t="s">
        <v>14211</v>
      </c>
      <c r="G54" s="259" t="s">
        <v>876</v>
      </c>
      <c r="H54" s="304" t="s">
        <v>14212</v>
      </c>
      <c r="I54" s="259" t="s">
        <v>14213</v>
      </c>
      <c r="J54" s="715" t="str">
        <f>HYPERLINK("https://www.google.com/maps/search/Esta%C3%A7%C3%A3o%20de%20Tomar%20Av.%20dos%20Combatentes%2C%20Tomar%20Portugal","📍 Estação de Tomar")</f>
        <v>📍 Estação de Tomar</v>
      </c>
    </row>
    <row r="55" spans="1:10" ht="110" customHeight="1" x14ac:dyDescent="0.35">
      <c r="A55" s="352">
        <v>10</v>
      </c>
      <c r="B55" s="262" t="s">
        <v>14214</v>
      </c>
      <c r="C55" s="263" t="s">
        <v>836</v>
      </c>
      <c r="D55" s="262" t="s">
        <v>14215</v>
      </c>
      <c r="E55" s="262" t="s">
        <v>14216</v>
      </c>
      <c r="F55" s="262" t="s">
        <v>14217</v>
      </c>
      <c r="G55" s="262" t="s">
        <v>14218</v>
      </c>
      <c r="H55" s="305" t="s">
        <v>14219</v>
      </c>
      <c r="I55" s="262" t="s">
        <v>14220</v>
      </c>
      <c r="J55" s="715" t="str">
        <f>HYPERLINK("https://www.google.com/maps/search/N%C3%BAcleo%20Museol%C3%B3gico%20de%20Macinhata%20do%20Vouga%20Esta%C3%A7%C3%A3o%20Macinhata%20do%20Vouga%2C%20%C3%81gueda%20Portugal","📍 Núcleo Museológico de Macinhata do Vouga")</f>
        <v>📍 Núcleo Museológico de Macinhata do Vouga</v>
      </c>
    </row>
    <row r="56" spans="1:10" ht="110" customHeight="1" x14ac:dyDescent="0.35">
      <c r="A56" s="358">
        <v>11</v>
      </c>
      <c r="B56" s="259" t="s">
        <v>14221</v>
      </c>
      <c r="C56" s="260" t="s">
        <v>836</v>
      </c>
      <c r="D56" s="259" t="s">
        <v>14222</v>
      </c>
      <c r="E56" s="259" t="s">
        <v>14223</v>
      </c>
      <c r="F56" s="259" t="s">
        <v>14031</v>
      </c>
      <c r="G56" s="259" t="s">
        <v>876</v>
      </c>
      <c r="H56" s="304" t="s">
        <v>14224</v>
      </c>
      <c r="I56" s="259" t="s">
        <v>5484</v>
      </c>
      <c r="J56" s="715" t="str">
        <f>HYPERLINK("https://www.google.com/maps/search/Esta%C3%A7%C3%A3o%20de%20Santa%20Comba%20D%C3%A3o%20Vimieiro%2C%20Santa%20Comba%20D%C3%A3o%20Portugal","📍 Estação de Santa Comba Dão")</f>
        <v>📍 Estação de Santa Comba Dão</v>
      </c>
    </row>
    <row r="57" spans="1:10" ht="110" customHeight="1" x14ac:dyDescent="0.35">
      <c r="A57" s="352">
        <v>12</v>
      </c>
      <c r="B57" s="262" t="s">
        <v>14225</v>
      </c>
      <c r="C57" s="263" t="s">
        <v>836</v>
      </c>
      <c r="D57" s="262" t="s">
        <v>14226</v>
      </c>
      <c r="E57" s="262" t="s">
        <v>14227</v>
      </c>
      <c r="F57" s="262" t="s">
        <v>14031</v>
      </c>
      <c r="G57" s="262" t="s">
        <v>876</v>
      </c>
      <c r="H57" s="305" t="s">
        <v>14228</v>
      </c>
      <c r="I57" s="262" t="s">
        <v>5484</v>
      </c>
      <c r="J57" s="715" t="str">
        <f>HYPERLINK("https://www.google.com/maps/search/Esta%C3%A7%C3%A3o%20de%20Leiria%20Av.%20da%20Esta%C3%A7%C3%A3o%2C%20Leiria%20Portugal","📍 Estação de Leiria")</f>
        <v>📍 Estação de Leiria</v>
      </c>
    </row>
    <row r="58" spans="1:10" ht="110" customHeight="1" x14ac:dyDescent="0.35">
      <c r="A58" s="358">
        <v>13</v>
      </c>
      <c r="B58" s="259" t="s">
        <v>14229</v>
      </c>
      <c r="C58" s="260" t="s">
        <v>836</v>
      </c>
      <c r="D58" s="259" t="s">
        <v>14230</v>
      </c>
      <c r="E58" s="259" t="s">
        <v>14231</v>
      </c>
      <c r="F58" s="259" t="s">
        <v>14019</v>
      </c>
      <c r="G58" s="259" t="s">
        <v>876</v>
      </c>
      <c r="H58" s="304" t="s">
        <v>14232</v>
      </c>
      <c r="I58" s="259" t="s">
        <v>14233</v>
      </c>
      <c r="J58" s="715" t="str">
        <f>HYPERLINK("https://www.google.com/maps/search/Esta%C3%A7%C3%A3o%20da%20Figueira%20da%20Foz%20Largo%20da%20Esta%C3%A7%C3%A3o%2C%20Figueira%20da%20Foz%20Portugal","📍 Estação da Figueira da Foz")</f>
        <v>📍 Estação da Figueira da Foz</v>
      </c>
    </row>
    <row r="59" spans="1:10" ht="110" customHeight="1" x14ac:dyDescent="0.35">
      <c r="A59" s="352">
        <v>14</v>
      </c>
      <c r="B59" s="262" t="s">
        <v>14234</v>
      </c>
      <c r="C59" s="263" t="s">
        <v>836</v>
      </c>
      <c r="D59" s="262" t="s">
        <v>14235</v>
      </c>
      <c r="E59" s="262" t="s">
        <v>14236</v>
      </c>
      <c r="F59" s="262" t="s">
        <v>14237</v>
      </c>
      <c r="G59" s="262" t="s">
        <v>795</v>
      </c>
      <c r="H59" s="305" t="s">
        <v>14238</v>
      </c>
      <c r="I59" s="262" t="s">
        <v>14239</v>
      </c>
      <c r="J59" s="715" t="str">
        <f>HYPERLINK("https://www.google.com/maps/search/Esta%C3%A7%C3%A3o%20de%20Marv%C3%A3o-Beir%C3%A3%20(Desativada)%20Beir%C3%A3%2C%20Marv%C3%A3o%20Portugal","📍 Estação de Marvão-Beirã (Desativada)")</f>
        <v>📍 Estação de Marvão-Beirã (Desativada)</v>
      </c>
    </row>
    <row r="60" spans="1:10" ht="110" customHeight="1" x14ac:dyDescent="0.35">
      <c r="A60" s="358">
        <v>15</v>
      </c>
      <c r="B60" s="259" t="s">
        <v>14240</v>
      </c>
      <c r="C60" s="260" t="s">
        <v>836</v>
      </c>
      <c r="D60" s="259" t="s">
        <v>14241</v>
      </c>
      <c r="E60" s="259" t="s">
        <v>14242</v>
      </c>
      <c r="F60" s="259" t="s">
        <v>937</v>
      </c>
      <c r="G60" s="259" t="s">
        <v>876</v>
      </c>
      <c r="H60" s="304" t="s">
        <v>14243</v>
      </c>
      <c r="I60" s="259" t="s">
        <v>13984</v>
      </c>
      <c r="J60" s="715" t="str">
        <f>HYPERLINK("https://www.google.com/maps/search/Esta%C3%A7%C3%A3o%20de%20Coimbra-B%20Rua%20da%20Esta%C3%A7%C3%A3o%20Velha%2C%20Coimbra%20Portugal","📍 Estação de Coimbra-B")</f>
        <v>📍 Estação de Coimbra-B</v>
      </c>
    </row>
    <row r="61" spans="1:10" ht="110" customHeight="1" x14ac:dyDescent="0.35">
      <c r="A61" s="352">
        <v>16</v>
      </c>
      <c r="B61" s="262" t="s">
        <v>14244</v>
      </c>
      <c r="C61" s="263" t="s">
        <v>836</v>
      </c>
      <c r="D61" s="262" t="s">
        <v>14245</v>
      </c>
      <c r="E61" s="262" t="s">
        <v>14246</v>
      </c>
      <c r="F61" s="262" t="s">
        <v>14031</v>
      </c>
      <c r="G61" s="262" t="s">
        <v>876</v>
      </c>
      <c r="H61" s="305" t="s">
        <v>14247</v>
      </c>
      <c r="I61" s="262" t="s">
        <v>5484</v>
      </c>
      <c r="J61" s="715" t="str">
        <f>HYPERLINK("https://www.google.com/maps/search/Esta%C3%A7%C3%A3o%20de%20Mangualde%20Largo%20da%20Esta%C3%A7%C3%A3o%2C%20Mangualde%20Portugal","📍 Estação de Mangualde")</f>
        <v>📍 Estação de Mangualde</v>
      </c>
    </row>
    <row r="62" spans="1:10" ht="110" customHeight="1" x14ac:dyDescent="0.35">
      <c r="A62" s="358">
        <v>17</v>
      </c>
      <c r="B62" s="259" t="s">
        <v>14248</v>
      </c>
      <c r="C62" s="260" t="s">
        <v>836</v>
      </c>
      <c r="D62" s="259" t="s">
        <v>14249</v>
      </c>
      <c r="E62" s="259" t="s">
        <v>14250</v>
      </c>
      <c r="F62" s="259" t="s">
        <v>14031</v>
      </c>
      <c r="G62" s="259" t="s">
        <v>876</v>
      </c>
      <c r="H62" s="304" t="s">
        <v>14251</v>
      </c>
      <c r="I62" s="259" t="s">
        <v>5484</v>
      </c>
      <c r="J62" s="715" t="str">
        <f>HYPERLINK("https://www.google.com/maps/search/Esta%C3%A7%C3%A3o%20de%20Nelas%20Largo%20da%20Esta%C3%A7%C3%A3o%2C%20Nelas%20Portugal","📍 Estação de Nelas")</f>
        <v>📍 Estação de Nelas</v>
      </c>
    </row>
    <row r="63" spans="1:10" ht="110" customHeight="1" x14ac:dyDescent="0.35">
      <c r="A63" s="352">
        <v>18</v>
      </c>
      <c r="B63" s="262" t="s">
        <v>14252</v>
      </c>
      <c r="C63" s="263" t="s">
        <v>836</v>
      </c>
      <c r="D63" s="262" t="s">
        <v>14253</v>
      </c>
      <c r="E63" s="262" t="s">
        <v>14254</v>
      </c>
      <c r="F63" s="262" t="s">
        <v>14255</v>
      </c>
      <c r="G63" s="262" t="s">
        <v>876</v>
      </c>
      <c r="H63" s="305" t="s">
        <v>14256</v>
      </c>
      <c r="I63" s="262" t="s">
        <v>14257</v>
      </c>
      <c r="J63" s="715" t="str">
        <f>HYPERLINK("https://www.google.com/maps/search/Esta%C3%A7%C3%A3o%20de%20Viseu%20(Desativada)%20Rua%20Cap.%20Silva%20Pereira%2C%20Viseu%20Portugal","📍 Estação de Viseu (Desativada)")</f>
        <v>📍 Estação de Viseu (Desativada)</v>
      </c>
    </row>
    <row r="64" spans="1:10" ht="110" customHeight="1" x14ac:dyDescent="0.35">
      <c r="A64" s="358">
        <v>19</v>
      </c>
      <c r="B64" s="259" t="s">
        <v>14258</v>
      </c>
      <c r="C64" s="260" t="s">
        <v>836</v>
      </c>
      <c r="D64" s="259" t="s">
        <v>14259</v>
      </c>
      <c r="E64" s="259" t="s">
        <v>14260</v>
      </c>
      <c r="F64" s="259" t="s">
        <v>14102</v>
      </c>
      <c r="G64" s="259" t="s">
        <v>876</v>
      </c>
      <c r="H64" s="304" t="s">
        <v>14261</v>
      </c>
      <c r="I64" s="259" t="s">
        <v>14262</v>
      </c>
      <c r="J64" s="715" t="str">
        <f>HYPERLINK("https://www.google.com/maps/search/Esta%C3%A7%C3%A3o%20de%20Lous%C3%A3%20(Desativada)%20Largo%20da%20Esta%C3%A7%C3%A3o%2C%20Lous%C3%A3%20Portugal","📍 Estação de Lousã (Desativada)")</f>
        <v>📍 Estação de Lousã (Desativada)</v>
      </c>
    </row>
    <row r="65" spans="1:10" ht="110" customHeight="1" x14ac:dyDescent="0.35">
      <c r="A65" s="352">
        <v>20</v>
      </c>
      <c r="B65" s="262" t="s">
        <v>14263</v>
      </c>
      <c r="C65" s="263" t="s">
        <v>836</v>
      </c>
      <c r="D65" s="262" t="s">
        <v>14264</v>
      </c>
      <c r="E65" s="262" t="s">
        <v>14265</v>
      </c>
      <c r="F65" s="262" t="s">
        <v>14102</v>
      </c>
      <c r="G65" s="262" t="s">
        <v>876</v>
      </c>
      <c r="H65" s="305" t="s">
        <v>14266</v>
      </c>
      <c r="I65" s="262" t="s">
        <v>5484</v>
      </c>
      <c r="J65" s="715" t="str">
        <f>HYPERLINK("https://www.google.com/maps/search/Esta%C3%A7%C3%A3o%20de%20Serpins%20(Desativada)%20Serpins%2C%20Lous%C3%A3%20Portugal","📍 Estação de Serpins (Desativada)")</f>
        <v>📍 Estação de Serpins (Desativada)</v>
      </c>
    </row>
    <row r="66" spans="1:10" ht="110" customHeight="1" x14ac:dyDescent="0.35">
      <c r="A66" s="358">
        <v>21</v>
      </c>
      <c r="B66" s="259" t="s">
        <v>14267</v>
      </c>
      <c r="C66" s="260" t="s">
        <v>836</v>
      </c>
      <c r="D66" s="259" t="s">
        <v>14268</v>
      </c>
      <c r="E66" s="259" t="s">
        <v>14269</v>
      </c>
      <c r="F66" s="259" t="s">
        <v>14270</v>
      </c>
      <c r="G66" s="259" t="s">
        <v>876</v>
      </c>
      <c r="H66" s="304" t="s">
        <v>14271</v>
      </c>
      <c r="I66" s="259" t="s">
        <v>14272</v>
      </c>
      <c r="J66" s="715" t="str">
        <f>HYPERLINK("https://www.google.com/maps/search/Esta%C3%A7%C3%A3o%20das%20Termas%20de%20S.%20Pedro%20do%20Sul%20(Desativada)%20Termas%20de%20S.%20Pedro%20do%20Sul%20Portugal","📍 Estação das Termas de S. Pedro do Sul (Des")</f>
        <v>📍 Estação das Termas de S. Pedro do Sul (Des</v>
      </c>
    </row>
    <row r="67" spans="1:10" ht="110" customHeight="1" x14ac:dyDescent="0.35">
      <c r="A67" s="352">
        <v>22</v>
      </c>
      <c r="B67" s="262" t="s">
        <v>14273</v>
      </c>
      <c r="C67" s="263" t="s">
        <v>836</v>
      </c>
      <c r="D67" s="262" t="s">
        <v>14274</v>
      </c>
      <c r="E67" s="262" t="s">
        <v>14275</v>
      </c>
      <c r="F67" s="262" t="s">
        <v>14276</v>
      </c>
      <c r="G67" s="262" t="s">
        <v>5484</v>
      </c>
      <c r="H67" s="305" t="s">
        <v>14277</v>
      </c>
      <c r="I67" s="262" t="s">
        <v>5484</v>
      </c>
      <c r="J67" s="715" t="str">
        <f>HYPERLINK("https://www.google.com/maps/search/T%C3%BAnel%20do%20Trezoi%20Trezoi%2C%20Mort%C3%A1gua%20Portugal","📍 Túnel do Trezoi")</f>
        <v>📍 Túnel do Trezoi</v>
      </c>
    </row>
    <row r="68" spans="1:10" ht="110" customHeight="1" x14ac:dyDescent="0.35">
      <c r="A68" s="358">
        <v>23</v>
      </c>
      <c r="B68" s="259" t="s">
        <v>14278</v>
      </c>
      <c r="C68" s="260" t="s">
        <v>836</v>
      </c>
      <c r="D68" s="259" t="s">
        <v>14279</v>
      </c>
      <c r="E68" s="259" t="s">
        <v>14280</v>
      </c>
      <c r="F68" s="259" t="s">
        <v>14031</v>
      </c>
      <c r="G68" s="259" t="s">
        <v>876</v>
      </c>
      <c r="H68" s="304" t="s">
        <v>14281</v>
      </c>
      <c r="I68" s="259" t="s">
        <v>14282</v>
      </c>
      <c r="J68" s="715" t="str">
        <f>HYPERLINK("https://www.google.com/maps/search/Esta%C3%A7%C3%A3o%20de%20Santar%C3%A9m%20Ribeira%20de%20Santar%C3%A9m%20Portugal","📍 Estação de Santarém")</f>
        <v>📍 Estação de Santarém</v>
      </c>
    </row>
    <row r="69" spans="1:10" ht="110" customHeight="1" x14ac:dyDescent="0.35">
      <c r="A69" s="352">
        <v>24</v>
      </c>
      <c r="B69" s="262" t="s">
        <v>14283</v>
      </c>
      <c r="C69" s="263" t="s">
        <v>836</v>
      </c>
      <c r="D69" s="262" t="s">
        <v>14284</v>
      </c>
      <c r="E69" s="262" t="s">
        <v>14285</v>
      </c>
      <c r="F69" s="262" t="s">
        <v>14031</v>
      </c>
      <c r="G69" s="262" t="s">
        <v>876</v>
      </c>
      <c r="H69" s="305" t="s">
        <v>14286</v>
      </c>
      <c r="I69" s="262" t="s">
        <v>5484</v>
      </c>
      <c r="J69" s="715" t="str">
        <f>HYPERLINK("https://www.google.com/maps/search/Esta%C3%A7%C3%A3o%20de%20Albergaria-a-Velha%20Largo%20da%20Esta%C3%A7%C3%A3o%2C%20Albergaria%20Portugal","📍 Estação de Albergaria-a-Velha")</f>
        <v>📍 Estação de Albergaria-a-Velha</v>
      </c>
    </row>
    <row r="70" spans="1:10" ht="110" customHeight="1" x14ac:dyDescent="0.35">
      <c r="A70" s="358">
        <v>25</v>
      </c>
      <c r="B70" s="259" t="s">
        <v>14287</v>
      </c>
      <c r="C70" s="260" t="s">
        <v>836</v>
      </c>
      <c r="D70" s="259" t="s">
        <v>14288</v>
      </c>
      <c r="E70" s="259" t="s">
        <v>14289</v>
      </c>
      <c r="F70" s="259" t="s">
        <v>14031</v>
      </c>
      <c r="G70" s="259" t="s">
        <v>876</v>
      </c>
      <c r="H70" s="304" t="s">
        <v>14290</v>
      </c>
      <c r="I70" s="259" t="s">
        <v>5484</v>
      </c>
      <c r="J70" s="715" t="str">
        <f>HYPERLINK("https://www.google.com/maps/search/Esta%C3%A7%C3%A3o%20de%20%C3%81gueda%20Rua%20da%20Esta%C3%A7%C3%A3o%2C%20%C3%81gueda%20Portugal","📍 Estação de Águeda")</f>
        <v>📍 Estação de Águeda</v>
      </c>
    </row>
    <row r="71" spans="1:10" ht="110" customHeight="1" x14ac:dyDescent="0.35">
      <c r="A71" s="352">
        <v>26</v>
      </c>
      <c r="B71" s="262" t="s">
        <v>14291</v>
      </c>
      <c r="C71" s="263" t="s">
        <v>836</v>
      </c>
      <c r="D71" s="262" t="s">
        <v>14292</v>
      </c>
      <c r="E71" s="262" t="s">
        <v>14293</v>
      </c>
      <c r="F71" s="262" t="s">
        <v>14031</v>
      </c>
      <c r="G71" s="262" t="s">
        <v>876</v>
      </c>
      <c r="H71" s="305" t="s">
        <v>14294</v>
      </c>
      <c r="I71" s="262" t="s">
        <v>5484</v>
      </c>
      <c r="J71" s="715" t="str">
        <f>HYPERLINK("https://www.google.com/maps/search/Esta%C3%A7%C3%A3o%20da%20Mealhada%20Largo%20da%20Esta%C3%A7%C3%A3o%2C%20Mealhada%20Portugal","📍 Estação da Mealhada")</f>
        <v>📍 Estação da Mealhada</v>
      </c>
    </row>
    <row r="72" spans="1:10" ht="110" customHeight="1" x14ac:dyDescent="0.35">
      <c r="A72" s="358">
        <v>27</v>
      </c>
      <c r="B72" s="259" t="s">
        <v>14295</v>
      </c>
      <c r="C72" s="260" t="s">
        <v>836</v>
      </c>
      <c r="D72" s="259" t="s">
        <v>14296</v>
      </c>
      <c r="E72" s="259" t="s">
        <v>14297</v>
      </c>
      <c r="F72" s="259" t="s">
        <v>937</v>
      </c>
      <c r="G72" s="259" t="s">
        <v>876</v>
      </c>
      <c r="H72" s="304" t="s">
        <v>14298</v>
      </c>
      <c r="I72" s="259" t="s">
        <v>14299</v>
      </c>
      <c r="J72" s="715" t="str">
        <f>HYPERLINK("https://www.google.com/maps/search/Esta%C3%A7%C3%A3o%20de%20Pombal%20Largo%20da%20Esta%C3%A7%C3%A3o%2C%20Pombal%20Portugal","📍 Estação de Pombal")</f>
        <v>📍 Estação de Pombal</v>
      </c>
    </row>
    <row r="73" spans="1:10" ht="110" customHeight="1" x14ac:dyDescent="0.35">
      <c r="A73" s="352">
        <v>28</v>
      </c>
      <c r="B73" s="262" t="s">
        <v>14300</v>
      </c>
      <c r="C73" s="263" t="s">
        <v>836</v>
      </c>
      <c r="D73" s="262" t="s">
        <v>14301</v>
      </c>
      <c r="E73" s="262" t="s">
        <v>14302</v>
      </c>
      <c r="F73" s="262" t="s">
        <v>14031</v>
      </c>
      <c r="G73" s="262" t="s">
        <v>876</v>
      </c>
      <c r="H73" s="305" t="s">
        <v>14303</v>
      </c>
      <c r="I73" s="262" t="s">
        <v>5484</v>
      </c>
      <c r="J73" s="715" t="str">
        <f>HYPERLINK("https://www.google.com/maps/search/Esta%C3%A7%C3%A3o%20de%20Alfarelos%20Granja%20do%20Ulmeiro%2C%20Soure%20Portugal","📍 Estação de Alfarelos")</f>
        <v>📍 Estação de Alfarelos</v>
      </c>
    </row>
    <row r="74" spans="1:10" ht="110" customHeight="1" x14ac:dyDescent="0.35">
      <c r="A74" s="358">
        <v>29</v>
      </c>
      <c r="B74" s="259" t="s">
        <v>14304</v>
      </c>
      <c r="C74" s="260" t="s">
        <v>836</v>
      </c>
      <c r="D74" s="259" t="s">
        <v>14305</v>
      </c>
      <c r="E74" s="259" t="s">
        <v>14306</v>
      </c>
      <c r="F74" s="259" t="s">
        <v>14307</v>
      </c>
      <c r="G74" s="259" t="s">
        <v>876</v>
      </c>
      <c r="H74" s="304" t="s">
        <v>14308</v>
      </c>
      <c r="I74" s="259" t="s">
        <v>14309</v>
      </c>
      <c r="J74" s="715" t="str">
        <f>HYPERLINK("https://www.google.com/maps/search/Esta%C3%A7%C3%A3o%20da%20Covilh%C3%A3%20Largo%20da%20Esta%C3%A7%C3%A3o%2C%20Covilh%C3%A3%20Portugal","📍 Estação da Covilhã")</f>
        <v>📍 Estação da Covilhã</v>
      </c>
    </row>
    <row r="75" spans="1:10" ht="110" customHeight="1" x14ac:dyDescent="0.35">
      <c r="A75" s="352">
        <v>30</v>
      </c>
      <c r="B75" s="262" t="s">
        <v>14310</v>
      </c>
      <c r="C75" s="263" t="s">
        <v>836</v>
      </c>
      <c r="D75" s="262" t="s">
        <v>14311</v>
      </c>
      <c r="E75" s="262" t="s">
        <v>14312</v>
      </c>
      <c r="F75" s="262" t="s">
        <v>14102</v>
      </c>
      <c r="G75" s="262" t="s">
        <v>876</v>
      </c>
      <c r="H75" s="305" t="s">
        <v>14313</v>
      </c>
      <c r="I75" s="262" t="s">
        <v>14314</v>
      </c>
      <c r="J75" s="715" t="str">
        <f>HYPERLINK("https://www.google.com/maps/search/Esta%C3%A7%C3%A3o%20de%20Castelo%20de%20Vide%20(Desativada)%20Esta%C3%A7%C3%A3o%20de%20Castelo%20de%20Vide%20Portugal","📍 Estação de Castelo de Vide (Desativada)")</f>
        <v>📍 Estação de Castelo de Vide (Desativada)</v>
      </c>
    </row>
    <row r="76" spans="1:10" ht="110" customHeight="1" x14ac:dyDescent="0.35">
      <c r="A76" s="358">
        <v>31</v>
      </c>
      <c r="B76" s="259" t="s">
        <v>14315</v>
      </c>
      <c r="C76" s="260" t="s">
        <v>836</v>
      </c>
      <c r="D76" s="259" t="s">
        <v>14316</v>
      </c>
      <c r="E76" s="259" t="s">
        <v>14317</v>
      </c>
      <c r="F76" s="259" t="s">
        <v>14031</v>
      </c>
      <c r="G76" s="259" t="s">
        <v>876</v>
      </c>
      <c r="H76" s="304" t="s">
        <v>14318</v>
      </c>
      <c r="I76" s="259" t="s">
        <v>5484</v>
      </c>
      <c r="J76" s="715" t="str">
        <f>HYPERLINK("https://www.google.com/maps/search/Esta%C3%A7%C3%A3o%20de%20Vila%20Nova%20da%20Barquinha%20Largo%20da%20Esta%C3%A7%C3%A3o%2C%20V.N.%20Barquinha%20Portugal","📍 Estação de Vila Nova da Barquinha")</f>
        <v>📍 Estação de Vila Nova da Barquinha</v>
      </c>
    </row>
    <row r="77" spans="1:10" ht="110" customHeight="1" x14ac:dyDescent="0.35">
      <c r="A77" s="352">
        <v>32</v>
      </c>
      <c r="B77" s="262" t="s">
        <v>14319</v>
      </c>
      <c r="C77" s="263" t="s">
        <v>836</v>
      </c>
      <c r="D77" s="262" t="s">
        <v>14320</v>
      </c>
      <c r="E77" s="262" t="s">
        <v>14321</v>
      </c>
      <c r="F77" s="262" t="s">
        <v>14031</v>
      </c>
      <c r="G77" s="262" t="s">
        <v>876</v>
      </c>
      <c r="H77" s="305" t="s">
        <v>14322</v>
      </c>
      <c r="I77" s="262" t="s">
        <v>5484</v>
      </c>
      <c r="J77" s="715" t="str">
        <f>HYPERLINK("https://www.google.com/maps/search/Esta%C3%A7%C3%A3o%20de%20%C3%93bidos%20Estrada%20da%20Esta%C3%A7%C3%A3o%2C%20%C3%93bidos%20Portugal","📍 Estação de Óbidos")</f>
        <v>📍 Estação de Óbidos</v>
      </c>
    </row>
    <row r="78" spans="1:10" ht="110" customHeight="1" x14ac:dyDescent="0.35">
      <c r="A78" s="358">
        <v>33</v>
      </c>
      <c r="B78" s="259" t="s">
        <v>14323</v>
      </c>
      <c r="C78" s="260" t="s">
        <v>836</v>
      </c>
      <c r="D78" s="259" t="s">
        <v>14324</v>
      </c>
      <c r="E78" s="259" t="s">
        <v>14325</v>
      </c>
      <c r="F78" s="259" t="s">
        <v>14031</v>
      </c>
      <c r="G78" s="259" t="s">
        <v>876</v>
      </c>
      <c r="H78" s="304" t="s">
        <v>14326</v>
      </c>
      <c r="I78" s="259" t="s">
        <v>5484</v>
      </c>
      <c r="J78" s="715" t="str">
        <f>HYPERLINK("https://www.google.com/maps/search/Esta%C3%A7%C3%A3o%20de%20Oliveira%20do%20Bairro%20Largo%20da%20Esta%C3%A7%C3%A3o%2C%20Oliveira%20do%20Bairro%20Portugal","📍 Estação de Oliveira do Bairro")</f>
        <v>📍 Estação de Oliveira do Bairro</v>
      </c>
    </row>
    <row r="79" spans="1:10" ht="110" customHeight="1" x14ac:dyDescent="0.35">
      <c r="A79" s="352">
        <v>34</v>
      </c>
      <c r="B79" s="262" t="s">
        <v>14327</v>
      </c>
      <c r="C79" s="263" t="s">
        <v>836</v>
      </c>
      <c r="D79" s="262" t="s">
        <v>14328</v>
      </c>
      <c r="E79" s="262" t="s">
        <v>14329</v>
      </c>
      <c r="F79" s="262" t="s">
        <v>14031</v>
      </c>
      <c r="G79" s="262" t="s">
        <v>876</v>
      </c>
      <c r="H79" s="305" t="s">
        <v>14330</v>
      </c>
      <c r="I79" s="262" t="s">
        <v>5484</v>
      </c>
      <c r="J79" s="715" t="str">
        <f>HYPERLINK("https://www.google.com/maps/search/Esta%C3%A7%C3%A3o%20de%20F%C3%A1tima%20(Ch%C3%A3o%20de%20Ma%C3%A7%C3%A3s)%20Ch%C3%A3o%20de%20Ma%C3%A7%C3%A3s%2C%20Tomar%20Portugal","📍 Estação de Fátima (Chão de Maçãs)")</f>
        <v>📍 Estação de Fátima (Chão de Maçãs)</v>
      </c>
    </row>
    <row r="80" spans="1:10" ht="110" customHeight="1" x14ac:dyDescent="0.35">
      <c r="A80" s="358">
        <v>35</v>
      </c>
      <c r="B80" s="259" t="s">
        <v>14331</v>
      </c>
      <c r="C80" s="260" t="s">
        <v>836</v>
      </c>
      <c r="D80" s="259" t="s">
        <v>14332</v>
      </c>
      <c r="E80" s="259" t="s">
        <v>14333</v>
      </c>
      <c r="F80" s="259" t="s">
        <v>14031</v>
      </c>
      <c r="G80" s="259" t="s">
        <v>876</v>
      </c>
      <c r="H80" s="304" t="s">
        <v>14334</v>
      </c>
      <c r="I80" s="259" t="s">
        <v>5484</v>
      </c>
      <c r="J80" s="715" t="str">
        <f>HYPERLINK("https://www.google.com/maps/search/Esta%C3%A7%C3%A3o%20de%20Mort%C3%A1gua%20Largo%20da%20Esta%C3%A7%C3%A3o%2C%20Mort%C3%A1gua%20Portugal","📍 Estação de Mortágua")</f>
        <v>📍 Estação de Mortágua</v>
      </c>
    </row>
    <row r="81" spans="1:10" ht="110" customHeight="1" x14ac:dyDescent="0.35">
      <c r="A81" s="352">
        <v>36</v>
      </c>
      <c r="B81" s="262" t="s">
        <v>14335</v>
      </c>
      <c r="C81" s="263" t="s">
        <v>836</v>
      </c>
      <c r="D81" s="262" t="s">
        <v>14336</v>
      </c>
      <c r="E81" s="262" t="s">
        <v>14337</v>
      </c>
      <c r="F81" s="262" t="s">
        <v>14031</v>
      </c>
      <c r="G81" s="262" t="s">
        <v>876</v>
      </c>
      <c r="H81" s="305" t="s">
        <v>14338</v>
      </c>
      <c r="I81" s="262" t="s">
        <v>5484</v>
      </c>
      <c r="J81" s="715" t="str">
        <f>HYPERLINK("https://www.google.com/maps/search/Esta%C3%A7%C3%A3o%20de%20Gouveia%20Gouveia%20Gare%20Portugal","📍 Estação de Gouveia")</f>
        <v>📍 Estação de Gouveia</v>
      </c>
    </row>
    <row r="82" spans="1:10" ht="110" customHeight="1" x14ac:dyDescent="0.35">
      <c r="A82" s="358">
        <v>37</v>
      </c>
      <c r="B82" s="259" t="s">
        <v>14339</v>
      </c>
      <c r="C82" s="260" t="s">
        <v>836</v>
      </c>
      <c r="D82" s="259" t="s">
        <v>14340</v>
      </c>
      <c r="E82" s="259" t="s">
        <v>14341</v>
      </c>
      <c r="F82" s="259" t="s">
        <v>14014</v>
      </c>
      <c r="G82" s="259" t="s">
        <v>876</v>
      </c>
      <c r="H82" s="304" t="s">
        <v>14342</v>
      </c>
      <c r="I82" s="259" t="s">
        <v>5484</v>
      </c>
      <c r="J82" s="715" t="str">
        <f>HYPERLINK("https://www.google.com/maps/search/Ponte%20de%20Praia%20do%20Ribatejo%20Praia%20do%20Ribatejo%2C%20V.N.%20Barquinha%20Portugal","📍 Ponte de Praia do Ribatejo")</f>
        <v>📍 Ponte de Praia do Ribatejo</v>
      </c>
    </row>
    <row r="83" spans="1:10" ht="110" customHeight="1" x14ac:dyDescent="0.35">
      <c r="A83" s="352">
        <v>38</v>
      </c>
      <c r="B83" s="262" t="s">
        <v>14343</v>
      </c>
      <c r="C83" s="263" t="s">
        <v>836</v>
      </c>
      <c r="D83" s="262" t="s">
        <v>14344</v>
      </c>
      <c r="E83" s="262" t="s">
        <v>14345</v>
      </c>
      <c r="F83" s="262" t="s">
        <v>14031</v>
      </c>
      <c r="G83" s="262" t="s">
        <v>876</v>
      </c>
      <c r="H83" s="305" t="s">
        <v>14346</v>
      </c>
      <c r="I83" s="262" t="s">
        <v>5484</v>
      </c>
      <c r="J83" s="715" t="str">
        <f>HYPERLINK("https://www.google.com/maps/search/Esta%C3%A7%C3%A3o%20de%20Mouriscas%20Mouriscas%2C%20Abrantes%20Portugal","📍 Estação de Mouriscas")</f>
        <v>📍 Estação de Mouriscas</v>
      </c>
    </row>
    <row r="84" spans="1:10" ht="110" customHeight="1" x14ac:dyDescent="0.35">
      <c r="A84" s="358">
        <v>39</v>
      </c>
      <c r="B84" s="259" t="s">
        <v>14347</v>
      </c>
      <c r="C84" s="260" t="s">
        <v>836</v>
      </c>
      <c r="D84" s="259" t="s">
        <v>14348</v>
      </c>
      <c r="E84" s="259" t="s">
        <v>14349</v>
      </c>
      <c r="F84" s="259" t="s">
        <v>14350</v>
      </c>
      <c r="G84" s="259" t="s">
        <v>5484</v>
      </c>
      <c r="H84" s="304" t="s">
        <v>14351</v>
      </c>
      <c r="I84" s="259" t="s">
        <v>5484</v>
      </c>
      <c r="J84" s="715" t="str">
        <f>HYPERLINK("https://www.google.com/maps/search/Esta%C3%A7%C3%A3o%20de%20Souselas%20Souselas%2C%20Coimbra%20Portugal","📍 Estação de Souselas")</f>
        <v>📍 Estação de Souselas</v>
      </c>
    </row>
    <row r="85" spans="1:10" ht="110" customHeight="1" x14ac:dyDescent="0.35">
      <c r="A85" s="352">
        <v>40</v>
      </c>
      <c r="B85" s="262" t="s">
        <v>14161</v>
      </c>
      <c r="C85" s="263" t="s">
        <v>836</v>
      </c>
      <c r="D85" s="262" t="s">
        <v>1928</v>
      </c>
      <c r="E85" s="262" t="s">
        <v>14352</v>
      </c>
      <c r="F85" s="262" t="s">
        <v>14031</v>
      </c>
      <c r="G85" s="262" t="s">
        <v>876</v>
      </c>
      <c r="H85" s="305" t="s">
        <v>14353</v>
      </c>
      <c r="I85" s="262" t="s">
        <v>5484</v>
      </c>
      <c r="J85" s="715" t="str">
        <f>HYPERLINK("https://www.google.com/maps/search/Esta%C3%A7%C3%A3o%20de%20Marco%20de%20Canaveses%20Marco%20de%20Canaveses%20Portugal","📍 Estação de Marco de Canaveses")</f>
        <v>📍 Estação de Marco de Canaveses</v>
      </c>
    </row>
    <row r="86" spans="1:10" ht="22" customHeight="1" x14ac:dyDescent="0.45">
      <c r="A86" s="1480" t="s">
        <v>13440</v>
      </c>
      <c r="B86" s="1313"/>
      <c r="C86" s="1313"/>
      <c r="D86" s="1313"/>
      <c r="E86" s="1313"/>
      <c r="F86" s="1313"/>
      <c r="G86" s="1313"/>
      <c r="H86" s="1313"/>
      <c r="I86" s="1313"/>
      <c r="J86" s="676"/>
    </row>
    <row r="87" spans="1:10" ht="110" customHeight="1" x14ac:dyDescent="0.35">
      <c r="A87" s="360">
        <v>1</v>
      </c>
      <c r="B87" s="245" t="s">
        <v>14354</v>
      </c>
      <c r="C87" s="246" t="s">
        <v>913</v>
      </c>
      <c r="D87" s="245" t="s">
        <v>14355</v>
      </c>
      <c r="E87" s="245" t="s">
        <v>14356</v>
      </c>
      <c r="F87" s="245" t="s">
        <v>14357</v>
      </c>
      <c r="G87" s="245" t="s">
        <v>14358</v>
      </c>
      <c r="H87" s="304" t="s">
        <v>14359</v>
      </c>
      <c r="I87" s="245" t="s">
        <v>13984</v>
      </c>
      <c r="J87" s="715" t="str">
        <f>HYPERLINK("https://www.google.com/maps/search/Esta%C3%A7%C3%A3o%20do%20Rossio%20Pra%C3%A7a%20D.%20Pedro%20IV%2C%20Lisboa%20Portugal","📍 Estação do Rossio")</f>
        <v>📍 Estação do Rossio</v>
      </c>
    </row>
    <row r="88" spans="1:10" ht="110" customHeight="1" x14ac:dyDescent="0.35">
      <c r="A88" s="340">
        <v>2</v>
      </c>
      <c r="B88" s="248" t="s">
        <v>14360</v>
      </c>
      <c r="C88" s="249" t="s">
        <v>913</v>
      </c>
      <c r="D88" s="248" t="s">
        <v>14361</v>
      </c>
      <c r="E88" s="248" t="s">
        <v>14362</v>
      </c>
      <c r="F88" s="248" t="s">
        <v>937</v>
      </c>
      <c r="G88" s="248" t="s">
        <v>876</v>
      </c>
      <c r="H88" s="305" t="s">
        <v>14363</v>
      </c>
      <c r="I88" s="248" t="s">
        <v>14364</v>
      </c>
      <c r="J88" s="715" t="str">
        <f>HYPERLINK("https://www.google.com/maps/search/Esta%C3%A7%C3%A3o%20de%20Santa%20Apol%C3%B3nia%20Av.%20Infante%20D.%20Henrique%2C%20Lisboa%20Portugal","📍 Estação de Santa Apolónia")</f>
        <v>📍 Estação de Santa Apolónia</v>
      </c>
    </row>
    <row r="89" spans="1:10" ht="110" customHeight="1" x14ac:dyDescent="0.35">
      <c r="A89" s="360">
        <v>3</v>
      </c>
      <c r="B89" s="245" t="s">
        <v>10564</v>
      </c>
      <c r="C89" s="246" t="s">
        <v>913</v>
      </c>
      <c r="D89" s="245" t="s">
        <v>14365</v>
      </c>
      <c r="E89" s="245" t="s">
        <v>14366</v>
      </c>
      <c r="F89" s="245" t="s">
        <v>937</v>
      </c>
      <c r="G89" s="245" t="s">
        <v>876</v>
      </c>
      <c r="H89" s="304" t="s">
        <v>14367</v>
      </c>
      <c r="I89" s="245" t="s">
        <v>5484</v>
      </c>
      <c r="J89" s="715" t="str">
        <f>HYPERLINK("https://www.google.com/maps/search/Esta%C3%A7%C3%A3o%20do%20Oriente%20Av.%20D.%20Jo%C3%A3o%20II%2C%20Lisboa%20Portugal","📍 Estação do Oriente")</f>
        <v>📍 Estação do Oriente</v>
      </c>
    </row>
    <row r="90" spans="1:10" ht="110" customHeight="1" x14ac:dyDescent="0.35">
      <c r="A90" s="340">
        <v>4</v>
      </c>
      <c r="B90" s="248" t="s">
        <v>14368</v>
      </c>
      <c r="C90" s="249" t="s">
        <v>913</v>
      </c>
      <c r="D90" s="248" t="s">
        <v>14369</v>
      </c>
      <c r="E90" s="248" t="s">
        <v>14370</v>
      </c>
      <c r="F90" s="248" t="s">
        <v>14371</v>
      </c>
      <c r="G90" s="248" t="s">
        <v>876</v>
      </c>
      <c r="H90" s="305" t="s">
        <v>14372</v>
      </c>
      <c r="I90" s="248" t="s">
        <v>5484</v>
      </c>
      <c r="J90" s="715" t="str">
        <f>HYPERLINK("https://www.google.com/maps/search/Esta%C3%A7%C3%A3o%20do%20Cais%20do%20Sodr%C3%A9%20Pra%C3%A7a%20do%20Duque%20de%20Terceira%2C%20Lisboa%20Portugal","📍 Estação do Cais do Sodré")</f>
        <v>📍 Estação do Cais do Sodré</v>
      </c>
    </row>
    <row r="91" spans="1:10" ht="110" customHeight="1" x14ac:dyDescent="0.35">
      <c r="A91" s="360">
        <v>5</v>
      </c>
      <c r="B91" s="245" t="s">
        <v>14373</v>
      </c>
      <c r="C91" s="246" t="s">
        <v>913</v>
      </c>
      <c r="D91" s="245" t="s">
        <v>14374</v>
      </c>
      <c r="E91" s="245" t="s">
        <v>14375</v>
      </c>
      <c r="F91" s="245" t="s">
        <v>14376</v>
      </c>
      <c r="G91" s="245" t="s">
        <v>876</v>
      </c>
      <c r="H91" s="304" t="s">
        <v>14377</v>
      </c>
      <c r="I91" s="245" t="s">
        <v>14378</v>
      </c>
      <c r="J91" s="715" t="str">
        <f>HYPERLINK("https://www.google.com/maps/search/Esta%C3%A7%C3%A3o%20do%20Barreiro%20(Antiga)%20Av.%20de%20Sapadores%2C%20Barreiro%20Portugal","📍 Estação do Barreiro (Antiga)")</f>
        <v>📍 Estação do Barreiro (Antiga)</v>
      </c>
    </row>
    <row r="92" spans="1:10" ht="110" customHeight="1" x14ac:dyDescent="0.35">
      <c r="A92" s="340">
        <v>6</v>
      </c>
      <c r="B92" s="248" t="s">
        <v>14379</v>
      </c>
      <c r="C92" s="249" t="s">
        <v>913</v>
      </c>
      <c r="D92" s="248" t="s">
        <v>14380</v>
      </c>
      <c r="E92" s="248" t="s">
        <v>14381</v>
      </c>
      <c r="F92" s="248" t="s">
        <v>14382</v>
      </c>
      <c r="G92" s="248" t="s">
        <v>876</v>
      </c>
      <c r="H92" s="305" t="s">
        <v>14383</v>
      </c>
      <c r="I92" s="248" t="s">
        <v>5484</v>
      </c>
      <c r="J92" s="715" t="str">
        <f>HYPERLINK("https://www.google.com/maps/search/Esta%C3%A7%C3%A3o%20de%20Sintra%20Av.%20Dr.%20Miguel%20Bombarda%2C%20Sintra%20Portugal","📍 Estação de Sintra")</f>
        <v>📍 Estação de Sintra</v>
      </c>
    </row>
    <row r="93" spans="1:10" ht="110" customHeight="1" x14ac:dyDescent="0.35">
      <c r="A93" s="360">
        <v>7</v>
      </c>
      <c r="B93" s="245" t="s">
        <v>14384</v>
      </c>
      <c r="C93" s="246" t="s">
        <v>913</v>
      </c>
      <c r="D93" s="245" t="s">
        <v>14385</v>
      </c>
      <c r="E93" s="245" t="s">
        <v>14386</v>
      </c>
      <c r="F93" s="245" t="s">
        <v>14371</v>
      </c>
      <c r="G93" s="245" t="s">
        <v>876</v>
      </c>
      <c r="H93" s="304" t="s">
        <v>14387</v>
      </c>
      <c r="I93" s="245" t="s">
        <v>5484</v>
      </c>
      <c r="J93" s="715" t="str">
        <f>HYPERLINK("https://www.google.com/maps/search/Esta%C3%A7%C3%A3o%20de%20Cascais%20Largo%20da%20Esta%C3%A7%C3%A3o%2C%20Cascais%20Portugal","📍 Estação de Cascais")</f>
        <v>📍 Estação de Cascais</v>
      </c>
    </row>
    <row r="94" spans="1:10" ht="110" customHeight="1" x14ac:dyDescent="0.35">
      <c r="A94" s="340">
        <v>8</v>
      </c>
      <c r="B94" s="248" t="s">
        <v>14388</v>
      </c>
      <c r="C94" s="249" t="s">
        <v>913</v>
      </c>
      <c r="D94" s="248" t="s">
        <v>14389</v>
      </c>
      <c r="E94" s="248" t="s">
        <v>14390</v>
      </c>
      <c r="F94" s="248" t="s">
        <v>14031</v>
      </c>
      <c r="G94" s="248" t="s">
        <v>876</v>
      </c>
      <c r="H94" s="305" t="s">
        <v>14391</v>
      </c>
      <c r="I94" s="248" t="s">
        <v>5484</v>
      </c>
      <c r="J94" s="715" t="str">
        <f>HYPERLINK("https://www.google.com/maps/search/Esta%C3%A7%C3%A3o%20de%20Vila%20Franca%20de%20Xira%20Largo%20da%20Esta%C3%A7%C3%A3o%2C%20V.F.%20Xira%20Portugal","📍 Estação de Vila Franca de Xira")</f>
        <v>📍 Estação de Vila Franca de Xira</v>
      </c>
    </row>
    <row r="95" spans="1:10" ht="110" customHeight="1" x14ac:dyDescent="0.35">
      <c r="A95" s="360">
        <v>9</v>
      </c>
      <c r="B95" s="245" t="s">
        <v>14392</v>
      </c>
      <c r="C95" s="246" t="s">
        <v>913</v>
      </c>
      <c r="D95" s="245" t="s">
        <v>14393</v>
      </c>
      <c r="E95" s="245" t="s">
        <v>14394</v>
      </c>
      <c r="F95" s="245" t="s">
        <v>14031</v>
      </c>
      <c r="G95" s="245" t="s">
        <v>876</v>
      </c>
      <c r="H95" s="304" t="s">
        <v>14395</v>
      </c>
      <c r="I95" s="245" t="s">
        <v>5484</v>
      </c>
      <c r="J95" s="715" t="str">
        <f>HYPERLINK("https://www.google.com/maps/search/Esta%C3%A7%C3%A3o%20do%20Setil%20Setil%2C%20Cartaxo%20Portugal","📍 Estação do Setil")</f>
        <v>📍 Estação do Setil</v>
      </c>
    </row>
    <row r="96" spans="1:10" ht="110" customHeight="1" x14ac:dyDescent="0.35">
      <c r="A96" s="340">
        <v>10</v>
      </c>
      <c r="B96" s="248" t="s">
        <v>14396</v>
      </c>
      <c r="C96" s="249" t="s">
        <v>913</v>
      </c>
      <c r="D96" s="248" t="s">
        <v>14397</v>
      </c>
      <c r="E96" s="248" t="s">
        <v>14398</v>
      </c>
      <c r="F96" s="248" t="s">
        <v>14276</v>
      </c>
      <c r="G96" s="248" t="s">
        <v>14399</v>
      </c>
      <c r="H96" s="305" t="s">
        <v>14400</v>
      </c>
      <c r="I96" s="248" t="s">
        <v>5484</v>
      </c>
      <c r="J96" s="715" t="str">
        <f>HYPERLINK("https://www.google.com/maps/search/Ponte%2025%20de%20Abril%20(Tabuleiro%20Ferrovi%C3%A1rio)%20Lisboa%2FAlmada%20Portugal","📍 Ponte 25 de Abril (Tabuleiro Ferroviário)")</f>
        <v>📍 Ponte 25 de Abril (Tabuleiro Ferroviário)</v>
      </c>
    </row>
    <row r="97" spans="1:10" ht="110" customHeight="1" x14ac:dyDescent="0.35">
      <c r="A97" s="360">
        <v>11</v>
      </c>
      <c r="B97" s="245" t="s">
        <v>14401</v>
      </c>
      <c r="C97" s="246" t="s">
        <v>913</v>
      </c>
      <c r="D97" s="245" t="s">
        <v>14402</v>
      </c>
      <c r="E97" s="245" t="s">
        <v>14403</v>
      </c>
      <c r="F97" s="245" t="s">
        <v>14031</v>
      </c>
      <c r="G97" s="245" t="s">
        <v>876</v>
      </c>
      <c r="H97" s="304" t="s">
        <v>14404</v>
      </c>
      <c r="I97" s="245" t="s">
        <v>5484</v>
      </c>
      <c r="J97" s="715" t="str">
        <f>HYPERLINK("https://www.google.com/maps/search/Esta%C3%A7%C3%A3o%20de%20Sintra%20(Queluz-Belas)%20Largo%20da%20Esta%C3%A7%C3%A3o%2C%20Queluz%20Portugal","📍 Estação de Sintra (Queluz-Belas)")</f>
        <v>📍 Estação de Sintra (Queluz-Belas)</v>
      </c>
    </row>
    <row r="98" spans="1:10" ht="110" customHeight="1" x14ac:dyDescent="0.35">
      <c r="A98" s="340">
        <v>12</v>
      </c>
      <c r="B98" s="248" t="s">
        <v>14405</v>
      </c>
      <c r="C98" s="249" t="s">
        <v>913</v>
      </c>
      <c r="D98" s="248" t="s">
        <v>4967</v>
      </c>
      <c r="E98" s="248" t="s">
        <v>14406</v>
      </c>
      <c r="F98" s="248" t="s">
        <v>14031</v>
      </c>
      <c r="G98" s="248" t="s">
        <v>876</v>
      </c>
      <c r="H98" s="305" t="s">
        <v>14407</v>
      </c>
      <c r="I98" s="248" t="s">
        <v>5484</v>
      </c>
      <c r="J98" s="715" t="str">
        <f>HYPERLINK("https://www.google.com/maps/search/Esta%C3%A7%C3%A3o%20de%20Bel%C3%A9m%20Av.%20Bras%C3%ADlia%2C%20Lisboa%20Portugal","📍 Estação de Belém")</f>
        <v>📍 Estação de Belém</v>
      </c>
    </row>
    <row r="99" spans="1:10" ht="110" customHeight="1" x14ac:dyDescent="0.35">
      <c r="A99" s="360">
        <v>13</v>
      </c>
      <c r="B99" s="245" t="s">
        <v>14408</v>
      </c>
      <c r="C99" s="246" t="s">
        <v>913</v>
      </c>
      <c r="D99" s="245" t="s">
        <v>14409</v>
      </c>
      <c r="E99" s="245" t="s">
        <v>14410</v>
      </c>
      <c r="F99" s="245" t="s">
        <v>14031</v>
      </c>
      <c r="G99" s="245" t="s">
        <v>876</v>
      </c>
      <c r="H99" s="304" t="s">
        <v>14411</v>
      </c>
      <c r="I99" s="245" t="s">
        <v>5484</v>
      </c>
      <c r="J99" s="715" t="str">
        <f>HYPERLINK("https://www.google.com/maps/search/Esta%C3%A7%C3%A3o%20da%20Azambuja%20Largo%20da%20Esta%C3%A7%C3%A3o%2C%20Azambuja%20Portugal","📍 Estação da Azambuja")</f>
        <v>📍 Estação da Azambuja</v>
      </c>
    </row>
    <row r="100" spans="1:10" ht="110" customHeight="1" x14ac:dyDescent="0.35">
      <c r="A100" s="340">
        <v>14</v>
      </c>
      <c r="B100" s="248" t="s">
        <v>14412</v>
      </c>
      <c r="C100" s="249" t="s">
        <v>913</v>
      </c>
      <c r="D100" s="248" t="s">
        <v>14413</v>
      </c>
      <c r="E100" s="248" t="s">
        <v>14414</v>
      </c>
      <c r="F100" s="248" t="s">
        <v>14031</v>
      </c>
      <c r="G100" s="248" t="s">
        <v>876</v>
      </c>
      <c r="H100" s="305" t="s">
        <v>14415</v>
      </c>
      <c r="I100" s="248" t="s">
        <v>5484</v>
      </c>
      <c r="J100" s="715" t="str">
        <f>HYPERLINK("https://www.google.com/maps/search/Esta%C3%A7%C3%A3o%20de%20Palmela%20Estrada%20da%20Esta%C3%A7%C3%A3o%2C%20Palmela%20Portugal","📍 Estação de Palmela")</f>
        <v>📍 Estação de Palmela</v>
      </c>
    </row>
    <row r="101" spans="1:10" ht="110" customHeight="1" x14ac:dyDescent="0.35">
      <c r="A101" s="360">
        <v>15</v>
      </c>
      <c r="B101" s="245" t="s">
        <v>14416</v>
      </c>
      <c r="C101" s="246" t="s">
        <v>913</v>
      </c>
      <c r="D101" s="245" t="s">
        <v>14417</v>
      </c>
      <c r="E101" s="245" t="s">
        <v>14418</v>
      </c>
      <c r="F101" s="245" t="s">
        <v>14419</v>
      </c>
      <c r="G101" s="245" t="s">
        <v>876</v>
      </c>
      <c r="H101" s="304" t="s">
        <v>14420</v>
      </c>
      <c r="I101" s="245" t="s">
        <v>14421</v>
      </c>
      <c r="J101" s="715" t="str">
        <f>HYPERLINK("https://www.google.com/maps/search/Esta%C3%A7%C3%A3o%20de%20Set%C3%BAbal%20Pra%C3%A7a%20do%20Brasil%2C%20Set%C3%BAbal%20Portugal","📍 Estação de Setúbal")</f>
        <v>📍 Estação de Setúbal</v>
      </c>
    </row>
    <row r="102" spans="1:10" ht="110" customHeight="1" x14ac:dyDescent="0.35">
      <c r="A102" s="340">
        <v>16</v>
      </c>
      <c r="B102" s="248" t="s">
        <v>14422</v>
      </c>
      <c r="C102" s="249" t="s">
        <v>913</v>
      </c>
      <c r="D102" s="248" t="s">
        <v>14423</v>
      </c>
      <c r="E102" s="248" t="s">
        <v>14424</v>
      </c>
      <c r="F102" s="248" t="s">
        <v>14031</v>
      </c>
      <c r="G102" s="248" t="s">
        <v>876</v>
      </c>
      <c r="H102" s="305" t="s">
        <v>14425</v>
      </c>
      <c r="I102" s="248" t="s">
        <v>5484</v>
      </c>
      <c r="J102" s="715" t="str">
        <f>HYPERLINK("https://www.google.com/maps/search/Esta%C3%A7%C3%A3o%20de%20Alenquer%20(Carregado)%20Carregado%2C%20Alenquer%20Portugal","📍 Estação de Alenquer (Carregado)")</f>
        <v>📍 Estação de Alenquer (Carregado)</v>
      </c>
    </row>
    <row r="103" spans="1:10" ht="110" customHeight="1" x14ac:dyDescent="0.35">
      <c r="A103" s="360">
        <v>17</v>
      </c>
      <c r="B103" s="245" t="s">
        <v>14426</v>
      </c>
      <c r="C103" s="246" t="s">
        <v>913</v>
      </c>
      <c r="D103" s="245" t="s">
        <v>14427</v>
      </c>
      <c r="E103" s="245" t="s">
        <v>14428</v>
      </c>
      <c r="F103" s="245" t="s">
        <v>14276</v>
      </c>
      <c r="G103" s="245" t="s">
        <v>14429</v>
      </c>
      <c r="H103" s="304" t="s">
        <v>14430</v>
      </c>
      <c r="I103" s="245" t="s">
        <v>5484</v>
      </c>
      <c r="J103" s="715" t="str">
        <f>HYPERLINK("https://www.google.com/maps/search/T%C3%BAnel%20do%20Rossio%20Entre%20Campolide%20e%20Rossio%20Portugal","📍 Túnel do Rossio")</f>
        <v>📍 Túnel do Rossio</v>
      </c>
    </row>
    <row r="104" spans="1:10" ht="110" customHeight="1" x14ac:dyDescent="0.35">
      <c r="A104" s="340">
        <v>18</v>
      </c>
      <c r="B104" s="248" t="s">
        <v>14431</v>
      </c>
      <c r="C104" s="249" t="s">
        <v>913</v>
      </c>
      <c r="D104" s="248" t="s">
        <v>14432</v>
      </c>
      <c r="E104" s="248" t="s">
        <v>14433</v>
      </c>
      <c r="F104" s="248" t="s">
        <v>14031</v>
      </c>
      <c r="G104" s="248" t="s">
        <v>876</v>
      </c>
      <c r="H104" s="305" t="s">
        <v>14434</v>
      </c>
      <c r="I104" s="248" t="s">
        <v>5484</v>
      </c>
      <c r="J104" s="715" t="str">
        <f>HYPERLINK("https://www.google.com/maps/search/Esta%C3%A7%C3%A3o%20de%20Pinhal%20Novo%20Av.%20da%20Esta%C3%A7%C3%A3o%2C%20Pinhal%20Novo%20Portugal","📍 Estação de Pinhal Novo")</f>
        <v>📍 Estação de Pinhal Novo</v>
      </c>
    </row>
    <row r="105" spans="1:10" ht="110" customHeight="1" x14ac:dyDescent="0.35">
      <c r="A105" s="360">
        <v>19</v>
      </c>
      <c r="B105" s="245" t="s">
        <v>14435</v>
      </c>
      <c r="C105" s="246" t="s">
        <v>913</v>
      </c>
      <c r="D105" s="245" t="s">
        <v>14436</v>
      </c>
      <c r="E105" s="245" t="s">
        <v>14437</v>
      </c>
      <c r="F105" s="245" t="s">
        <v>14438</v>
      </c>
      <c r="G105" s="245" t="s">
        <v>876</v>
      </c>
      <c r="H105" s="304" t="s">
        <v>14439</v>
      </c>
      <c r="I105" s="245" t="s">
        <v>14421</v>
      </c>
      <c r="J105" s="715" t="str">
        <f>HYPERLINK("https://www.google.com/maps/search/Esta%C3%A7%C3%A3o%20do%20Fogueteiro%20Fogueteiro%2C%20Seixal%20Portugal","📍 Estação do Fogueteiro")</f>
        <v>📍 Estação do Fogueteiro</v>
      </c>
    </row>
    <row r="106" spans="1:10" ht="110" customHeight="1" x14ac:dyDescent="0.35">
      <c r="A106" s="340">
        <v>20</v>
      </c>
      <c r="B106" s="248" t="s">
        <v>14440</v>
      </c>
      <c r="C106" s="249" t="s">
        <v>913</v>
      </c>
      <c r="D106" s="248" t="s">
        <v>14441</v>
      </c>
      <c r="E106" s="248" t="s">
        <v>14442</v>
      </c>
      <c r="F106" s="248" t="s">
        <v>14031</v>
      </c>
      <c r="G106" s="248" t="s">
        <v>876</v>
      </c>
      <c r="H106" s="305" t="s">
        <v>14443</v>
      </c>
      <c r="I106" s="248" t="s">
        <v>14444</v>
      </c>
      <c r="J106" s="715" t="str">
        <f>HYPERLINK("https://www.google.com/maps/search/Esta%C3%A7%C3%A3o%20de%20Torres%20Vedras%20Largo%20da%20Esta%C3%A7%C3%A3o%2C%20Torres%20Vedras%20Portugal","📍 Estação de Torres Vedras")</f>
        <v>📍 Estação de Torres Vedras</v>
      </c>
    </row>
    <row r="107" spans="1:10" ht="110" customHeight="1" x14ac:dyDescent="0.35">
      <c r="A107" s="360">
        <v>21</v>
      </c>
      <c r="B107" s="245" t="s">
        <v>14445</v>
      </c>
      <c r="C107" s="246" t="s">
        <v>913</v>
      </c>
      <c r="D107" s="245" t="s">
        <v>14446</v>
      </c>
      <c r="E107" s="245" t="s">
        <v>14447</v>
      </c>
      <c r="F107" s="245" t="s">
        <v>14031</v>
      </c>
      <c r="G107" s="245" t="s">
        <v>876</v>
      </c>
      <c r="H107" s="304" t="s">
        <v>14448</v>
      </c>
      <c r="I107" s="245" t="s">
        <v>5484</v>
      </c>
      <c r="J107" s="715" t="str">
        <f>HYPERLINK("https://www.google.com/maps/search/Esta%C3%A7%C3%A3o%20de%20Alc%C3%A2ntara-Terra%20Rua%20de%20Alc%C3%A2ntara%2C%20Lisboa%20Portugal","📍 Estação de Alcântara-Terra")</f>
        <v>📍 Estação de Alcântara-Terra</v>
      </c>
    </row>
    <row r="108" spans="1:10" ht="110" customHeight="1" x14ac:dyDescent="0.35">
      <c r="A108" s="340">
        <v>22</v>
      </c>
      <c r="B108" s="248" t="s">
        <v>14449</v>
      </c>
      <c r="C108" s="249" t="s">
        <v>913</v>
      </c>
      <c r="D108" s="248" t="s">
        <v>14450</v>
      </c>
      <c r="E108" s="248" t="s">
        <v>14451</v>
      </c>
      <c r="F108" s="248" t="s">
        <v>14031</v>
      </c>
      <c r="G108" s="248" t="s">
        <v>876</v>
      </c>
      <c r="H108" s="305" t="s">
        <v>14452</v>
      </c>
      <c r="I108" s="248" t="s">
        <v>5484</v>
      </c>
      <c r="J108" s="715" t="str">
        <f>HYPERLINK("https://www.google.com/maps/search/Esta%C3%A7%C3%A3o%20de%20Sacav%C3%A9m%20Sacav%C3%A9m%20Portugal","📍 Estação de Sacavém")</f>
        <v>📍 Estação de Sacavém</v>
      </c>
    </row>
    <row r="109" spans="1:10" ht="110" customHeight="1" x14ac:dyDescent="0.35">
      <c r="A109" s="360">
        <v>23</v>
      </c>
      <c r="B109" s="245" t="s">
        <v>14453</v>
      </c>
      <c r="C109" s="246" t="s">
        <v>913</v>
      </c>
      <c r="D109" s="245" t="s">
        <v>14454</v>
      </c>
      <c r="E109" s="245" t="s">
        <v>14455</v>
      </c>
      <c r="F109" s="245" t="s">
        <v>14031</v>
      </c>
      <c r="G109" s="245" t="s">
        <v>876</v>
      </c>
      <c r="H109" s="304" t="s">
        <v>14456</v>
      </c>
      <c r="I109" s="245" t="s">
        <v>5484</v>
      </c>
      <c r="J109" s="715" t="str">
        <f>HYPERLINK("https://www.google.com/maps/search/Esta%C3%A7%C3%A3o%20de%20Alverca%20Largo%20da%20Esta%C3%A7%C3%A3o%2C%20Alverca%20Portugal","📍 Estação de Alverca")</f>
        <v>📍 Estação de Alverca</v>
      </c>
    </row>
    <row r="110" spans="1:10" ht="110" customHeight="1" x14ac:dyDescent="0.35">
      <c r="A110" s="340">
        <v>24</v>
      </c>
      <c r="B110" s="248" t="s">
        <v>14457</v>
      </c>
      <c r="C110" s="249" t="s">
        <v>913</v>
      </c>
      <c r="D110" s="248" t="s">
        <v>14279</v>
      </c>
      <c r="E110" s="248" t="s">
        <v>14458</v>
      </c>
      <c r="F110" s="248" t="s">
        <v>14031</v>
      </c>
      <c r="G110" s="248" t="s">
        <v>876</v>
      </c>
      <c r="H110" s="305" t="s">
        <v>14459</v>
      </c>
      <c r="I110" s="248" t="s">
        <v>14282</v>
      </c>
      <c r="J110" s="715" t="str">
        <f>HYPERLINK("https://www.google.com/maps/search/Esta%C3%A7%C3%A3o%20de%20Santar%C3%A9m%20(Lisboa)%20Ribeira%20de%20Santar%C3%A9m%20Portugal","📍 Estação de Santarém (Lisboa)")</f>
        <v>📍 Estação de Santarém (Lisboa)</v>
      </c>
    </row>
    <row r="111" spans="1:10" ht="110" customHeight="1" x14ac:dyDescent="0.35">
      <c r="A111" s="360">
        <v>25</v>
      </c>
      <c r="B111" s="245" t="s">
        <v>14460</v>
      </c>
      <c r="C111" s="246" t="s">
        <v>913</v>
      </c>
      <c r="D111" s="245" t="s">
        <v>14461</v>
      </c>
      <c r="E111" s="245" t="s">
        <v>14462</v>
      </c>
      <c r="F111" s="245" t="s">
        <v>14031</v>
      </c>
      <c r="G111" s="245" t="s">
        <v>876</v>
      </c>
      <c r="H111" s="304" t="s">
        <v>14463</v>
      </c>
      <c r="I111" s="245" t="s">
        <v>5484</v>
      </c>
      <c r="J111" s="715" t="str">
        <f>HYPERLINK("https://www.google.com/maps/search/Esta%C3%A7%C3%A3o%20de%20Campolide%20Campolide%2C%20Lisboa%20Portugal","📍 Estação de Campolide")</f>
        <v>📍 Estação de Campolide</v>
      </c>
    </row>
    <row r="112" spans="1:10" ht="110" customHeight="1" x14ac:dyDescent="0.35">
      <c r="A112" s="340">
        <v>26</v>
      </c>
      <c r="B112" s="248" t="s">
        <v>14464</v>
      </c>
      <c r="C112" s="249" t="s">
        <v>913</v>
      </c>
      <c r="D112" s="248" t="s">
        <v>14465</v>
      </c>
      <c r="E112" s="248" t="s">
        <v>14466</v>
      </c>
      <c r="F112" s="248" t="s">
        <v>14467</v>
      </c>
      <c r="G112" s="248" t="s">
        <v>5484</v>
      </c>
      <c r="H112" s="305" t="s">
        <v>14468</v>
      </c>
      <c r="I112" s="248" t="s">
        <v>14469</v>
      </c>
      <c r="J112" s="715" t="str">
        <f>HYPERLINK("https://www.google.com/maps/search/Oficinas%20da%20EMEF%20(Barreiro)%20Terminal%20Ferrovi%C3%A1rio%20do%20Barreiro%20Portugal","📍 Oficinas da EMEF (Barreiro)")</f>
        <v>📍 Oficinas da EMEF (Barreiro)</v>
      </c>
    </row>
    <row r="113" spans="1:10" ht="110" customHeight="1" x14ac:dyDescent="0.35">
      <c r="A113" s="360">
        <v>27</v>
      </c>
      <c r="B113" s="245" t="s">
        <v>14470</v>
      </c>
      <c r="C113" s="246" t="s">
        <v>913</v>
      </c>
      <c r="D113" s="245" t="s">
        <v>14471</v>
      </c>
      <c r="E113" s="245" t="s">
        <v>14472</v>
      </c>
      <c r="F113" s="245" t="s">
        <v>14031</v>
      </c>
      <c r="G113" s="245" t="s">
        <v>876</v>
      </c>
      <c r="H113" s="304" t="s">
        <v>14473</v>
      </c>
      <c r="I113" s="245" t="s">
        <v>5484</v>
      </c>
      <c r="J113" s="715" t="str">
        <f>HYPERLINK("https://www.google.com/maps/search/Esta%C3%A7%C3%A3o%20de%20Alc%C3%A2ntara-Mar%20Rua%20de%20Cascais%2C%20Lisboa%20Portugal","📍 Estação de Alcântara-Mar")</f>
        <v>📍 Estação de Alcântara-Mar</v>
      </c>
    </row>
    <row r="114" spans="1:10" ht="110" customHeight="1" x14ac:dyDescent="0.35">
      <c r="A114" s="340">
        <v>28</v>
      </c>
      <c r="B114" s="248" t="s">
        <v>14474</v>
      </c>
      <c r="C114" s="249" t="s">
        <v>913</v>
      </c>
      <c r="D114" s="248" t="s">
        <v>14475</v>
      </c>
      <c r="E114" s="248" t="s">
        <v>14476</v>
      </c>
      <c r="F114" s="248" t="s">
        <v>937</v>
      </c>
      <c r="G114" s="248" t="s">
        <v>876</v>
      </c>
      <c r="H114" s="305" t="s">
        <v>14477</v>
      </c>
      <c r="I114" s="248" t="s">
        <v>5484</v>
      </c>
      <c r="J114" s="715" t="str">
        <f>HYPERLINK("https://www.google.com/maps/search/Esta%C3%A7%C3%A3o%20de%20Sete%20Rios%20Pra%C3%A7a%20Marechal%20Humberto%20Delgado%20Portugal","📍 Estação de Sete Rios")</f>
        <v>📍 Estação de Sete Rios</v>
      </c>
    </row>
    <row r="115" spans="1:10" ht="110" customHeight="1" x14ac:dyDescent="0.35">
      <c r="A115" s="360">
        <v>29</v>
      </c>
      <c r="B115" s="245" t="s">
        <v>14478</v>
      </c>
      <c r="C115" s="246" t="s">
        <v>913</v>
      </c>
      <c r="D115" s="245" t="s">
        <v>14479</v>
      </c>
      <c r="E115" s="245" t="s">
        <v>14480</v>
      </c>
      <c r="F115" s="245" t="s">
        <v>14031</v>
      </c>
      <c r="G115" s="245" t="s">
        <v>876</v>
      </c>
      <c r="H115" s="304" t="s">
        <v>14481</v>
      </c>
      <c r="I115" s="245" t="s">
        <v>5484</v>
      </c>
      <c r="J115" s="715" t="str">
        <f>HYPERLINK("https://www.google.com/maps/search/Esta%C3%A7%C3%A3o%20de%20Bra%C3%A7o%20de%20Prata%20Rua%20de%20Bra%C3%A7o%20de%20Prata%2C%20Lisboa%20Portugal","📍 Estação de Braço de Prata")</f>
        <v>📍 Estação de Braço de Prata</v>
      </c>
    </row>
    <row r="116" spans="1:10" ht="110" customHeight="1" x14ac:dyDescent="0.35">
      <c r="A116" s="340">
        <v>30</v>
      </c>
      <c r="B116" s="248" t="s">
        <v>14482</v>
      </c>
      <c r="C116" s="249" t="s">
        <v>913</v>
      </c>
      <c r="D116" s="248" t="s">
        <v>14483</v>
      </c>
      <c r="E116" s="248" t="s">
        <v>14484</v>
      </c>
      <c r="F116" s="248" t="s">
        <v>14031</v>
      </c>
      <c r="G116" s="248" t="s">
        <v>876</v>
      </c>
      <c r="H116" s="305" t="s">
        <v>14485</v>
      </c>
      <c r="I116" s="248" t="s">
        <v>5484</v>
      </c>
      <c r="J116" s="715" t="str">
        <f>HYPERLINK("https://www.google.com/maps/search/Esta%C3%A7%C3%A3o%20de%20Roma-Areeiro%20Av.%20Frei%20Miguel%20Contreiras%20Portugal","📍 Estação de Roma-Areeiro")</f>
        <v>📍 Estação de Roma-Areeiro</v>
      </c>
    </row>
    <row r="117" spans="1:10" ht="110" customHeight="1" x14ac:dyDescent="0.35">
      <c r="A117" s="360">
        <v>31</v>
      </c>
      <c r="B117" s="245" t="s">
        <v>14486</v>
      </c>
      <c r="C117" s="246" t="s">
        <v>913</v>
      </c>
      <c r="D117" s="245" t="s">
        <v>14487</v>
      </c>
      <c r="E117" s="245" t="s">
        <v>14488</v>
      </c>
      <c r="F117" s="245" t="s">
        <v>14031</v>
      </c>
      <c r="G117" s="245" t="s">
        <v>876</v>
      </c>
      <c r="H117" s="304" t="s">
        <v>14489</v>
      </c>
      <c r="I117" s="245" t="s">
        <v>5484</v>
      </c>
      <c r="J117" s="715" t="str">
        <f>HYPERLINK("https://www.google.com/maps/search/Esta%C3%A7%C3%A3o%20de%20Vendas%20Novas%20Largo%20da%20Esta%C3%A7%C3%A3o%2C%20Vendas%20Novas%20Portugal","📍 Estação de Vendas Novas")</f>
        <v>📍 Estação de Vendas Novas</v>
      </c>
    </row>
    <row r="118" spans="1:10" ht="110" customHeight="1" x14ac:dyDescent="0.35">
      <c r="A118" s="340">
        <v>32</v>
      </c>
      <c r="B118" s="248" t="s">
        <v>14490</v>
      </c>
      <c r="C118" s="249" t="s">
        <v>913</v>
      </c>
      <c r="D118" s="248" t="s">
        <v>5726</v>
      </c>
      <c r="E118" s="248" t="s">
        <v>14491</v>
      </c>
      <c r="F118" s="248" t="s">
        <v>14492</v>
      </c>
      <c r="G118" s="248" t="s">
        <v>5484</v>
      </c>
      <c r="H118" s="305" t="s">
        <v>14493</v>
      </c>
      <c r="I118" s="248" t="s">
        <v>5484</v>
      </c>
      <c r="J118" s="715" t="str">
        <f>HYPERLINK("https://www.google.com/maps/search/Ponte%20Ferrovi%C3%A1ria%20de%20Coruche%20Coruche%20Portugal","📍 Ponte Ferroviária de Coruche")</f>
        <v>📍 Ponte Ferroviária de Coruche</v>
      </c>
    </row>
    <row r="119" spans="1:10" ht="110" customHeight="1" x14ac:dyDescent="0.35">
      <c r="A119" s="360">
        <v>33</v>
      </c>
      <c r="B119" s="245" t="s">
        <v>14494</v>
      </c>
      <c r="C119" s="246" t="s">
        <v>913</v>
      </c>
      <c r="D119" s="245" t="s">
        <v>14495</v>
      </c>
      <c r="E119" s="245" t="s">
        <v>14496</v>
      </c>
      <c r="F119" s="245" t="s">
        <v>14102</v>
      </c>
      <c r="G119" s="245" t="s">
        <v>876</v>
      </c>
      <c r="H119" s="304" t="s">
        <v>14497</v>
      </c>
      <c r="I119" s="245" t="s">
        <v>5484</v>
      </c>
      <c r="J119" s="715" t="str">
        <f>HYPERLINK("https://www.google.com/maps/search/Esta%C3%A7%C3%A3o%20de%20Coruche%20(Desativada)%20Coruche%20Gare%20Portugal","📍 Estação de Coruche (Desativada)")</f>
        <v>📍 Estação de Coruche (Desativada)</v>
      </c>
    </row>
    <row r="120" spans="1:10" ht="110" customHeight="1" x14ac:dyDescent="0.35">
      <c r="A120" s="340">
        <v>34</v>
      </c>
      <c r="B120" s="248" t="s">
        <v>14498</v>
      </c>
      <c r="C120" s="249" t="s">
        <v>913</v>
      </c>
      <c r="D120" s="248" t="s">
        <v>14499</v>
      </c>
      <c r="E120" s="248" t="s">
        <v>14500</v>
      </c>
      <c r="F120" s="248" t="s">
        <v>14031</v>
      </c>
      <c r="G120" s="248" t="s">
        <v>876</v>
      </c>
      <c r="H120" s="305" t="s">
        <v>14501</v>
      </c>
      <c r="I120" s="248" t="s">
        <v>5484</v>
      </c>
      <c r="J120" s="715" t="str">
        <f>HYPERLINK("https://www.google.com/maps/search/Esta%C3%A7%C3%A3o%20da%20P%C3%B3voa%20de%20Santa%20Iria%20Largo%20da%20Esta%C3%A7%C3%A3o%2C%20P%C3%B3voa%20Portugal","📍 Estação da Póvoa de Santa Iria")</f>
        <v>📍 Estação da Póvoa de Santa Iria</v>
      </c>
    </row>
    <row r="121" spans="1:10" ht="110" customHeight="1" x14ac:dyDescent="0.35">
      <c r="A121" s="360">
        <v>35</v>
      </c>
      <c r="B121" s="245" t="s">
        <v>14502</v>
      </c>
      <c r="C121" s="246" t="s">
        <v>913</v>
      </c>
      <c r="D121" s="245" t="s">
        <v>14503</v>
      </c>
      <c r="E121" s="245" t="s">
        <v>14504</v>
      </c>
      <c r="F121" s="245" t="s">
        <v>14031</v>
      </c>
      <c r="G121" s="245" t="s">
        <v>876</v>
      </c>
      <c r="H121" s="304" t="s">
        <v>14505</v>
      </c>
      <c r="I121" s="245" t="s">
        <v>5484</v>
      </c>
      <c r="J121" s="715" t="str">
        <f>HYPERLINK("https://www.google.com/maps/search/Apeadeiro%20de%20Virtudes%20Virtudes%2C%20Azambuja%20Portugal","📍 Apeadeiro de Virtudes")</f>
        <v>📍 Apeadeiro de Virtudes</v>
      </c>
    </row>
    <row r="122" spans="1:10" ht="110" customHeight="1" x14ac:dyDescent="0.35">
      <c r="A122" s="340">
        <v>36</v>
      </c>
      <c r="B122" s="248" t="s">
        <v>14506</v>
      </c>
      <c r="C122" s="249" t="s">
        <v>913</v>
      </c>
      <c r="D122" s="248" t="s">
        <v>14507</v>
      </c>
      <c r="E122" s="248" t="s">
        <v>14508</v>
      </c>
      <c r="F122" s="248" t="s">
        <v>14031</v>
      </c>
      <c r="G122" s="248" t="s">
        <v>876</v>
      </c>
      <c r="H122" s="305" t="s">
        <v>14509</v>
      </c>
      <c r="I122" s="248" t="s">
        <v>5484</v>
      </c>
      <c r="J122" s="715" t="str">
        <f>HYPERLINK("https://www.google.com/maps/search/Esta%C3%A7%C3%A3o%20de%20Malveira%20Largo%20da%20Esta%C3%A7%C3%A3o%2C%20Malveira%20Portugal","📍 Estação de Malveira")</f>
        <v>📍 Estação de Malveira</v>
      </c>
    </row>
    <row r="123" spans="1:10" ht="110" customHeight="1" x14ac:dyDescent="0.35">
      <c r="A123" s="360">
        <v>37</v>
      </c>
      <c r="B123" s="245" t="s">
        <v>14510</v>
      </c>
      <c r="C123" s="246" t="s">
        <v>913</v>
      </c>
      <c r="D123" s="245" t="s">
        <v>14511</v>
      </c>
      <c r="E123" s="245" t="s">
        <v>14512</v>
      </c>
      <c r="F123" s="245" t="s">
        <v>14031</v>
      </c>
      <c r="G123" s="245" t="s">
        <v>876</v>
      </c>
      <c r="H123" s="304" t="s">
        <v>14513</v>
      </c>
      <c r="I123" s="245" t="s">
        <v>5484</v>
      </c>
      <c r="J123" s="715" t="str">
        <f>HYPERLINK("https://www.google.com/maps/search/Esta%C3%A7%C3%A3o%20de%20Mafra%20(Gare)%20Igreja%20Nova%2C%20Mafra%20Portugal","📍 Estação de Mafra (Gare)")</f>
        <v>📍 Estação de Mafra (Gare)</v>
      </c>
    </row>
    <row r="124" spans="1:10" ht="110" customHeight="1" x14ac:dyDescent="0.35">
      <c r="A124" s="340">
        <v>38</v>
      </c>
      <c r="B124" s="248" t="s">
        <v>14514</v>
      </c>
      <c r="C124" s="249" t="s">
        <v>913</v>
      </c>
      <c r="D124" s="248" t="s">
        <v>14515</v>
      </c>
      <c r="E124" s="248" t="s">
        <v>14516</v>
      </c>
      <c r="F124" s="248" t="s">
        <v>14031</v>
      </c>
      <c r="G124" s="248" t="s">
        <v>876</v>
      </c>
      <c r="H124" s="305" t="s">
        <v>14517</v>
      </c>
      <c r="I124" s="248" t="s">
        <v>5484</v>
      </c>
      <c r="J124" s="715" t="str">
        <f>HYPERLINK("https://www.google.com/maps/search/Esta%C3%A7%C3%A3o%20de%20Praias%20do%20Sado%20Praias%20do%20Sado%2C%20Set%C3%BAbal%20Portugal","📍 Estação de Praias do Sado")</f>
        <v>📍 Estação de Praias do Sado</v>
      </c>
    </row>
    <row r="125" spans="1:10" ht="110" customHeight="1" x14ac:dyDescent="0.35">
      <c r="A125" s="360">
        <v>39</v>
      </c>
      <c r="B125" s="245" t="s">
        <v>14518</v>
      </c>
      <c r="C125" s="246" t="s">
        <v>913</v>
      </c>
      <c r="D125" s="245" t="s">
        <v>14519</v>
      </c>
      <c r="E125" s="245" t="s">
        <v>14520</v>
      </c>
      <c r="F125" s="245" t="s">
        <v>14438</v>
      </c>
      <c r="G125" s="245" t="s">
        <v>876</v>
      </c>
      <c r="H125" s="304" t="s">
        <v>14521</v>
      </c>
      <c r="I125" s="245" t="s">
        <v>5484</v>
      </c>
      <c r="J125" s="715" t="str">
        <f>HYPERLINK("https://www.google.com/maps/search/Esta%C3%A7%C3%A3o%20de%20Coina%20Coina%2C%20Barreiro%20Portugal","📍 Estação de Coina")</f>
        <v>📍 Estação de Coina</v>
      </c>
    </row>
    <row r="126" spans="1:10" ht="110" customHeight="1" x14ac:dyDescent="0.35">
      <c r="A126" s="340">
        <v>40</v>
      </c>
      <c r="B126" s="248" t="s">
        <v>14522</v>
      </c>
      <c r="C126" s="249" t="s">
        <v>913</v>
      </c>
      <c r="D126" s="248" t="s">
        <v>14523</v>
      </c>
      <c r="E126" s="248" t="s">
        <v>14524</v>
      </c>
      <c r="F126" s="248" t="s">
        <v>14031</v>
      </c>
      <c r="G126" s="248" t="s">
        <v>876</v>
      </c>
      <c r="H126" s="305" t="s">
        <v>14525</v>
      </c>
      <c r="I126" s="248" t="s">
        <v>5484</v>
      </c>
      <c r="J126" s="715" t="str">
        <f>HYPERLINK("https://www.google.com/maps/search/Esta%C3%A7%C3%A3o%20de%20Moscavide%20Moscavide%2C%20Lisboa%20Portugal","📍 Estação de Moscavide")</f>
        <v>📍 Estação de Moscavide</v>
      </c>
    </row>
    <row r="127" spans="1:10" ht="22" customHeight="1" x14ac:dyDescent="0.45">
      <c r="A127" s="1478" t="s">
        <v>14526</v>
      </c>
      <c r="B127" s="1313"/>
      <c r="C127" s="1313"/>
      <c r="D127" s="1313"/>
      <c r="E127" s="1313"/>
      <c r="F127" s="1313"/>
      <c r="G127" s="1313"/>
      <c r="H127" s="1313"/>
      <c r="I127" s="1313"/>
      <c r="J127" s="676"/>
    </row>
    <row r="128" spans="1:10" ht="110" customHeight="1" x14ac:dyDescent="0.35">
      <c r="A128" s="346">
        <v>1</v>
      </c>
      <c r="B128" s="267" t="s">
        <v>14527</v>
      </c>
      <c r="C128" s="268" t="s">
        <v>853</v>
      </c>
      <c r="D128" s="267" t="s">
        <v>14528</v>
      </c>
      <c r="E128" s="267" t="s">
        <v>14529</v>
      </c>
      <c r="F128" s="267" t="s">
        <v>14530</v>
      </c>
      <c r="G128" s="267" t="s">
        <v>876</v>
      </c>
      <c r="H128" s="304" t="s">
        <v>14531</v>
      </c>
      <c r="I128" s="267" t="s">
        <v>14532</v>
      </c>
      <c r="J128" s="715" t="str">
        <f>HYPERLINK("https://www.google.com/maps/search/Esta%C3%A7%C3%A3o%20de%20%C3%89vora%20Largo%20da%20Esta%C3%A7%C3%A3o%2C%20%C3%89vora%20Portugal","📍 Estação de Évora")</f>
        <v>📍 Estação de Évora</v>
      </c>
    </row>
    <row r="129" spans="1:10" ht="110" customHeight="1" x14ac:dyDescent="0.35">
      <c r="A129" s="362">
        <v>2</v>
      </c>
      <c r="B129" s="270" t="s">
        <v>14533</v>
      </c>
      <c r="C129" s="271" t="s">
        <v>853</v>
      </c>
      <c r="D129" s="270" t="s">
        <v>14534</v>
      </c>
      <c r="E129" s="270" t="s">
        <v>14535</v>
      </c>
      <c r="F129" s="270" t="s">
        <v>14307</v>
      </c>
      <c r="G129" s="270" t="s">
        <v>876</v>
      </c>
      <c r="H129" s="305" t="s">
        <v>14536</v>
      </c>
      <c r="I129" s="270" t="s">
        <v>14537</v>
      </c>
      <c r="J129" s="715" t="str">
        <f>HYPERLINK("https://www.google.com/maps/search/Esta%C3%A7%C3%A3o%20de%20Beja%20Largo%20da%20Esta%C3%A7%C3%A3o%2C%20Beja%20Portugal","📍 Estação de Beja")</f>
        <v>📍 Estação de Beja</v>
      </c>
    </row>
    <row r="130" spans="1:10" ht="110" customHeight="1" x14ac:dyDescent="0.35">
      <c r="A130" s="346">
        <v>3</v>
      </c>
      <c r="B130" s="267" t="s">
        <v>14538</v>
      </c>
      <c r="C130" s="268" t="s">
        <v>853</v>
      </c>
      <c r="D130" s="267" t="s">
        <v>14539</v>
      </c>
      <c r="E130" s="267" t="s">
        <v>14540</v>
      </c>
      <c r="F130" s="267" t="s">
        <v>14031</v>
      </c>
      <c r="G130" s="267" t="s">
        <v>876</v>
      </c>
      <c r="H130" s="304" t="s">
        <v>14541</v>
      </c>
      <c r="I130" s="267" t="s">
        <v>5484</v>
      </c>
      <c r="J130" s="715" t="str">
        <f>HYPERLINK("https://www.google.com/maps/search/Esta%C3%A7%C3%A3o%20de%20Elvas%20Fontainhas%2C%20Elvas%20Portugal","📍 Estação de Elvas")</f>
        <v>📍 Estação de Elvas</v>
      </c>
    </row>
    <row r="131" spans="1:10" ht="110" customHeight="1" x14ac:dyDescent="0.35">
      <c r="A131" s="362">
        <v>4</v>
      </c>
      <c r="B131" s="270" t="s">
        <v>14234</v>
      </c>
      <c r="C131" s="271" t="s">
        <v>853</v>
      </c>
      <c r="D131" s="270" t="s">
        <v>14235</v>
      </c>
      <c r="E131" s="270" t="s">
        <v>14542</v>
      </c>
      <c r="F131" s="270" t="s">
        <v>14102</v>
      </c>
      <c r="G131" s="270" t="s">
        <v>876</v>
      </c>
      <c r="H131" s="305" t="s">
        <v>14543</v>
      </c>
      <c r="I131" s="270" t="s">
        <v>14239</v>
      </c>
      <c r="J131" s="715" t="str">
        <f>HYPERLINK("https://www.google.com/maps/search/Esta%C3%A7%C3%A3o%20de%20Marv%C3%A3o-Beir%C3%A3%20(Desativada)%20Beir%C3%A3%2C%20Marv%C3%A3o%20Portugal","📍 Estação de Marvão-Beirã (Desativada)")</f>
        <v>📍 Estação de Marvão-Beirã (Desativada)</v>
      </c>
    </row>
    <row r="132" spans="1:10" ht="110" customHeight="1" x14ac:dyDescent="0.35">
      <c r="A132" s="346">
        <v>5</v>
      </c>
      <c r="B132" s="267" t="s">
        <v>14544</v>
      </c>
      <c r="C132" s="268" t="s">
        <v>853</v>
      </c>
      <c r="D132" s="267" t="s">
        <v>14544</v>
      </c>
      <c r="E132" s="267" t="s">
        <v>14545</v>
      </c>
      <c r="F132" s="267" t="s">
        <v>14031</v>
      </c>
      <c r="G132" s="267" t="s">
        <v>876</v>
      </c>
      <c r="H132" s="304" t="s">
        <v>14546</v>
      </c>
      <c r="I132" s="267" t="s">
        <v>5484</v>
      </c>
      <c r="J132" s="715" t="str">
        <f>HYPERLINK("https://www.google.com/maps/search/Esta%C3%A7%C3%A3o%20de%20Portalegre%20Esta%C3%A7%C3%A3o%20de%20Portalegre%20Portugal","📍 Estação de Portalegre")</f>
        <v>📍 Estação de Portalegre</v>
      </c>
    </row>
    <row r="133" spans="1:10" ht="110" customHeight="1" x14ac:dyDescent="0.35">
      <c r="A133" s="362">
        <v>6</v>
      </c>
      <c r="B133" s="270" t="s">
        <v>14547</v>
      </c>
      <c r="C133" s="271" t="s">
        <v>853</v>
      </c>
      <c r="D133" s="270" t="s">
        <v>14548</v>
      </c>
      <c r="E133" s="270" t="s">
        <v>14549</v>
      </c>
      <c r="F133" s="270" t="s">
        <v>14031</v>
      </c>
      <c r="G133" s="270" t="s">
        <v>876</v>
      </c>
      <c r="H133" s="305" t="s">
        <v>14550</v>
      </c>
      <c r="I133" s="270" t="s">
        <v>5484</v>
      </c>
      <c r="J133" s="715" t="str">
        <f>HYPERLINK("https://www.google.com/maps/search/Esta%C3%A7%C3%A3o%20de%20Casa%20Branca%20Casa%20Branca%2C%20Montemor-o-Novo%20Portugal","📍 Estação de Casa Branca")</f>
        <v>📍 Estação de Casa Branca</v>
      </c>
    </row>
    <row r="134" spans="1:10" ht="110" customHeight="1" x14ac:dyDescent="0.35">
      <c r="A134" s="346">
        <v>7</v>
      </c>
      <c r="B134" s="267" t="s">
        <v>14551</v>
      </c>
      <c r="C134" s="268" t="s">
        <v>853</v>
      </c>
      <c r="D134" s="267" t="s">
        <v>14552</v>
      </c>
      <c r="E134" s="267" t="s">
        <v>14553</v>
      </c>
      <c r="F134" s="267" t="s">
        <v>14554</v>
      </c>
      <c r="G134" s="267" t="s">
        <v>876</v>
      </c>
      <c r="H134" s="304" t="s">
        <v>14555</v>
      </c>
      <c r="I134" s="267" t="s">
        <v>5484</v>
      </c>
      <c r="J134" s="715" t="str">
        <f>HYPERLINK("https://www.google.com/maps/search/Esta%C3%A7%C3%A3o%20de%20Alc%C3%A1cer%20do%20Sal%20Esta%C3%A7%C3%A3o%20de%20Alc%C3%A1cer%20Portugal","📍 Estação de Alcácer do Sal")</f>
        <v>📍 Estação de Alcácer do Sal</v>
      </c>
    </row>
    <row r="135" spans="1:10" ht="110" customHeight="1" x14ac:dyDescent="0.35">
      <c r="A135" s="362">
        <v>8</v>
      </c>
      <c r="B135" s="270" t="s">
        <v>14556</v>
      </c>
      <c r="C135" s="271" t="s">
        <v>853</v>
      </c>
      <c r="D135" s="270" t="s">
        <v>14557</v>
      </c>
      <c r="E135" s="270" t="s">
        <v>14558</v>
      </c>
      <c r="F135" s="270" t="s">
        <v>14031</v>
      </c>
      <c r="G135" s="270" t="s">
        <v>876</v>
      </c>
      <c r="H135" s="305" t="s">
        <v>14559</v>
      </c>
      <c r="I135" s="270" t="s">
        <v>5484</v>
      </c>
      <c r="J135" s="715" t="str">
        <f>HYPERLINK("https://www.google.com/maps/search/Esta%C3%A7%C3%A3o%20de%20Ermidas-Sado%20Ermidas-Sado%2C%20Santiago%20do%20Cac%C3%A9m%20Portugal","📍 Estação de Ermidas-Sado")</f>
        <v>📍 Estação de Ermidas-Sado</v>
      </c>
    </row>
    <row r="136" spans="1:10" ht="110" customHeight="1" x14ac:dyDescent="0.35">
      <c r="A136" s="346">
        <v>9</v>
      </c>
      <c r="B136" s="267" t="s">
        <v>14560</v>
      </c>
      <c r="C136" s="268" t="s">
        <v>853</v>
      </c>
      <c r="D136" s="267" t="s">
        <v>5516</v>
      </c>
      <c r="E136" s="267" t="s">
        <v>14561</v>
      </c>
      <c r="F136" s="267" t="s">
        <v>14014</v>
      </c>
      <c r="G136" s="267" t="s">
        <v>5484</v>
      </c>
      <c r="H136" s="304" t="s">
        <v>14562</v>
      </c>
      <c r="I136" s="267" t="s">
        <v>5484</v>
      </c>
      <c r="J136" s="715" t="str">
        <f>HYPERLINK("https://www.google.com/maps/search/Ponte%20de%20Ferro%20de%20Alc%C3%A1cer%20Alc%C3%A1cer%20do%20Sal%20Portugal","📍 Ponte de Ferro de Alcácer")</f>
        <v>📍 Ponte de Ferro de Alcácer</v>
      </c>
    </row>
    <row r="137" spans="1:10" ht="110" customHeight="1" x14ac:dyDescent="0.35">
      <c r="A137" s="362">
        <v>10</v>
      </c>
      <c r="B137" s="270" t="s">
        <v>14563</v>
      </c>
      <c r="C137" s="271" t="s">
        <v>853</v>
      </c>
      <c r="D137" s="270" t="s">
        <v>14564</v>
      </c>
      <c r="E137" s="270" t="s">
        <v>14565</v>
      </c>
      <c r="F137" s="270" t="s">
        <v>14566</v>
      </c>
      <c r="G137" s="270" t="s">
        <v>876</v>
      </c>
      <c r="H137" s="305" t="s">
        <v>14567</v>
      </c>
      <c r="I137" s="270" t="s">
        <v>14568</v>
      </c>
      <c r="J137" s="715" t="str">
        <f>HYPERLINK("https://www.google.com/maps/search/Esta%C3%A7%C3%A3o%20de%20Sines%20(Desativada)%20Av.%20da%20Esta%C3%A7%C3%A3o%2C%20Sines%20Portugal","📍 Estação de Sines (Desativada)")</f>
        <v>📍 Estação de Sines (Desativada)</v>
      </c>
    </row>
    <row r="138" spans="1:10" ht="110" customHeight="1" x14ac:dyDescent="0.35">
      <c r="A138" s="346">
        <v>11</v>
      </c>
      <c r="B138" s="267" t="s">
        <v>14569</v>
      </c>
      <c r="C138" s="268" t="s">
        <v>853</v>
      </c>
      <c r="D138" s="267" t="s">
        <v>14570</v>
      </c>
      <c r="E138" s="267" t="s">
        <v>14571</v>
      </c>
      <c r="F138" s="267" t="s">
        <v>14572</v>
      </c>
      <c r="G138" s="267" t="s">
        <v>14069</v>
      </c>
      <c r="H138" s="304" t="s">
        <v>14573</v>
      </c>
      <c r="I138" s="267" t="s">
        <v>14574</v>
      </c>
      <c r="J138" s="715" t="str">
        <f>HYPERLINK("https://www.google.com/maps/search/Esta%C3%A7%C3%A3o%20de%20Vila%20Vi%C3%A7osa%20(Desativada)%20Av.%20Bento%20de%20Jesus%20Cara%C3%A7a%2C%20Vila%20Vi%C3%A7osa%20Portugal","📍 Estação de Vila Viçosa (Desativada)")</f>
        <v>📍 Estação de Vila Viçosa (Desativada)</v>
      </c>
    </row>
    <row r="139" spans="1:10" ht="110" customHeight="1" x14ac:dyDescent="0.35">
      <c r="A139" s="362">
        <v>12</v>
      </c>
      <c r="B139" s="270" t="s">
        <v>14575</v>
      </c>
      <c r="C139" s="271" t="s">
        <v>853</v>
      </c>
      <c r="D139" s="270" t="s">
        <v>14576</v>
      </c>
      <c r="E139" s="270" t="s">
        <v>14577</v>
      </c>
      <c r="F139" s="270" t="s">
        <v>14578</v>
      </c>
      <c r="G139" s="270" t="s">
        <v>876</v>
      </c>
      <c r="H139" s="305" t="s">
        <v>14579</v>
      </c>
      <c r="I139" s="270" t="s">
        <v>5484</v>
      </c>
      <c r="J139" s="715" t="str">
        <f>HYPERLINK("https://www.google.com/maps/search/Esta%C3%A7%C3%A3o%20de%20Estremoz%20(Desativada)%20Largo%20da%20Esta%C3%A7%C3%A3o%2C%20Estremoz%20Portugal","📍 Estação de Estremoz (Desativada)")</f>
        <v>📍 Estação de Estremoz (Desativada)</v>
      </c>
    </row>
    <row r="140" spans="1:10" ht="110" customHeight="1" x14ac:dyDescent="0.35">
      <c r="A140" s="346">
        <v>13</v>
      </c>
      <c r="B140" s="267" t="s">
        <v>14580</v>
      </c>
      <c r="C140" s="268" t="s">
        <v>853</v>
      </c>
      <c r="D140" s="267" t="s">
        <v>14581</v>
      </c>
      <c r="E140" s="267" t="s">
        <v>14582</v>
      </c>
      <c r="F140" s="267" t="s">
        <v>3012</v>
      </c>
      <c r="G140" s="267" t="s">
        <v>876</v>
      </c>
      <c r="H140" s="304" t="s">
        <v>14583</v>
      </c>
      <c r="I140" s="267" t="s">
        <v>5484</v>
      </c>
      <c r="J140" s="715" t="str">
        <f>HYPERLINK("https://www.google.com/maps/search/Esta%C3%A7%C3%A3o%20de%20Reguengos%20de%20Monsaraz%20(Desativada)%20Av.%20da%20Esta%C3%A7%C3%A3o%2C%20Reguengos%20Portugal","📍 Estação de Reguengos de Monsaraz (Desativa")</f>
        <v>📍 Estação de Reguengos de Monsaraz (Desativa</v>
      </c>
    </row>
    <row r="141" spans="1:10" ht="110" customHeight="1" x14ac:dyDescent="0.35">
      <c r="A141" s="362">
        <v>14</v>
      </c>
      <c r="B141" s="270" t="s">
        <v>14584</v>
      </c>
      <c r="C141" s="271" t="s">
        <v>853</v>
      </c>
      <c r="D141" s="270" t="s">
        <v>14584</v>
      </c>
      <c r="E141" s="270" t="s">
        <v>14585</v>
      </c>
      <c r="F141" s="270" t="s">
        <v>14031</v>
      </c>
      <c r="G141" s="270" t="s">
        <v>876</v>
      </c>
      <c r="H141" s="305" t="s">
        <v>14586</v>
      </c>
      <c r="I141" s="270" t="s">
        <v>5484</v>
      </c>
      <c r="J141" s="715" t="str">
        <f>HYPERLINK("https://www.google.com/maps/search/Esta%C3%A7%C3%A3o%20de%20Gr%C3%A2ndola%20Esta%C3%A7%C3%A3o%20de%20Gr%C3%A2ndola%20Portugal","📍 Estação de Grândola")</f>
        <v>📍 Estação de Grândola</v>
      </c>
    </row>
    <row r="142" spans="1:10" ht="110" customHeight="1" x14ac:dyDescent="0.35">
      <c r="A142" s="346">
        <v>15</v>
      </c>
      <c r="B142" s="267" t="s">
        <v>14587</v>
      </c>
      <c r="C142" s="268" t="s">
        <v>853</v>
      </c>
      <c r="D142" s="267" t="s">
        <v>14588</v>
      </c>
      <c r="E142" s="267" t="s">
        <v>14589</v>
      </c>
      <c r="F142" s="267" t="s">
        <v>14590</v>
      </c>
      <c r="G142" s="267" t="s">
        <v>876</v>
      </c>
      <c r="H142" s="304" t="s">
        <v>14591</v>
      </c>
      <c r="I142" s="267" t="s">
        <v>5484</v>
      </c>
      <c r="J142" s="715" t="str">
        <f>HYPERLINK("https://www.google.com/maps/search/Esta%C3%A7%C3%A3o%20de%20Castro%20Verde%20-%20Almod%C3%B4var%20Esta%C3%A7%C3%A3o%20Ourique%20(Castro%20Verde)%20Portugal","📍 Estação de Castro Verde - Almodôvar")</f>
        <v>📍 Estação de Castro Verde - Almodôvar</v>
      </c>
    </row>
    <row r="143" spans="1:10" ht="110" customHeight="1" x14ac:dyDescent="0.35">
      <c r="A143" s="362">
        <v>16</v>
      </c>
      <c r="B143" s="270" t="s">
        <v>14592</v>
      </c>
      <c r="C143" s="271" t="s">
        <v>853</v>
      </c>
      <c r="D143" s="270" t="s">
        <v>14593</v>
      </c>
      <c r="E143" s="270" t="s">
        <v>14594</v>
      </c>
      <c r="F143" s="270" t="s">
        <v>14031</v>
      </c>
      <c r="G143" s="270" t="s">
        <v>876</v>
      </c>
      <c r="H143" s="305" t="s">
        <v>14595</v>
      </c>
      <c r="I143" s="270" t="s">
        <v>5484</v>
      </c>
      <c r="J143" s="715" t="str">
        <f>HYPERLINK("https://www.google.com/maps/search/Esta%C3%A7%C3%A3o%20de%20Funcheira%20Funcheira%2C%20Ourique%20Portugal","📍 Estação de Funcheira")</f>
        <v>📍 Estação de Funcheira</v>
      </c>
    </row>
    <row r="144" spans="1:10" ht="110" customHeight="1" x14ac:dyDescent="0.35">
      <c r="A144" s="346">
        <v>17</v>
      </c>
      <c r="B144" s="267" t="s">
        <v>14596</v>
      </c>
      <c r="C144" s="268" t="s">
        <v>853</v>
      </c>
      <c r="D144" s="267" t="s">
        <v>14597</v>
      </c>
      <c r="E144" s="267" t="s">
        <v>14598</v>
      </c>
      <c r="F144" s="267" t="s">
        <v>14031</v>
      </c>
      <c r="G144" s="267" t="s">
        <v>876</v>
      </c>
      <c r="H144" s="304" t="s">
        <v>14599</v>
      </c>
      <c r="I144" s="267" t="s">
        <v>5484</v>
      </c>
      <c r="J144" s="715" t="str">
        <f>HYPERLINK("https://www.google.com/maps/search/Esta%C3%A7%C3%A3o%20de%20Santa%20Clara%20-%20Sab%C3%B3ia%20Sab%C3%B3ia%2C%20Odemira%20Portugal","📍 Estação de Santa Clara - Sabóia")</f>
        <v>📍 Estação de Santa Clara - Sabóia</v>
      </c>
    </row>
    <row r="145" spans="1:10" ht="110" customHeight="1" x14ac:dyDescent="0.35">
      <c r="A145" s="362">
        <v>18</v>
      </c>
      <c r="B145" s="270" t="s">
        <v>14600</v>
      </c>
      <c r="C145" s="271" t="s">
        <v>853</v>
      </c>
      <c r="D145" s="270" t="s">
        <v>14601</v>
      </c>
      <c r="E145" s="270" t="s">
        <v>14602</v>
      </c>
      <c r="F145" s="270" t="s">
        <v>14031</v>
      </c>
      <c r="G145" s="270" t="s">
        <v>876</v>
      </c>
      <c r="H145" s="305" t="s">
        <v>14603</v>
      </c>
      <c r="I145" s="270" t="s">
        <v>5484</v>
      </c>
      <c r="J145" s="715" t="str">
        <f>HYPERLINK("https://www.google.com/maps/search/Apeadeiro%20de%20Luzianes%20Luzianes-Gare%2C%20Odemira%20Portugal","📍 Apeadeiro de Luzianes")</f>
        <v>📍 Apeadeiro de Luzianes</v>
      </c>
    </row>
    <row r="146" spans="1:10" ht="110" customHeight="1" x14ac:dyDescent="0.35">
      <c r="A146" s="346">
        <v>19</v>
      </c>
      <c r="B146" s="267" t="s">
        <v>14604</v>
      </c>
      <c r="C146" s="268" t="s">
        <v>853</v>
      </c>
      <c r="D146" s="267" t="s">
        <v>14605</v>
      </c>
      <c r="E146" s="267" t="s">
        <v>14606</v>
      </c>
      <c r="F146" s="267" t="s">
        <v>14031</v>
      </c>
      <c r="G146" s="267" t="s">
        <v>876</v>
      </c>
      <c r="H146" s="304" t="s">
        <v>14607</v>
      </c>
      <c r="I146" s="267" t="s">
        <v>5484</v>
      </c>
      <c r="J146" s="715" t="str">
        <f>HYPERLINK("https://www.google.com/maps/search/Esta%C3%A7%C3%A3o%20de%20Amoreiras-Gare%20Amoreiras-Gare%2C%20Odemira%20Portugal","📍 Estação de Amoreiras-Gare")</f>
        <v>📍 Estação de Amoreiras-Gare</v>
      </c>
    </row>
    <row r="147" spans="1:10" ht="110" customHeight="1" x14ac:dyDescent="0.35">
      <c r="A147" s="362">
        <v>20</v>
      </c>
      <c r="B147" s="270" t="s">
        <v>14608</v>
      </c>
      <c r="C147" s="271" t="s">
        <v>853</v>
      </c>
      <c r="D147" s="270" t="s">
        <v>14609</v>
      </c>
      <c r="E147" s="270" t="s">
        <v>14610</v>
      </c>
      <c r="F147" s="270" t="s">
        <v>14031</v>
      </c>
      <c r="G147" s="270" t="s">
        <v>876</v>
      </c>
      <c r="H147" s="305" t="s">
        <v>14611</v>
      </c>
      <c r="I147" s="270" t="s">
        <v>5484</v>
      </c>
      <c r="J147" s="715" t="str">
        <f>HYPERLINK("https://www.google.com/maps/search/Esta%C3%A7%C3%A3o%20de%20Torre%20das%20Vargens%20Torre%20das%20Vargens%2C%20Ponte%20de%20Sor%20Portugal","📍 Estação de Torre das Vargens")</f>
        <v>📍 Estação de Torre das Vargens</v>
      </c>
    </row>
    <row r="148" spans="1:10" ht="110" customHeight="1" x14ac:dyDescent="0.35">
      <c r="A148" s="346">
        <v>21</v>
      </c>
      <c r="B148" s="267" t="s">
        <v>14612</v>
      </c>
      <c r="C148" s="268" t="s">
        <v>853</v>
      </c>
      <c r="D148" s="267" t="s">
        <v>14613</v>
      </c>
      <c r="E148" s="267" t="s">
        <v>14614</v>
      </c>
      <c r="F148" s="267" t="s">
        <v>14031</v>
      </c>
      <c r="G148" s="267" t="s">
        <v>876</v>
      </c>
      <c r="H148" s="304" t="s">
        <v>14615</v>
      </c>
      <c r="I148" s="267" t="s">
        <v>14616</v>
      </c>
      <c r="J148" s="715" t="str">
        <f>HYPERLINK("https://www.google.com/maps/search/Esta%C3%A7%C3%A3o%20de%20Ponte%20de%20Sor%20Largo%20da%20Esta%C3%A7%C3%A3o%2C%20Ponte%20de%20Sor%20Portugal","📍 Estação de Ponte de Sor")</f>
        <v>📍 Estação de Ponte de Sor</v>
      </c>
    </row>
    <row r="149" spans="1:10" ht="110" customHeight="1" x14ac:dyDescent="0.35">
      <c r="A149" s="362">
        <v>22</v>
      </c>
      <c r="B149" s="270" t="s">
        <v>14617</v>
      </c>
      <c r="C149" s="271" t="s">
        <v>853</v>
      </c>
      <c r="D149" s="270" t="s">
        <v>14618</v>
      </c>
      <c r="E149" s="270" t="s">
        <v>14619</v>
      </c>
      <c r="F149" s="270" t="s">
        <v>14031</v>
      </c>
      <c r="G149" s="270" t="s">
        <v>876</v>
      </c>
      <c r="H149" s="305" t="s">
        <v>14620</v>
      </c>
      <c r="I149" s="270" t="s">
        <v>5484</v>
      </c>
      <c r="J149" s="715" t="str">
        <f>HYPERLINK("https://www.google.com/maps/search/Esta%C3%A7%C3%A3o%20de%20Cuba%20Largo%20da%20Esta%C3%A7%C3%A3o%2C%20Cuba%20Portugal","📍 Estação de Cuba")</f>
        <v>📍 Estação de Cuba</v>
      </c>
    </row>
    <row r="150" spans="1:10" ht="110" customHeight="1" x14ac:dyDescent="0.35">
      <c r="A150" s="346">
        <v>23</v>
      </c>
      <c r="B150" s="267" t="s">
        <v>14621</v>
      </c>
      <c r="C150" s="268" t="s">
        <v>853</v>
      </c>
      <c r="D150" s="267" t="s">
        <v>9950</v>
      </c>
      <c r="E150" s="267" t="s">
        <v>14622</v>
      </c>
      <c r="F150" s="267" t="s">
        <v>14031</v>
      </c>
      <c r="G150" s="267" t="s">
        <v>876</v>
      </c>
      <c r="H150" s="304" t="s">
        <v>14623</v>
      </c>
      <c r="I150" s="267" t="s">
        <v>5484</v>
      </c>
      <c r="J150" s="715" t="str">
        <f>HYPERLINK("https://www.google.com/maps/search/Esta%C3%A7%C3%A3o%20de%20Alvito%20Alvito%20Portugal","📍 Estação de Alvito")</f>
        <v>📍 Estação de Alvito</v>
      </c>
    </row>
    <row r="151" spans="1:10" ht="110" customHeight="1" x14ac:dyDescent="0.35">
      <c r="A151" s="362">
        <v>24</v>
      </c>
      <c r="B151" s="270" t="s">
        <v>14624</v>
      </c>
      <c r="C151" s="271" t="s">
        <v>853</v>
      </c>
      <c r="D151" s="270" t="s">
        <v>14625</v>
      </c>
      <c r="E151" s="270" t="s">
        <v>14626</v>
      </c>
      <c r="F151" s="270" t="s">
        <v>14031</v>
      </c>
      <c r="G151" s="270" t="s">
        <v>876</v>
      </c>
      <c r="H151" s="305" t="s">
        <v>14627</v>
      </c>
      <c r="I151" s="270" t="s">
        <v>5484</v>
      </c>
      <c r="J151" s="715" t="str">
        <f>HYPERLINK("https://www.google.com/maps/search/Esta%C3%A7%C3%A3o%20de%20Vila%20Nova%20da%20Baronia%20Vila%20Nova%20da%20Baronia%20Portugal","📍 Estação de Vila Nova da Baronia")</f>
        <v>📍 Estação de Vila Nova da Baronia</v>
      </c>
    </row>
    <row r="152" spans="1:10" ht="110" customHeight="1" x14ac:dyDescent="0.35">
      <c r="A152" s="346">
        <v>25</v>
      </c>
      <c r="B152" s="267" t="s">
        <v>14628</v>
      </c>
      <c r="C152" s="268" t="s">
        <v>853</v>
      </c>
      <c r="D152" s="267" t="s">
        <v>14629</v>
      </c>
      <c r="E152" s="267" t="s">
        <v>14630</v>
      </c>
      <c r="F152" s="267" t="s">
        <v>7565</v>
      </c>
      <c r="G152" s="267" t="s">
        <v>876</v>
      </c>
      <c r="H152" s="304" t="s">
        <v>14631</v>
      </c>
      <c r="I152" s="267" t="s">
        <v>5484</v>
      </c>
      <c r="J152" s="715" t="str">
        <f>HYPERLINK("https://www.google.com/maps/search/Esta%C3%A7%C3%A3o%20de%20Montemor-o-Novo%20(Desativada)%20Largo%20da%20Esta%C3%A7%C3%A3o%2C%20Montemor-o-Novo%20Portugal","📍 Estação de Montemor-o-Novo (Desativada)")</f>
        <v>📍 Estação de Montemor-o-Novo (Desativada)</v>
      </c>
    </row>
    <row r="153" spans="1:10" ht="110" customHeight="1" x14ac:dyDescent="0.35">
      <c r="A153" s="362">
        <v>26</v>
      </c>
      <c r="B153" s="270" t="s">
        <v>14632</v>
      </c>
      <c r="C153" s="271" t="s">
        <v>853</v>
      </c>
      <c r="D153" s="270" t="s">
        <v>14633</v>
      </c>
      <c r="E153" s="270" t="s">
        <v>14634</v>
      </c>
      <c r="F153" s="270" t="s">
        <v>14554</v>
      </c>
      <c r="G153" s="270" t="s">
        <v>876</v>
      </c>
      <c r="H153" s="305" t="s">
        <v>14635</v>
      </c>
      <c r="I153" s="270" t="s">
        <v>5484</v>
      </c>
      <c r="J153" s="715" t="str">
        <f>HYPERLINK("https://www.google.com/maps/search/Esta%C3%A7%C3%A3o%20de%20Garv%C3%A3o%20Garv%C3%A3o%2C%20Ourique%20Portugal","📍 Estação de Garvão")</f>
        <v>📍 Estação de Garvão</v>
      </c>
    </row>
    <row r="154" spans="1:10" ht="110" customHeight="1" x14ac:dyDescent="0.35">
      <c r="A154" s="346">
        <v>27</v>
      </c>
      <c r="B154" s="267" t="s">
        <v>14636</v>
      </c>
      <c r="C154" s="268" t="s">
        <v>853</v>
      </c>
      <c r="D154" s="267" t="s">
        <v>14637</v>
      </c>
      <c r="E154" s="267" t="s">
        <v>14638</v>
      </c>
      <c r="F154" s="267" t="s">
        <v>14031</v>
      </c>
      <c r="G154" s="267" t="s">
        <v>876</v>
      </c>
      <c r="H154" s="304" t="s">
        <v>14639</v>
      </c>
      <c r="I154" s="267" t="s">
        <v>5484</v>
      </c>
      <c r="J154" s="715" t="str">
        <f>HYPERLINK("https://www.google.com/maps/search/Esta%C3%A7%C3%A3o%20de%20Odemira%20(Pereiras-Gare)%20Pereiras-Gare%2C%20Odemira%20Portugal","📍 Estação de Odemira (Pereiras-Gare)")</f>
        <v>📍 Estação de Odemira (Pereiras-Gare)</v>
      </c>
    </row>
    <row r="155" spans="1:10" ht="110" customHeight="1" x14ac:dyDescent="0.35">
      <c r="A155" s="362">
        <v>28</v>
      </c>
      <c r="B155" s="270" t="s">
        <v>14640</v>
      </c>
      <c r="C155" s="271" t="s">
        <v>853</v>
      </c>
      <c r="D155" s="270" t="s">
        <v>6081</v>
      </c>
      <c r="E155" s="270" t="s">
        <v>14641</v>
      </c>
      <c r="F155" s="270" t="s">
        <v>14642</v>
      </c>
      <c r="G155" s="270" t="s">
        <v>5484</v>
      </c>
      <c r="H155" s="305" t="s">
        <v>14643</v>
      </c>
      <c r="I155" s="270" t="s">
        <v>5484</v>
      </c>
      <c r="J155" s="715" t="str">
        <f>HYPERLINK("https://www.google.com/maps/search/Ponte%20Ferrovi%C3%A1ria%20de%20M%C3%A9rtola%20(Projetada)%20M%C3%A9rtola%20Portugal","📍 Ponte Ferroviária de Mértola (Projetada)")</f>
        <v>📍 Ponte Ferroviária de Mértola (Projetada)</v>
      </c>
    </row>
    <row r="156" spans="1:10" ht="110" customHeight="1" x14ac:dyDescent="0.35">
      <c r="A156" s="346">
        <v>29</v>
      </c>
      <c r="B156" s="267" t="s">
        <v>14644</v>
      </c>
      <c r="C156" s="268" t="s">
        <v>853</v>
      </c>
      <c r="D156" s="267" t="s">
        <v>7468</v>
      </c>
      <c r="E156" s="267" t="s">
        <v>14645</v>
      </c>
      <c r="F156" s="267" t="s">
        <v>14031</v>
      </c>
      <c r="G156" s="267" t="s">
        <v>876</v>
      </c>
      <c r="H156" s="304" t="s">
        <v>14646</v>
      </c>
      <c r="I156" s="267" t="s">
        <v>5484</v>
      </c>
      <c r="J156" s="715" t="str">
        <f>HYPERLINK("https://www.google.com/maps/search/Esta%C3%A7%C3%A3o%20de%20Crato%20Crato%20Portugal","📍 Estação de Crato")</f>
        <v>📍 Estação de Crato</v>
      </c>
    </row>
    <row r="157" spans="1:10" ht="110" customHeight="1" x14ac:dyDescent="0.35">
      <c r="A157" s="362">
        <v>30</v>
      </c>
      <c r="B157" s="270" t="s">
        <v>14647</v>
      </c>
      <c r="C157" s="271" t="s">
        <v>853</v>
      </c>
      <c r="D157" s="270" t="s">
        <v>14648</v>
      </c>
      <c r="E157" s="270" t="s">
        <v>14649</v>
      </c>
      <c r="F157" s="270" t="s">
        <v>14031</v>
      </c>
      <c r="G157" s="270" t="s">
        <v>876</v>
      </c>
      <c r="H157" s="305" t="s">
        <v>14650</v>
      </c>
      <c r="I157" s="270" t="s">
        <v>5484</v>
      </c>
      <c r="J157" s="715" t="str">
        <f>HYPERLINK("https://www.google.com/maps/search/Esta%C3%A7%C3%A3o%20de%20Alter%20do%20Ch%C3%A3o%20(Alter%20Pedroso)%20Alter%20Pedroso%20Portugal","📍 Estação de Alter do Chão (Alter Pedroso)")</f>
        <v>📍 Estação de Alter do Chão (Alter Pedroso)</v>
      </c>
    </row>
    <row r="158" spans="1:10" ht="110" customHeight="1" x14ac:dyDescent="0.35">
      <c r="A158" s="346">
        <v>31</v>
      </c>
      <c r="B158" s="267" t="s">
        <v>14651</v>
      </c>
      <c r="C158" s="268" t="s">
        <v>853</v>
      </c>
      <c r="D158" s="267" t="s">
        <v>14652</v>
      </c>
      <c r="E158" s="267" t="s">
        <v>14653</v>
      </c>
      <c r="F158" s="267" t="s">
        <v>14031</v>
      </c>
      <c r="G158" s="267" t="s">
        <v>876</v>
      </c>
      <c r="H158" s="304" t="s">
        <v>14654</v>
      </c>
      <c r="I158" s="267" t="s">
        <v>5484</v>
      </c>
      <c r="J158" s="715" t="str">
        <f>HYPERLINK("https://www.google.com/maps/search/Esta%C3%A7%C3%A3o%20de%20Bemposta%20Bemposta%2C%20Abrantes%20Portugal","📍 Estação de Bemposta")</f>
        <v>📍 Estação de Bemposta</v>
      </c>
    </row>
    <row r="159" spans="1:10" ht="110" customHeight="1" x14ac:dyDescent="0.35">
      <c r="A159" s="362">
        <v>32</v>
      </c>
      <c r="B159" s="270" t="s">
        <v>14655</v>
      </c>
      <c r="C159" s="271" t="s">
        <v>853</v>
      </c>
      <c r="D159" s="270" t="s">
        <v>14656</v>
      </c>
      <c r="E159" s="270" t="s">
        <v>14657</v>
      </c>
      <c r="F159" s="270" t="s">
        <v>7565</v>
      </c>
      <c r="G159" s="270" t="s">
        <v>876</v>
      </c>
      <c r="H159" s="305" t="s">
        <v>14658</v>
      </c>
      <c r="I159" s="270" t="s">
        <v>5484</v>
      </c>
      <c r="J159" s="715" t="str">
        <f>HYPERLINK("https://www.google.com/maps/search/Esta%C3%A7%C3%A3o%20de%20Figueira%20e%20Barros%20(Desativada)%20Figueira%20e%20Barros%2C%20Avis%20Portugal","📍 Estação de Figueira e Barros (Desativada)")</f>
        <v>📍 Estação de Figueira e Barros (Desativada)</v>
      </c>
    </row>
    <row r="160" spans="1:10" ht="110" customHeight="1" x14ac:dyDescent="0.35">
      <c r="A160" s="346">
        <v>33</v>
      </c>
      <c r="B160" s="267" t="s">
        <v>14659</v>
      </c>
      <c r="C160" s="268" t="s">
        <v>853</v>
      </c>
      <c r="D160" s="267" t="s">
        <v>14660</v>
      </c>
      <c r="E160" s="267" t="s">
        <v>14661</v>
      </c>
      <c r="F160" s="267" t="s">
        <v>14102</v>
      </c>
      <c r="G160" s="267" t="s">
        <v>876</v>
      </c>
      <c r="H160" s="304" t="s">
        <v>14662</v>
      </c>
      <c r="I160" s="267" t="s">
        <v>5484</v>
      </c>
      <c r="J160" s="715" t="str">
        <f>HYPERLINK("https://www.google.com/maps/search/Esta%C3%A7%C3%A3o%20de%20Torre%20de%20Coelheiros%20(Desativada)%20Torre%20de%20Coelheiros%2C%20%C3%89vora%20Portugal","📍 Estação de Torre de Coelheiros (Desativada")</f>
        <v>📍 Estação de Torre de Coelheiros (Desativada</v>
      </c>
    </row>
    <row r="161" spans="1:10" ht="22" customHeight="1" x14ac:dyDescent="0.45">
      <c r="A161" s="1477" t="s">
        <v>13657</v>
      </c>
      <c r="B161" s="1313"/>
      <c r="C161" s="1313"/>
      <c r="D161" s="1313"/>
      <c r="E161" s="1313"/>
      <c r="F161" s="1313"/>
      <c r="G161" s="1313"/>
      <c r="H161" s="1313"/>
      <c r="I161" s="1313"/>
      <c r="J161" s="676"/>
    </row>
    <row r="162" spans="1:10" ht="110" customHeight="1" x14ac:dyDescent="0.35">
      <c r="A162" s="348">
        <v>1</v>
      </c>
      <c r="B162" s="273" t="s">
        <v>14663</v>
      </c>
      <c r="C162" s="274" t="s">
        <v>767</v>
      </c>
      <c r="D162" s="273" t="s">
        <v>14664</v>
      </c>
      <c r="E162" s="273" t="s">
        <v>14665</v>
      </c>
      <c r="F162" s="273" t="s">
        <v>14049</v>
      </c>
      <c r="G162" s="273" t="s">
        <v>876</v>
      </c>
      <c r="H162" s="305" t="s">
        <v>14666</v>
      </c>
      <c r="I162" s="273" t="s">
        <v>14667</v>
      </c>
      <c r="J162" s="715" t="str">
        <f>HYPERLINK("https://www.google.com/maps/search/Esta%C3%A7%C3%A3o%20de%20Faro%20Largo%20da%20Esta%C3%A7%C3%A3o%2C%20Faro%20Portugal","📍 Estação de Faro")</f>
        <v>📍 Estação de Faro</v>
      </c>
    </row>
    <row r="163" spans="1:10" ht="110" customHeight="1" x14ac:dyDescent="0.35">
      <c r="A163" s="354">
        <v>2</v>
      </c>
      <c r="B163" s="277" t="s">
        <v>14668</v>
      </c>
      <c r="C163" s="278" t="s">
        <v>767</v>
      </c>
      <c r="D163" s="277" t="s">
        <v>14669</v>
      </c>
      <c r="E163" s="277" t="s">
        <v>14670</v>
      </c>
      <c r="F163" s="277" t="s">
        <v>14530</v>
      </c>
      <c r="G163" s="277" t="s">
        <v>876</v>
      </c>
      <c r="H163" s="304" t="s">
        <v>14671</v>
      </c>
      <c r="I163" s="277" t="s">
        <v>14672</v>
      </c>
      <c r="J163" s="715" t="str">
        <f>HYPERLINK("https://www.google.com/maps/search/Esta%C3%A7%C3%A3o%20de%20Lagos%20Estrada%20de%20S.%20Roque%2C%20Lagos%20Portugal","📍 Estação de Lagos")</f>
        <v>📍 Estação de Lagos</v>
      </c>
    </row>
    <row r="164" spans="1:10" ht="110" customHeight="1" x14ac:dyDescent="0.35">
      <c r="A164" s="348">
        <v>3</v>
      </c>
      <c r="B164" s="273" t="s">
        <v>14673</v>
      </c>
      <c r="C164" s="274" t="s">
        <v>767</v>
      </c>
      <c r="D164" s="273" t="s">
        <v>3584</v>
      </c>
      <c r="E164" s="273" t="s">
        <v>14674</v>
      </c>
      <c r="F164" s="273" t="s">
        <v>14675</v>
      </c>
      <c r="G164" s="273" t="s">
        <v>876</v>
      </c>
      <c r="H164" s="305" t="s">
        <v>14676</v>
      </c>
      <c r="I164" s="273" t="s">
        <v>14677</v>
      </c>
      <c r="J164" s="715" t="str">
        <f>HYPERLINK("https://www.google.com/maps/search/Esta%C3%A7%C3%A3o%20de%20Vila%20Real%20de%20Santo%20Ant%C3%B3nio%20Av.%20da%20Rep%C3%BAblica%2C%20VRSA%20Portugal","📍 Estação de Vila Real de Santo António")</f>
        <v>📍 Estação de Vila Real de Santo António</v>
      </c>
    </row>
    <row r="165" spans="1:10" ht="110" customHeight="1" x14ac:dyDescent="0.35">
      <c r="A165" s="354">
        <v>4</v>
      </c>
      <c r="B165" s="277" t="s">
        <v>14678</v>
      </c>
      <c r="C165" s="278" t="s">
        <v>767</v>
      </c>
      <c r="D165" s="277" t="s">
        <v>14679</v>
      </c>
      <c r="E165" s="277" t="s">
        <v>14680</v>
      </c>
      <c r="F165" s="277" t="s">
        <v>14031</v>
      </c>
      <c r="G165" s="277" t="s">
        <v>876</v>
      </c>
      <c r="H165" s="304" t="s">
        <v>14681</v>
      </c>
      <c r="I165" s="277" t="s">
        <v>5484</v>
      </c>
      <c r="J165" s="715" t="str">
        <f>HYPERLINK("https://www.google.com/maps/search/Esta%C3%A7%C3%A3o%20de%20Tavira%20Largo%20da%20Esta%C3%A7%C3%A3o%2C%20Tavira%20Portugal","📍 Estação de Tavira")</f>
        <v>📍 Estação de Tavira</v>
      </c>
    </row>
    <row r="166" spans="1:10" ht="110" customHeight="1" x14ac:dyDescent="0.35">
      <c r="A166" s="348">
        <v>5</v>
      </c>
      <c r="B166" s="273" t="s">
        <v>14682</v>
      </c>
      <c r="C166" s="274" t="s">
        <v>767</v>
      </c>
      <c r="D166" s="273" t="s">
        <v>14683</v>
      </c>
      <c r="E166" s="273" t="s">
        <v>14684</v>
      </c>
      <c r="F166" s="273" t="s">
        <v>14031</v>
      </c>
      <c r="G166" s="273" t="s">
        <v>876</v>
      </c>
      <c r="H166" s="305" t="s">
        <v>14685</v>
      </c>
      <c r="I166" s="273" t="s">
        <v>5484</v>
      </c>
      <c r="J166" s="715" t="str">
        <f>HYPERLINK("https://www.google.com/maps/search/Esta%C3%A7%C3%A3o%20de%20Olh%C3%A3o%20Av.%20da%20Rep%C3%BAblica%2C%20Olh%C3%A3o%20Portugal","📍 Estação de Olhão")</f>
        <v>📍 Estação de Olhão</v>
      </c>
    </row>
    <row r="167" spans="1:10" ht="110" customHeight="1" x14ac:dyDescent="0.35">
      <c r="A167" s="354">
        <v>6</v>
      </c>
      <c r="B167" s="277" t="s">
        <v>14686</v>
      </c>
      <c r="C167" s="278" t="s">
        <v>767</v>
      </c>
      <c r="D167" s="277" t="s">
        <v>14687</v>
      </c>
      <c r="E167" s="277" t="s">
        <v>14688</v>
      </c>
      <c r="F167" s="277" t="s">
        <v>14031</v>
      </c>
      <c r="G167" s="277" t="s">
        <v>876</v>
      </c>
      <c r="H167" s="304" t="s">
        <v>14689</v>
      </c>
      <c r="I167" s="277" t="s">
        <v>5484</v>
      </c>
      <c r="J167" s="715" t="str">
        <f>HYPERLINK("https://www.google.com/maps/search/Esta%C3%A7%C3%A3o%20de%20Silves%20Gare%20de%20Silves%20Portugal","📍 Estação de Silves")</f>
        <v>📍 Estação de Silves</v>
      </c>
    </row>
    <row r="168" spans="1:10" ht="110" customHeight="1" x14ac:dyDescent="0.35">
      <c r="A168" s="348">
        <v>7</v>
      </c>
      <c r="B168" s="273" t="s">
        <v>14690</v>
      </c>
      <c r="C168" s="274" t="s">
        <v>767</v>
      </c>
      <c r="D168" s="273" t="s">
        <v>14691</v>
      </c>
      <c r="E168" s="273" t="s">
        <v>14692</v>
      </c>
      <c r="F168" s="273" t="s">
        <v>14693</v>
      </c>
      <c r="G168" s="273" t="s">
        <v>876</v>
      </c>
      <c r="H168" s="305" t="s">
        <v>14694</v>
      </c>
      <c r="I168" s="273" t="s">
        <v>11976</v>
      </c>
      <c r="J168" s="715" t="str">
        <f>HYPERLINK("https://www.google.com/maps/search/Esta%C3%A7%C3%A3o%20de%20Portim%C3%A3o%20Largo%20da%20Esta%C3%A7%C3%A3o%2C%20Portim%C3%A3o%20Portugal","📍 Estação de Portimão")</f>
        <v>📍 Estação de Portimão</v>
      </c>
    </row>
    <row r="169" spans="1:10" ht="110" customHeight="1" x14ac:dyDescent="0.35">
      <c r="A169" s="354">
        <v>8</v>
      </c>
      <c r="B169" s="277" t="s">
        <v>14695</v>
      </c>
      <c r="C169" s="278" t="s">
        <v>767</v>
      </c>
      <c r="D169" s="277" t="s">
        <v>14696</v>
      </c>
      <c r="E169" s="277" t="s">
        <v>14697</v>
      </c>
      <c r="F169" s="277" t="s">
        <v>937</v>
      </c>
      <c r="G169" s="277" t="s">
        <v>876</v>
      </c>
      <c r="H169" s="304" t="s">
        <v>14698</v>
      </c>
      <c r="I169" s="277" t="s">
        <v>5484</v>
      </c>
      <c r="J169" s="715" t="str">
        <f>HYPERLINK("https://www.google.com/maps/search/Esta%C3%A7%C3%A3o%20de%20Tunes%20Tunes%2C%20Silves%20Portugal","📍 Estação de Tunes")</f>
        <v>📍 Estação de Tunes</v>
      </c>
    </row>
    <row r="170" spans="1:10" ht="110" customHeight="1" x14ac:dyDescent="0.35">
      <c r="A170" s="348">
        <v>9</v>
      </c>
      <c r="B170" s="273" t="s">
        <v>14699</v>
      </c>
      <c r="C170" s="274" t="s">
        <v>767</v>
      </c>
      <c r="D170" s="273" t="s">
        <v>14700</v>
      </c>
      <c r="E170" s="273" t="s">
        <v>14701</v>
      </c>
      <c r="F170" s="273" t="s">
        <v>14675</v>
      </c>
      <c r="G170" s="273" t="s">
        <v>876</v>
      </c>
      <c r="H170" s="305" t="s">
        <v>14702</v>
      </c>
      <c r="I170" s="273" t="s">
        <v>14703</v>
      </c>
      <c r="J170" s="715" t="str">
        <f>HYPERLINK("https://www.google.com/maps/search/Esta%C3%A7%C3%A3o%20de%20Albufeira-Ferreiras%20Ferreiras%2C%20Albufeira%20Portugal","📍 Estação de Albufeira-Ferreiras")</f>
        <v>📍 Estação de Albufeira-Ferreiras</v>
      </c>
    </row>
    <row r="171" spans="1:10" ht="110" customHeight="1" x14ac:dyDescent="0.35">
      <c r="A171" s="354">
        <v>10</v>
      </c>
      <c r="B171" s="277" t="s">
        <v>14704</v>
      </c>
      <c r="C171" s="278" t="s">
        <v>767</v>
      </c>
      <c r="D171" s="277" t="s">
        <v>14705</v>
      </c>
      <c r="E171" s="277" t="s">
        <v>14706</v>
      </c>
      <c r="F171" s="277" t="s">
        <v>14014</v>
      </c>
      <c r="G171" s="277" t="s">
        <v>5484</v>
      </c>
      <c r="H171" s="304" t="s">
        <v>14707</v>
      </c>
      <c r="I171" s="277" t="s">
        <v>5484</v>
      </c>
      <c r="J171" s="715" t="str">
        <f>HYPERLINK("https://www.google.com/maps/search/Ponte%20Met%C3%A1lica%20de%20Portim%C3%A3o%20Rio%20Arade%2C%20Portim%C3%A3o%20Portugal","📍 Ponte Metálica de Portimão")</f>
        <v>📍 Ponte Metálica de Portimão</v>
      </c>
    </row>
    <row r="172" spans="1:10" ht="110" customHeight="1" x14ac:dyDescent="0.35">
      <c r="A172" s="348">
        <v>11</v>
      </c>
      <c r="B172" s="273" t="s">
        <v>14708</v>
      </c>
      <c r="C172" s="274" t="s">
        <v>767</v>
      </c>
      <c r="D172" s="273" t="s">
        <v>14709</v>
      </c>
      <c r="E172" s="273" t="s">
        <v>14710</v>
      </c>
      <c r="F172" s="273" t="s">
        <v>14031</v>
      </c>
      <c r="G172" s="273" t="s">
        <v>876</v>
      </c>
      <c r="H172" s="305" t="s">
        <v>14711</v>
      </c>
      <c r="I172" s="273" t="s">
        <v>5484</v>
      </c>
      <c r="J172" s="715" t="str">
        <f>HYPERLINK("https://www.google.com/maps/search/Esta%C3%A7%C3%A3o%20de%20Loul%C3%A9%20Esta%C3%A7%C3%A3o%20Loul%C3%A9-Quarteira%20Portugal","📍 Estação de Loulé")</f>
        <v>📍 Estação de Loulé</v>
      </c>
    </row>
    <row r="173" spans="1:10" ht="110" customHeight="1" x14ac:dyDescent="0.35">
      <c r="A173" s="354">
        <v>12</v>
      </c>
      <c r="B173" s="277" t="s">
        <v>14712</v>
      </c>
      <c r="C173" s="278" t="s">
        <v>767</v>
      </c>
      <c r="D173" s="277" t="s">
        <v>14713</v>
      </c>
      <c r="E173" s="277" t="s">
        <v>14714</v>
      </c>
      <c r="F173" s="277" t="s">
        <v>14031</v>
      </c>
      <c r="G173" s="277" t="s">
        <v>876</v>
      </c>
      <c r="H173" s="304" t="s">
        <v>14715</v>
      </c>
      <c r="I173" s="277" t="s">
        <v>5484</v>
      </c>
      <c r="J173" s="715" t="str">
        <f>HYPERLINK("https://www.google.com/maps/search/Apeadeiro%20de%20Fuseta-A%20Fuseta%2C%20Olh%C3%A3o%20Portugal","📍 Apeadeiro de Fuseta-A")</f>
        <v>📍 Apeadeiro de Fuseta-A</v>
      </c>
    </row>
    <row r="174" spans="1:10" ht="110" customHeight="1" x14ac:dyDescent="0.35">
      <c r="A174" s="348">
        <v>13</v>
      </c>
      <c r="B174" s="273" t="s">
        <v>14716</v>
      </c>
      <c r="C174" s="274" t="s">
        <v>767</v>
      </c>
      <c r="D174" s="273" t="s">
        <v>5531</v>
      </c>
      <c r="E174" s="273" t="s">
        <v>14717</v>
      </c>
      <c r="F174" s="273" t="s">
        <v>14031</v>
      </c>
      <c r="G174" s="273" t="s">
        <v>876</v>
      </c>
      <c r="H174" s="305" t="s">
        <v>14718</v>
      </c>
      <c r="I174" s="273" t="s">
        <v>5484</v>
      </c>
      <c r="J174" s="715" t="str">
        <f>HYPERLINK("https://www.google.com/maps/search/Esta%C3%A7%C3%A3o%20de%20Castro%20Marim%20Sapal%20de%20Castro%20Marim%20Portugal","📍 Estação de Castro Marim")</f>
        <v>📍 Estação de Castro Marim</v>
      </c>
    </row>
    <row r="175" spans="1:10" ht="110" customHeight="1" x14ac:dyDescent="0.35">
      <c r="A175" s="354">
        <v>14</v>
      </c>
      <c r="B175" s="277" t="s">
        <v>14719</v>
      </c>
      <c r="C175" s="278" t="s">
        <v>767</v>
      </c>
      <c r="D175" s="277" t="s">
        <v>12903</v>
      </c>
      <c r="E175" s="277" t="s">
        <v>14720</v>
      </c>
      <c r="F175" s="277" t="s">
        <v>14031</v>
      </c>
      <c r="G175" s="277" t="s">
        <v>876</v>
      </c>
      <c r="H175" s="304" t="s">
        <v>14721</v>
      </c>
      <c r="I175" s="277" t="s">
        <v>5484</v>
      </c>
      <c r="J175" s="715" t="str">
        <f>HYPERLINK("https://www.google.com/maps/search/Esta%C3%A7%C3%A3o%20de%20Cacela%20Vila%20Nova%20de%20Cacela%20Portugal","📍 Estação de Cacela")</f>
        <v>📍 Estação de Cacela</v>
      </c>
    </row>
    <row r="176" spans="1:10" ht="110" customHeight="1" x14ac:dyDescent="0.35">
      <c r="A176" s="348">
        <v>15</v>
      </c>
      <c r="B176" s="273" t="s">
        <v>14722</v>
      </c>
      <c r="C176" s="274" t="s">
        <v>767</v>
      </c>
      <c r="D176" s="273" t="s">
        <v>14723</v>
      </c>
      <c r="E176" s="273" t="s">
        <v>14724</v>
      </c>
      <c r="F176" s="273" t="s">
        <v>14031</v>
      </c>
      <c r="G176" s="273" t="s">
        <v>876</v>
      </c>
      <c r="H176" s="305" t="s">
        <v>14725</v>
      </c>
      <c r="I176" s="273" t="s">
        <v>5484</v>
      </c>
      <c r="J176" s="715" t="str">
        <f>HYPERLINK("https://www.google.com/maps/search/Esta%C3%A7%C3%A3o%20de%20Concei%C3%A7%C3%A3o%20(Tavira)%20Concei%C3%A7%C3%A3o%20de%20Tavira%20Portugal","📍 Estação de Conceição (Tavira)")</f>
        <v>📍 Estação de Conceição (Tavira)</v>
      </c>
    </row>
    <row r="177" spans="1:10" ht="110" customHeight="1" x14ac:dyDescent="0.35">
      <c r="A177" s="354">
        <v>16</v>
      </c>
      <c r="B177" s="277" t="s">
        <v>14726</v>
      </c>
      <c r="C177" s="278" t="s">
        <v>767</v>
      </c>
      <c r="D177" s="277" t="s">
        <v>14727</v>
      </c>
      <c r="E177" s="277" t="s">
        <v>14728</v>
      </c>
      <c r="F177" s="277" t="s">
        <v>14031</v>
      </c>
      <c r="G177" s="277" t="s">
        <v>876</v>
      </c>
      <c r="H177" s="304" t="s">
        <v>14729</v>
      </c>
      <c r="I177" s="277" t="s">
        <v>5484</v>
      </c>
      <c r="J177" s="715" t="str">
        <f>HYPERLINK("https://www.google.com/maps/search/Apeadeiro%20de%20Luz%20de%20Tavira%20Luz%20de%20Tavira%20Portugal","📍 Apeadeiro de Luz de Tavira")</f>
        <v>📍 Apeadeiro de Luz de Tavira</v>
      </c>
    </row>
    <row r="178" spans="1:10" ht="110" customHeight="1" x14ac:dyDescent="0.35">
      <c r="A178" s="348">
        <v>17</v>
      </c>
      <c r="B178" s="273" t="s">
        <v>14730</v>
      </c>
      <c r="C178" s="274" t="s">
        <v>767</v>
      </c>
      <c r="D178" s="273" t="s">
        <v>6391</v>
      </c>
      <c r="E178" s="273" t="s">
        <v>14731</v>
      </c>
      <c r="F178" s="273" t="s">
        <v>14031</v>
      </c>
      <c r="G178" s="273" t="s">
        <v>876</v>
      </c>
      <c r="H178" s="305" t="s">
        <v>14732</v>
      </c>
      <c r="I178" s="273" t="s">
        <v>5484</v>
      </c>
      <c r="J178" s="715" t="str">
        <f>HYPERLINK("https://www.google.com/maps/search/Esta%C3%A7%C3%A3o%20de%20Est%C3%B4mbar-Lagoa%20Est%C3%B4mbar%2C%20Lagoa%20Portugal","📍 Estação de Estômbar-Lagoa")</f>
        <v>📍 Estação de Estômbar-Lagoa</v>
      </c>
    </row>
    <row r="179" spans="1:10" ht="110" customHeight="1" x14ac:dyDescent="0.35">
      <c r="A179" s="354">
        <v>18</v>
      </c>
      <c r="B179" s="277" t="s">
        <v>14733</v>
      </c>
      <c r="C179" s="278" t="s">
        <v>767</v>
      </c>
      <c r="D179" s="277" t="s">
        <v>14734</v>
      </c>
      <c r="E179" s="277" t="s">
        <v>14735</v>
      </c>
      <c r="F179" s="277" t="s">
        <v>14031</v>
      </c>
      <c r="G179" s="277" t="s">
        <v>876</v>
      </c>
      <c r="H179" s="304" t="s">
        <v>14736</v>
      </c>
      <c r="I179" s="277" t="s">
        <v>5484</v>
      </c>
      <c r="J179" s="715" t="str">
        <f>HYPERLINK("https://www.google.com/maps/search/Esta%C3%A7%C3%A3o%20de%20Messines-Alte%20S.%20Bartolomeu%20de%20Messines%20Portugal","📍 Estação de Messines-Alte")</f>
        <v>📍 Estação de Messines-Alte</v>
      </c>
    </row>
    <row r="180" spans="1:10" ht="110" customHeight="1" x14ac:dyDescent="0.35">
      <c r="A180" s="348">
        <v>19</v>
      </c>
      <c r="B180" s="273" t="s">
        <v>14737</v>
      </c>
      <c r="C180" s="274" t="s">
        <v>767</v>
      </c>
      <c r="D180" s="273" t="s">
        <v>14738</v>
      </c>
      <c r="E180" s="273" t="s">
        <v>14739</v>
      </c>
      <c r="F180" s="273" t="s">
        <v>14031</v>
      </c>
      <c r="G180" s="273" t="s">
        <v>876</v>
      </c>
      <c r="H180" s="305" t="s">
        <v>14740</v>
      </c>
      <c r="I180" s="273" t="s">
        <v>5484</v>
      </c>
      <c r="J180" s="715" t="str">
        <f>HYPERLINK("https://www.google.com/maps/search/Esta%C3%A7%C3%A3o%20de%20Boliqueime%20Boliqueime%20Gare%20Portugal","📍 Estação de Boliqueime")</f>
        <v>📍 Estação de Boliqueime</v>
      </c>
    </row>
    <row r="181" spans="1:10" ht="110" customHeight="1" x14ac:dyDescent="0.35">
      <c r="A181" s="354">
        <v>20</v>
      </c>
      <c r="B181" s="277" t="s">
        <v>14741</v>
      </c>
      <c r="C181" s="278" t="s">
        <v>767</v>
      </c>
      <c r="D181" s="277" t="s">
        <v>6428</v>
      </c>
      <c r="E181" s="277" t="s">
        <v>14742</v>
      </c>
      <c r="F181" s="277" t="s">
        <v>14031</v>
      </c>
      <c r="G181" s="277" t="s">
        <v>876</v>
      </c>
      <c r="H181" s="304" t="s">
        <v>14743</v>
      </c>
      <c r="I181" s="277" t="s">
        <v>5484</v>
      </c>
      <c r="J181" s="715" t="str">
        <f>HYPERLINK("https://www.google.com/maps/search/Apeadeiro%20de%20Meia%20Praia%20(Lagos)%20Meia%20Praia%2C%20Lagos%20Portugal","📍 Apeadeiro de Meia Praia (Lagos)")</f>
        <v>📍 Apeadeiro de Meia Praia (Lagos)</v>
      </c>
    </row>
    <row r="182" spans="1:10" ht="110" customHeight="1" x14ac:dyDescent="0.35">
      <c r="A182" s="348">
        <v>21</v>
      </c>
      <c r="B182" s="273" t="s">
        <v>14744</v>
      </c>
      <c r="C182" s="274" t="s">
        <v>767</v>
      </c>
      <c r="D182" s="273" t="s">
        <v>14745</v>
      </c>
      <c r="E182" s="273" t="s">
        <v>14746</v>
      </c>
      <c r="F182" s="273" t="s">
        <v>7565</v>
      </c>
      <c r="G182" s="273" t="s">
        <v>876</v>
      </c>
      <c r="H182" s="305" t="s">
        <v>14747</v>
      </c>
      <c r="I182" s="273" t="s">
        <v>5484</v>
      </c>
      <c r="J182" s="715" t="str">
        <f>HYPERLINK("https://www.google.com/maps/search/Esta%C3%A7%C3%A3o%20de%20Messines%20(Portela%2C%20Desativada)%20Portela%2C%20Messines%20Portugal","📍 Estação de Messines (Portela, Desativada)")</f>
        <v>📍 Estação de Messines (Portela, Desativada)</v>
      </c>
    </row>
    <row r="183" spans="1:10" ht="110" customHeight="1" x14ac:dyDescent="0.35">
      <c r="A183" s="354">
        <v>22</v>
      </c>
      <c r="B183" s="277" t="s">
        <v>14748</v>
      </c>
      <c r="C183" s="278" t="s">
        <v>767</v>
      </c>
      <c r="D183" s="277" t="s">
        <v>14749</v>
      </c>
      <c r="E183" s="277" t="s">
        <v>14750</v>
      </c>
      <c r="F183" s="277" t="s">
        <v>14642</v>
      </c>
      <c r="G183" s="277" t="s">
        <v>876</v>
      </c>
      <c r="H183" s="304" t="s">
        <v>14751</v>
      </c>
      <c r="I183" s="277" t="s">
        <v>5484</v>
      </c>
      <c r="J183" s="715" t="str">
        <f>HYPERLINK("https://www.google.com/maps/search/Cais%20de%20Transbordo%20de%20Mercadorias%20de%20Olh%C3%A3o%20Porto%20de%20Pesca%20de%20Olh%C3%A3o%20Portugal","📍 Cais de Transbordo de Mercadorias de Olhão")</f>
        <v>📍 Cais de Transbordo de Mercadorias de Olhão</v>
      </c>
    </row>
    <row r="184" spans="1:10" ht="110" customHeight="1" x14ac:dyDescent="0.35">
      <c r="A184" s="348">
        <v>23</v>
      </c>
      <c r="B184" s="273" t="s">
        <v>14752</v>
      </c>
      <c r="C184" s="274" t="s">
        <v>767</v>
      </c>
      <c r="D184" s="273" t="s">
        <v>14753</v>
      </c>
      <c r="E184" s="273" t="s">
        <v>14754</v>
      </c>
      <c r="F184" s="273" t="s">
        <v>14031</v>
      </c>
      <c r="G184" s="273" t="s">
        <v>876</v>
      </c>
      <c r="H184" s="305" t="s">
        <v>14755</v>
      </c>
      <c r="I184" s="273" t="s">
        <v>5484</v>
      </c>
      <c r="J184" s="715" t="str">
        <f>HYPERLINK("https://www.google.com/maps/search/Esta%C3%A7%C3%A3o%20de%20Alcantarilha-Arma%C3%A7%C3%A3o%20de%20P%C3%AAra%20Alcantarilha%20Gare%20Portugal","📍 Estação de Alcantarilha-Armação de Pêra")</f>
        <v>📍 Estação de Alcantarilha-Armação de Pêra</v>
      </c>
    </row>
    <row r="185" spans="1:10" ht="110" customHeight="1" x14ac:dyDescent="0.35">
      <c r="A185" s="354">
        <v>24</v>
      </c>
      <c r="B185" s="277" t="s">
        <v>14756</v>
      </c>
      <c r="C185" s="278" t="s">
        <v>767</v>
      </c>
      <c r="D185" s="277" t="s">
        <v>14757</v>
      </c>
      <c r="E185" s="277" t="s">
        <v>14758</v>
      </c>
      <c r="F185" s="277" t="s">
        <v>14014</v>
      </c>
      <c r="G185" s="277" t="s">
        <v>5484</v>
      </c>
      <c r="H185" s="304" t="s">
        <v>14759</v>
      </c>
      <c r="I185" s="277" t="s">
        <v>5484</v>
      </c>
      <c r="J185" s="715" t="str">
        <f>HYPERLINK("https://www.google.com/maps/search/Ponte%20Ferrovi%C3%A1ria%20de%20Santa%20Maria%20(Tavira)%20Rio%20Gil%C3%A3o%2C%20Tavira%20Portugal","📍 Ponte Ferroviária de Santa Maria (Tavira)")</f>
        <v>📍 Ponte Ferroviária de Santa Maria (Tavira)</v>
      </c>
    </row>
    <row r="186" spans="1:10" ht="110" customHeight="1" x14ac:dyDescent="0.35">
      <c r="A186" s="348">
        <v>25</v>
      </c>
      <c r="B186" s="273" t="s">
        <v>14760</v>
      </c>
      <c r="C186" s="274" t="s">
        <v>767</v>
      </c>
      <c r="D186" s="273" t="s">
        <v>14761</v>
      </c>
      <c r="E186" s="273" t="s">
        <v>14762</v>
      </c>
      <c r="F186" s="273" t="s">
        <v>14031</v>
      </c>
      <c r="G186" s="273" t="s">
        <v>876</v>
      </c>
      <c r="H186" s="305" t="s">
        <v>14763</v>
      </c>
      <c r="I186" s="273" t="s">
        <v>5484</v>
      </c>
      <c r="J186" s="715" t="str">
        <f>HYPERLINK("https://www.google.com/maps/search/Apeadeiro%20de%20Bom%20Jo%C3%A3o%20(Faro)%20Bom%20Jo%C3%A3o%2C%20Faro%20Portugal","📍 Apeadeiro de Bom João (Faro)")</f>
        <v>📍 Apeadeiro de Bom João (Faro)</v>
      </c>
    </row>
    <row r="187" spans="1:10" ht="110" customHeight="1" x14ac:dyDescent="0.35">
      <c r="A187" s="354">
        <v>26</v>
      </c>
      <c r="B187" s="277" t="s">
        <v>14764</v>
      </c>
      <c r="C187" s="278" t="s">
        <v>767</v>
      </c>
      <c r="D187" s="277" t="s">
        <v>14765</v>
      </c>
      <c r="E187" s="277" t="s">
        <v>14766</v>
      </c>
      <c r="F187" s="277" t="s">
        <v>14031</v>
      </c>
      <c r="G187" s="277" t="s">
        <v>876</v>
      </c>
      <c r="H187" s="304" t="s">
        <v>14767</v>
      </c>
      <c r="I187" s="277" t="s">
        <v>5484</v>
      </c>
      <c r="J187" s="715" t="str">
        <f>HYPERLINK("https://www.google.com/maps/search/Esta%C3%A7%C3%A3o%20de%20Algoz%20Algoz%2C%20Silves%20Portugal","📍 Estação de Algoz")</f>
        <v>📍 Estação de Algoz</v>
      </c>
    </row>
    <row r="188" spans="1:10" ht="110" customHeight="1" x14ac:dyDescent="0.35">
      <c r="A188" s="348">
        <v>27</v>
      </c>
      <c r="B188" s="273" t="s">
        <v>14768</v>
      </c>
      <c r="C188" s="274" t="s">
        <v>767</v>
      </c>
      <c r="D188" s="273" t="s">
        <v>14769</v>
      </c>
      <c r="E188" s="273" t="s">
        <v>14770</v>
      </c>
      <c r="F188" s="273" t="s">
        <v>14031</v>
      </c>
      <c r="G188" s="273" t="s">
        <v>876</v>
      </c>
      <c r="H188" s="305" t="s">
        <v>14771</v>
      </c>
      <c r="I188" s="273" t="s">
        <v>5484</v>
      </c>
      <c r="J188" s="715" t="str">
        <f>HYPERLINK("https://www.google.com/maps/search/Esta%C3%A7%C3%A3o%20de%20Almansil%20Almansil%20Portugal","📍 Estação de Almansil")</f>
        <v>📍 Estação de Almansil</v>
      </c>
    </row>
    <row r="189" spans="1:10" ht="110" customHeight="1" x14ac:dyDescent="0.35">
      <c r="A189" s="354">
        <v>28</v>
      </c>
      <c r="B189" s="277" t="s">
        <v>14772</v>
      </c>
      <c r="C189" s="278" t="s">
        <v>767</v>
      </c>
      <c r="D189" s="277" t="s">
        <v>14773</v>
      </c>
      <c r="E189" s="277" t="s">
        <v>14774</v>
      </c>
      <c r="F189" s="277" t="s">
        <v>14031</v>
      </c>
      <c r="G189" s="277" t="s">
        <v>876</v>
      </c>
      <c r="H189" s="304" t="s">
        <v>14775</v>
      </c>
      <c r="I189" s="277" t="s">
        <v>5484</v>
      </c>
      <c r="J189" s="715" t="str">
        <f>HYPERLINK("https://www.google.com/maps/search/Apeadeiro%20de%20Marim%20(Olh%C3%A3o)%20Quinta%20de%20Marim%2C%20Olh%C3%A3o%20Portugal","📍 Apeadeiro de Marim (Olhão)")</f>
        <v>📍 Apeadeiro de Marim (Olhão)</v>
      </c>
    </row>
    <row r="190" spans="1:10" ht="110" customHeight="1" x14ac:dyDescent="0.35">
      <c r="A190" s="348">
        <v>29</v>
      </c>
      <c r="B190" s="273" t="s">
        <v>14776</v>
      </c>
      <c r="C190" s="274" t="s">
        <v>767</v>
      </c>
      <c r="D190" s="273" t="s">
        <v>14777</v>
      </c>
      <c r="E190" s="273" t="s">
        <v>14778</v>
      </c>
      <c r="F190" s="273" t="s">
        <v>14031</v>
      </c>
      <c r="G190" s="273" t="s">
        <v>876</v>
      </c>
      <c r="H190" s="305" t="s">
        <v>14779</v>
      </c>
      <c r="I190" s="273" t="s">
        <v>5484</v>
      </c>
      <c r="J190" s="715" t="str">
        <f>HYPERLINK("https://www.google.com/maps/search/Apeadeiro%20de%20Livramento%20(Tavira)%20Livramento%2C%20Tavira%20Portugal","📍 Apeadeiro de Livramento (Tavira)")</f>
        <v>📍 Apeadeiro de Livramento (Tavira)</v>
      </c>
    </row>
    <row r="191" spans="1:10" ht="110" customHeight="1" x14ac:dyDescent="0.35">
      <c r="A191" s="354">
        <v>30</v>
      </c>
      <c r="B191" s="277" t="s">
        <v>14780</v>
      </c>
      <c r="C191" s="278" t="s">
        <v>767</v>
      </c>
      <c r="D191" s="277" t="s">
        <v>14781</v>
      </c>
      <c r="E191" s="277" t="s">
        <v>14782</v>
      </c>
      <c r="F191" s="277" t="s">
        <v>14031</v>
      </c>
      <c r="G191" s="277" t="s">
        <v>876</v>
      </c>
      <c r="H191" s="304" t="s">
        <v>14783</v>
      </c>
      <c r="I191" s="277" t="s">
        <v>5484</v>
      </c>
      <c r="J191" s="715" t="str">
        <f>HYPERLINK("https://www.google.com/maps/search/Esta%C3%A7%C3%A3o%20de%20Monte%20Gordo%20Monte%20Gordo%20Portugal","📍 Estação de Monte Gordo")</f>
        <v>📍 Estação de Monte Gordo</v>
      </c>
    </row>
    <row r="192" spans="1:10" ht="110" customHeight="1" x14ac:dyDescent="0.35">
      <c r="A192" s="348">
        <v>31</v>
      </c>
      <c r="B192" s="273" t="s">
        <v>14784</v>
      </c>
      <c r="C192" s="274" t="s">
        <v>767</v>
      </c>
      <c r="D192" s="273" t="s">
        <v>14785</v>
      </c>
      <c r="E192" s="273" t="s">
        <v>14786</v>
      </c>
      <c r="F192" s="273" t="s">
        <v>14031</v>
      </c>
      <c r="G192" s="273" t="s">
        <v>876</v>
      </c>
      <c r="H192" s="305" t="s">
        <v>14787</v>
      </c>
      <c r="I192" s="273" t="s">
        <v>5484</v>
      </c>
      <c r="J192" s="715" t="str">
        <f>HYPERLINK("https://www.google.com/maps/search/Esta%C3%A7%C3%A3o%20de%20Mexilhoeira%20Grande%20Mexilhoeira%20Grande%20Portugal","📍 Estação de Mexilhoeira Grande")</f>
        <v>📍 Estação de Mexilhoeira Grande</v>
      </c>
    </row>
    <row r="193" spans="1:10" ht="110" customHeight="1" x14ac:dyDescent="0.35">
      <c r="A193" s="354">
        <v>32</v>
      </c>
      <c r="B193" s="277" t="s">
        <v>14788</v>
      </c>
      <c r="C193" s="278" t="s">
        <v>767</v>
      </c>
      <c r="D193" s="277" t="s">
        <v>14789</v>
      </c>
      <c r="E193" s="277" t="s">
        <v>14790</v>
      </c>
      <c r="F193" s="277" t="s">
        <v>14031</v>
      </c>
      <c r="G193" s="277" t="s">
        <v>876</v>
      </c>
      <c r="H193" s="304" t="s">
        <v>14791</v>
      </c>
      <c r="I193" s="277" t="s">
        <v>5484</v>
      </c>
      <c r="J193" s="715" t="str">
        <f>HYPERLINK("https://www.google.com/maps/search/Esta%C3%A7%C3%A3o%20de%20Ferragudo%20(Parchal)%20Parchal%2C%20Lagoa%20Portugal","📍 Estação de Ferragudo (Parchal)")</f>
        <v>📍 Estação de Ferragudo (Parchal)</v>
      </c>
    </row>
    <row r="194" spans="1:10" ht="110" customHeight="1" x14ac:dyDescent="0.35">
      <c r="A194" s="348">
        <v>33</v>
      </c>
      <c r="B194" s="273" t="s">
        <v>14792</v>
      </c>
      <c r="C194" s="274" t="s">
        <v>767</v>
      </c>
      <c r="D194" s="273" t="s">
        <v>14793</v>
      </c>
      <c r="E194" s="273" t="s">
        <v>14794</v>
      </c>
      <c r="F194" s="273" t="s">
        <v>14795</v>
      </c>
      <c r="G194" s="273" t="s">
        <v>5484</v>
      </c>
      <c r="H194" s="305" t="s">
        <v>14796</v>
      </c>
      <c r="I194" s="273" t="s">
        <v>5484</v>
      </c>
      <c r="J194" s="715" t="str">
        <f>HYPERLINK("https://www.google.com/maps/search/Oficinas%20de%20Material%20Circulante%20(Faro)%20Terminal%20de%20Faro%20Portugal","📍 Oficinas de Material Circulante (Faro)")</f>
        <v>📍 Oficinas de Material Circulante (Faro)</v>
      </c>
    </row>
    <row r="195" spans="1:10" ht="110" customHeight="1" x14ac:dyDescent="0.35">
      <c r="A195" s="354">
        <v>34</v>
      </c>
      <c r="B195" s="277" t="s">
        <v>14797</v>
      </c>
      <c r="C195" s="278" t="s">
        <v>767</v>
      </c>
      <c r="D195" s="277" t="s">
        <v>14798</v>
      </c>
      <c r="E195" s="277" t="s">
        <v>14799</v>
      </c>
      <c r="F195" s="277" t="s">
        <v>7565</v>
      </c>
      <c r="G195" s="277" t="s">
        <v>876</v>
      </c>
      <c r="H195" s="304" t="s">
        <v>14800</v>
      </c>
      <c r="I195" s="277" t="s">
        <v>5484</v>
      </c>
      <c r="J195" s="715" t="str">
        <f>HYPERLINK("https://www.google.com/maps/search/Esta%C3%A7%C3%A3o%20de%20Guia%20(Desativada)%20Vale%20de%20Parra%2C%20Guia%20Portugal","📍 Estação de Guia (Desativada)")</f>
        <v>📍 Estação de Guia (Desativada)</v>
      </c>
    </row>
    <row r="196" spans="1:10" ht="110" customHeight="1" x14ac:dyDescent="0.35">
      <c r="A196" s="348">
        <v>35</v>
      </c>
      <c r="B196" s="273" t="s">
        <v>14801</v>
      </c>
      <c r="C196" s="274" t="s">
        <v>767</v>
      </c>
      <c r="D196" s="273" t="s">
        <v>10453</v>
      </c>
      <c r="E196" s="273" t="s">
        <v>14802</v>
      </c>
      <c r="F196" s="273" t="s">
        <v>14642</v>
      </c>
      <c r="G196" s="273" t="s">
        <v>5484</v>
      </c>
      <c r="H196" s="305" t="s">
        <v>14803</v>
      </c>
      <c r="I196" s="273" t="s">
        <v>5484</v>
      </c>
      <c r="J196" s="715" t="str">
        <f>HYPERLINK("https://www.google.com/maps/search/Ponte%20Ferrovi%C3%A1ria%20de%20Tavira%20%E2%80%94%20Gil%C3%A3o%20Poente%20Salinas%20de%20Tavira%20Portugal","📍 Ponte Ferroviária de Tavira — Gilão Poente")</f>
        <v>📍 Ponte Ferroviária de Tavira — Gilão Poente</v>
      </c>
    </row>
    <row r="197" spans="1:10" ht="110" customHeight="1" x14ac:dyDescent="0.35">
      <c r="A197" s="354">
        <v>36</v>
      </c>
      <c r="B197" s="277" t="s">
        <v>14804</v>
      </c>
      <c r="C197" s="278" t="s">
        <v>767</v>
      </c>
      <c r="D197" s="277" t="s">
        <v>14805</v>
      </c>
      <c r="E197" s="277" t="s">
        <v>14806</v>
      </c>
      <c r="F197" s="277" t="s">
        <v>7565</v>
      </c>
      <c r="G197" s="277" t="s">
        <v>876</v>
      </c>
      <c r="H197" s="304" t="s">
        <v>14807</v>
      </c>
      <c r="I197" s="277" t="s">
        <v>5484</v>
      </c>
      <c r="J197" s="715" t="str">
        <f>HYPERLINK("https://www.google.com/maps/search/Apeadeiro%20de%20Pat%C3%A3%20(Desativado)%20Pat%C3%A3%20de%20Baixo%20Portugal","📍 Apeadeiro de Patã (Desativado)")</f>
        <v>📍 Apeadeiro de Patã (Desativado)</v>
      </c>
    </row>
    <row r="198" spans="1:10" ht="110" customHeight="1" x14ac:dyDescent="0.35">
      <c r="A198" s="348">
        <v>37</v>
      </c>
      <c r="B198" s="273" t="s">
        <v>14808</v>
      </c>
      <c r="C198" s="274" t="s">
        <v>767</v>
      </c>
      <c r="D198" s="273" t="s">
        <v>14809</v>
      </c>
      <c r="E198" s="273" t="s">
        <v>14810</v>
      </c>
      <c r="F198" s="273" t="s">
        <v>14031</v>
      </c>
      <c r="G198" s="273" t="s">
        <v>876</v>
      </c>
      <c r="H198" s="305" t="s">
        <v>14811</v>
      </c>
      <c r="I198" s="273" t="s">
        <v>5484</v>
      </c>
      <c r="J198" s="715" t="str">
        <f>HYPERLINK("https://www.google.com/maps/search/Apeadeiro%20de%20Odiaxere%20Odiaxere%2C%20Lagos%20Portugal","📍 Apeadeiro de Odiaxere")</f>
        <v>📍 Apeadeiro de Odiaxere</v>
      </c>
    </row>
    <row r="199" spans="1:10" ht="110" customHeight="1" x14ac:dyDescent="0.35">
      <c r="A199" s="354">
        <v>38</v>
      </c>
      <c r="B199" s="277" t="s">
        <v>14812</v>
      </c>
      <c r="C199" s="278" t="s">
        <v>767</v>
      </c>
      <c r="D199" s="277" t="s">
        <v>14813</v>
      </c>
      <c r="E199" s="277" t="s">
        <v>14814</v>
      </c>
      <c r="F199" s="277" t="s">
        <v>14350</v>
      </c>
      <c r="G199" s="277" t="s">
        <v>5484</v>
      </c>
      <c r="H199" s="304" t="s">
        <v>14815</v>
      </c>
      <c r="I199" s="277" t="s">
        <v>5484</v>
      </c>
      <c r="J199" s="715" t="str">
        <f>HYPERLINK("https://www.google.com/maps/search/Esta%C3%A7%C3%A3o%20de%20Boliqueime%20(Mercadorias)%20Zona%20Industrial%20Boliqueime%20Portugal","📍 Estação de Boliqueime (Mercadorias)")</f>
        <v>📍 Estação de Boliqueime (Mercadorias)</v>
      </c>
    </row>
    <row r="200" spans="1:10" ht="110" customHeight="1" x14ac:dyDescent="0.35">
      <c r="A200" s="348">
        <v>39</v>
      </c>
      <c r="B200" s="273" t="s">
        <v>14816</v>
      </c>
      <c r="C200" s="274" t="s">
        <v>767</v>
      </c>
      <c r="D200" s="273" t="s">
        <v>12903</v>
      </c>
      <c r="E200" s="273" t="s">
        <v>14817</v>
      </c>
      <c r="F200" s="273" t="s">
        <v>7565</v>
      </c>
      <c r="G200" s="273" t="s">
        <v>876</v>
      </c>
      <c r="H200" s="305" t="s">
        <v>14818</v>
      </c>
      <c r="I200" s="273" t="s">
        <v>5484</v>
      </c>
      <c r="J200" s="715" t="str">
        <f>HYPERLINK("https://www.google.com/maps/search/Esta%C3%A7%C3%A3o%20de%20Cacela%20(Cais%20de%20Carga)%20Vila%20Nova%20de%20Cacela%20Portugal","📍 Estação de Cacela (Cais de Carga)")</f>
        <v>📍 Estação de Cacela (Cais de Carga)</v>
      </c>
    </row>
    <row r="201" spans="1:10" ht="110" customHeight="1" x14ac:dyDescent="0.35">
      <c r="A201" s="354">
        <v>40</v>
      </c>
      <c r="B201" s="277" t="s">
        <v>14819</v>
      </c>
      <c r="C201" s="278" t="s">
        <v>767</v>
      </c>
      <c r="D201" s="277" t="s">
        <v>14820</v>
      </c>
      <c r="E201" s="279" t="s">
        <v>14821</v>
      </c>
      <c r="F201" s="277" t="s">
        <v>14822</v>
      </c>
      <c r="G201" s="277" t="s">
        <v>876</v>
      </c>
      <c r="H201" s="304" t="s">
        <v>14823</v>
      </c>
      <c r="I201" s="277" t="s">
        <v>5484</v>
      </c>
      <c r="J201" s="715" t="str">
        <f>HYPERLINK("https://www.google.com/maps/search/Ponte%20Ferrovi%C3%A1ria%20de%20Alcoutim%20(Inacabada)%20Ribeira%20de%20Cadavais%2C%20Alcoutim%20Portugal","📍 Ponte Ferroviária de Alcoutim (Inacabada)")</f>
        <v>📍 Ponte Ferroviária de Alcoutim (Inacabada)</v>
      </c>
    </row>
    <row r="202" spans="1:10" ht="22" customHeight="1" x14ac:dyDescent="0.45">
      <c r="A202" s="1369" t="s">
        <v>8149</v>
      </c>
      <c r="B202" s="1313"/>
      <c r="C202" s="1313"/>
      <c r="D202" s="1313"/>
      <c r="E202" s="1313"/>
      <c r="F202" s="1313"/>
      <c r="G202" s="1313"/>
      <c r="H202" s="1313"/>
      <c r="I202" s="1313"/>
      <c r="J202" s="676"/>
    </row>
    <row r="203" spans="1:10" ht="110" customHeight="1" x14ac:dyDescent="0.35">
      <c r="A203" s="344">
        <v>1</v>
      </c>
      <c r="B203" s="281" t="s">
        <v>14824</v>
      </c>
      <c r="C203" s="282" t="s">
        <v>522</v>
      </c>
      <c r="D203" s="281" t="s">
        <v>14825</v>
      </c>
      <c r="E203" s="281" t="s">
        <v>14826</v>
      </c>
      <c r="F203" s="281" t="s">
        <v>14827</v>
      </c>
      <c r="G203" s="281" t="s">
        <v>876</v>
      </c>
      <c r="H203" s="305" t="s">
        <v>14828</v>
      </c>
      <c r="I203" s="281" t="s">
        <v>5484</v>
      </c>
      <c r="J203" s="715" t="str">
        <f>HYPERLINK("https://www.google.com/maps/search/Locomotiva%20Maria%20Alice%20(Ponta%20Delgada)%20Av.%20Infante%20D.%20Henrique%2C%20Ponta%20Delgada%20Portugal","📍 Locomotiva Maria Alice (Ponta Delgada)")</f>
        <v>📍 Locomotiva Maria Alice (Ponta Delgada)</v>
      </c>
    </row>
    <row r="204" spans="1:10" ht="110" customHeight="1" x14ac:dyDescent="0.35">
      <c r="A204" s="342">
        <v>2</v>
      </c>
      <c r="B204" s="284" t="s">
        <v>14829</v>
      </c>
      <c r="C204" s="367" t="s">
        <v>522</v>
      </c>
      <c r="D204" s="284" t="s">
        <v>14830</v>
      </c>
      <c r="E204" s="284" t="s">
        <v>14831</v>
      </c>
      <c r="F204" s="284" t="s">
        <v>14014</v>
      </c>
      <c r="G204" s="284" t="s">
        <v>5484</v>
      </c>
      <c r="H204" s="304" t="s">
        <v>14832</v>
      </c>
      <c r="I204" s="284" t="s">
        <v>5484</v>
      </c>
      <c r="J204" s="715" t="str">
        <f>HYPERLINK("https://www.google.com/maps/search/Oficinas%20do%20Porto%20de%20Ponta%20Delgada%20Porto%20de%20Ponta%20Delgada%20Portugal","📍 Oficinas do Porto de Ponta Delgada")</f>
        <v>📍 Oficinas do Porto de Ponta Delgada</v>
      </c>
    </row>
    <row r="205" spans="1:10" ht="110" customHeight="1" x14ac:dyDescent="0.35">
      <c r="A205" s="344">
        <v>3</v>
      </c>
      <c r="B205" s="281" t="s">
        <v>14833</v>
      </c>
      <c r="C205" s="282" t="s">
        <v>522</v>
      </c>
      <c r="D205" s="281" t="s">
        <v>14834</v>
      </c>
      <c r="E205" s="281" t="s">
        <v>14835</v>
      </c>
      <c r="F205" s="281" t="s">
        <v>14102</v>
      </c>
      <c r="G205" s="281" t="s">
        <v>876</v>
      </c>
      <c r="H205" s="305" t="s">
        <v>14836</v>
      </c>
      <c r="I205" s="281" t="s">
        <v>5484</v>
      </c>
      <c r="J205" s="715" t="str">
        <f>HYPERLINK("https://www.google.com/maps/search/Caminho%20de%20Ferro%20Porto%20de%20Angra%20(Terceira)%20Ba%C3%ADa%20de%20Angra%20do%20Hero%C3%ADsmo%20Portugal","📍 Caminho de Ferro Porto de Angra (Terceira)")</f>
        <v>📍 Caminho de Ferro Porto de Angra (Terceira)</v>
      </c>
    </row>
    <row r="206" spans="1:10" ht="110" customHeight="1" x14ac:dyDescent="0.35">
      <c r="A206" s="342">
        <v>4</v>
      </c>
      <c r="B206" s="284" t="s">
        <v>14837</v>
      </c>
      <c r="C206" s="367" t="s">
        <v>522</v>
      </c>
      <c r="D206" s="284" t="s">
        <v>14838</v>
      </c>
      <c r="E206" s="284" t="s">
        <v>14839</v>
      </c>
      <c r="F206" s="284" t="s">
        <v>14840</v>
      </c>
      <c r="G206" s="284" t="s">
        <v>876</v>
      </c>
      <c r="H206" s="304" t="s">
        <v>14841</v>
      </c>
      <c r="I206" s="284" t="s">
        <v>5484</v>
      </c>
      <c r="J206" s="715" t="str">
        <f>HYPERLINK("https://www.google.com/maps/search/Linha%20da%20constru%C3%A7%C3%A3o%20Porto%20da%20Horta%20(Faial)%20Porto%20da%20Horta%20Portugal","📍 Linha da construção Porto da Horta (Faial)")</f>
        <v>📍 Linha da construção Porto da Horta (Faial)</v>
      </c>
    </row>
    <row r="207" spans="1:10" ht="110" customHeight="1" x14ac:dyDescent="0.35">
      <c r="A207" s="344">
        <v>5</v>
      </c>
      <c r="B207" s="281" t="s">
        <v>14842</v>
      </c>
      <c r="C207" s="282" t="s">
        <v>522</v>
      </c>
      <c r="D207" s="281" t="s">
        <v>14843</v>
      </c>
      <c r="E207" s="281" t="s">
        <v>14844</v>
      </c>
      <c r="F207" s="281" t="s">
        <v>14237</v>
      </c>
      <c r="G207" s="281" t="s">
        <v>876</v>
      </c>
      <c r="H207" s="305" t="s">
        <v>14845</v>
      </c>
      <c r="I207" s="281" t="s">
        <v>5484</v>
      </c>
      <c r="J207" s="715" t="str">
        <f>HYPERLINK("https://www.google.com/maps/search/Pedreira%20da%20Silveira%20%E2%80%94%20Linha%20de%20Apoio%20(Terceira)%20Silveira%2C%20Angra%20do%20Hero%C3%ADsmo%20Portugal","📍 Pedreira da Silveira — Linha de Apoio (Ter")</f>
        <v>📍 Pedreira da Silveira — Linha de Apoio (Ter</v>
      </c>
    </row>
    <row r="208" spans="1:10" ht="22" customHeight="1" x14ac:dyDescent="0.45">
      <c r="A208" s="1370" t="s">
        <v>14846</v>
      </c>
      <c r="B208" s="1313"/>
      <c r="C208" s="1313"/>
      <c r="D208" s="1313"/>
      <c r="E208" s="1313"/>
      <c r="F208" s="1313"/>
      <c r="G208" s="1313"/>
      <c r="H208" s="1313"/>
      <c r="I208" s="1313"/>
      <c r="J208" s="676"/>
    </row>
    <row r="209" spans="1:10" ht="110" customHeight="1" x14ac:dyDescent="0.35">
      <c r="A209" s="350">
        <v>1</v>
      </c>
      <c r="B209" s="251" t="s">
        <v>14847</v>
      </c>
      <c r="C209" s="252" t="s">
        <v>524</v>
      </c>
      <c r="D209" s="251" t="s">
        <v>14848</v>
      </c>
      <c r="E209" s="251" t="s">
        <v>14849</v>
      </c>
      <c r="F209" s="251" t="s">
        <v>14850</v>
      </c>
      <c r="G209" s="251" t="s">
        <v>876</v>
      </c>
      <c r="H209" s="304" t="s">
        <v>14851</v>
      </c>
      <c r="I209" s="251" t="s">
        <v>5484</v>
      </c>
      <c r="J209" s="715" t="str">
        <f>HYPERLINK("https://www.google.com/maps/search/Antiga%20Esta%C3%A7%C3%A3o%20do%20Pombal%20(Funchal)%20Rua%20do%20Pombal%2C%20Funchal%20Portugal","📍 Antiga Estação do Pombal (Funchal)")</f>
        <v>📍 Antiga Estação do Pombal (Funchal)</v>
      </c>
    </row>
    <row r="210" spans="1:10" ht="110" customHeight="1" x14ac:dyDescent="0.35">
      <c r="A210" s="356">
        <v>2</v>
      </c>
      <c r="B210" s="254" t="s">
        <v>14852</v>
      </c>
      <c r="C210" s="255" t="s">
        <v>524</v>
      </c>
      <c r="D210" s="254" t="s">
        <v>14853</v>
      </c>
      <c r="E210" s="254" t="s">
        <v>14854</v>
      </c>
      <c r="F210" s="254" t="s">
        <v>14102</v>
      </c>
      <c r="G210" s="254" t="s">
        <v>876</v>
      </c>
      <c r="H210" s="305" t="s">
        <v>14855</v>
      </c>
      <c r="I210" s="254" t="s">
        <v>5484</v>
      </c>
      <c r="J210" s="715" t="str">
        <f>HYPERLINK("https://www.google.com/maps/search/Esta%C3%A7%C3%A3o%20do%20Monte%20(Desativada)%20Caminho%20de%20Ferro%2C%20Monte%20Portugal","📍 Estação do Monte (Desativada)")</f>
        <v>📍 Estação do Monte (Desativada)</v>
      </c>
    </row>
    <row r="211" spans="1:10" ht="110" customHeight="1" x14ac:dyDescent="0.35">
      <c r="A211" s="350">
        <v>3</v>
      </c>
      <c r="B211" s="251" t="s">
        <v>14856</v>
      </c>
      <c r="C211" s="252" t="s">
        <v>524</v>
      </c>
      <c r="D211" s="251" t="s">
        <v>14857</v>
      </c>
      <c r="E211" s="251" t="s">
        <v>14858</v>
      </c>
      <c r="F211" s="251" t="s">
        <v>14642</v>
      </c>
      <c r="G211" s="251" t="s">
        <v>876</v>
      </c>
      <c r="H211" s="304" t="s">
        <v>14859</v>
      </c>
      <c r="I211" s="251" t="s">
        <v>5484</v>
      </c>
      <c r="J211" s="715" t="str">
        <f>HYPERLINK("https://www.google.com/maps/search/T%C3%BAnel%20do%20Monte%20(Funchal)%20Caminho%20do%20Monte%2C%20Funchal%20Portugal","📍 Túnel do Monte (Funchal)")</f>
        <v>📍 Túnel do Monte (Funchal)</v>
      </c>
    </row>
    <row r="212" spans="1:10" ht="110" customHeight="1" x14ac:dyDescent="0.35">
      <c r="A212" s="356">
        <v>4</v>
      </c>
      <c r="B212" s="254" t="s">
        <v>14860</v>
      </c>
      <c r="C212" s="255" t="s">
        <v>524</v>
      </c>
      <c r="D212" s="254" t="s">
        <v>14861</v>
      </c>
      <c r="E212" s="254" t="s">
        <v>14862</v>
      </c>
      <c r="F212" s="254" t="s">
        <v>7565</v>
      </c>
      <c r="G212" s="254" t="s">
        <v>876</v>
      </c>
      <c r="H212" s="305" t="s">
        <v>14863</v>
      </c>
      <c r="I212" s="254" t="s">
        <v>5484</v>
      </c>
      <c r="J212" s="715" t="str">
        <f>HYPERLINK("https://www.google.com/maps/search/Oficinas%20do%20Caminho%20de%20Ferro%20(Funchal)%20Rua%20Ribeira%20de%20Jo%C3%A3o%20Gomes%20Portugal","📍 Oficinas do Caminho de Ferro (Funchal)")</f>
        <v>📍 Oficinas do Caminho de Ferro (Funchal)</v>
      </c>
    </row>
    <row r="213" spans="1:10" ht="110" customHeight="1" x14ac:dyDescent="0.35">
      <c r="A213" s="350">
        <v>5</v>
      </c>
      <c r="B213" s="251" t="s">
        <v>14864</v>
      </c>
      <c r="C213" s="252" t="s">
        <v>524</v>
      </c>
      <c r="D213" s="251" t="s">
        <v>14865</v>
      </c>
      <c r="E213" s="251" t="s">
        <v>14866</v>
      </c>
      <c r="F213" s="251" t="s">
        <v>14840</v>
      </c>
      <c r="G213" s="251" t="s">
        <v>876</v>
      </c>
      <c r="H213" s="304" t="s">
        <v>14867</v>
      </c>
      <c r="I213" s="251" t="s">
        <v>5484</v>
      </c>
      <c r="J213" s="715" t="str">
        <f>HYPERLINK("https://www.google.com/maps/search/Carris%20do%20Porto%20do%20Funchal%20(Vest%C3%ADgios)%20Porto%20do%20Funchal%2C%20Pontinha%20Portugal","📍 Carris do Porto do Funchal (Vestígios)")</f>
        <v>📍 Carris do Porto do Funchal (Vestígios)</v>
      </c>
    </row>
    <row r="215" spans="1:10" ht="16.5" x14ac:dyDescent="0.45">
      <c r="A215" s="1353" t="s">
        <v>14868</v>
      </c>
      <c r="B215" s="1354"/>
      <c r="C215" s="1354"/>
      <c r="D215" s="1354"/>
      <c r="E215" s="1354"/>
      <c r="F215" s="1354"/>
      <c r="G215" s="1354"/>
      <c r="H215" s="1354"/>
      <c r="I215" s="1354"/>
      <c r="J215" s="716"/>
    </row>
  </sheetData>
  <mergeCells count="10">
    <mergeCell ref="A1:I1"/>
    <mergeCell ref="A45:I45"/>
    <mergeCell ref="A127:I127"/>
    <mergeCell ref="A215:I215"/>
    <mergeCell ref="A4:I4"/>
    <mergeCell ref="A86:I86"/>
    <mergeCell ref="A2:I2"/>
    <mergeCell ref="A161:I161"/>
    <mergeCell ref="A208:I208"/>
    <mergeCell ref="A202:I20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51"/>
  <sheetViews>
    <sheetView workbookViewId="0">
      <pane ySplit="3" topLeftCell="A42" activePane="bottomLeft" state="frozen"/>
      <selection pane="bottomLeft" activeCell="F40" sqref="F40"/>
    </sheetView>
  </sheetViews>
  <sheetFormatPr defaultRowHeight="14.5" x14ac:dyDescent="0.35"/>
  <cols>
    <col min="1" max="1" width="4" customWidth="1"/>
    <col min="2" max="2" width="36" customWidth="1"/>
    <col min="3" max="3" width="12" customWidth="1"/>
    <col min="4" max="4" width="32" style="597" customWidth="1"/>
    <col min="5" max="5" width="22" customWidth="1"/>
    <col min="6" max="6" width="24.81640625" customWidth="1"/>
    <col min="7" max="7" width="34.54296875" customWidth="1"/>
    <col min="8" max="8" width="52" customWidth="1"/>
    <col min="9" max="9" width="26" customWidth="1"/>
  </cols>
  <sheetData>
    <row r="1" spans="1:9" ht="32" customHeight="1" x14ac:dyDescent="0.35">
      <c r="A1" s="1476" t="s">
        <v>14869</v>
      </c>
      <c r="B1" s="1313"/>
      <c r="C1" s="1313"/>
      <c r="D1" s="1313"/>
      <c r="E1" s="1313"/>
      <c r="F1" s="1313"/>
      <c r="G1" s="1313"/>
      <c r="H1" s="1313"/>
      <c r="I1" s="1313"/>
    </row>
    <row r="2" spans="1:9" ht="16" customHeight="1" x14ac:dyDescent="0.35">
      <c r="A2" s="1365" t="s">
        <v>14870</v>
      </c>
      <c r="B2" s="1313"/>
      <c r="C2" s="1313"/>
      <c r="D2" s="1313"/>
      <c r="E2" s="1313"/>
      <c r="F2" s="1313"/>
      <c r="G2" s="1313"/>
      <c r="H2" s="1313"/>
      <c r="I2" s="1313"/>
    </row>
    <row r="3" spans="1:9" ht="24" customHeight="1" x14ac:dyDescent="0.35">
      <c r="A3" s="238" t="s">
        <v>141</v>
      </c>
      <c r="B3" s="238" t="s">
        <v>14871</v>
      </c>
      <c r="C3" s="238" t="s">
        <v>142</v>
      </c>
      <c r="D3" s="238" t="s">
        <v>619</v>
      </c>
      <c r="E3" s="238" t="s">
        <v>16417</v>
      </c>
      <c r="F3" s="238" t="s">
        <v>906</v>
      </c>
      <c r="G3" s="238" t="s">
        <v>16427</v>
      </c>
      <c r="H3" s="303" t="s">
        <v>8</v>
      </c>
      <c r="I3" s="238" t="s">
        <v>789</v>
      </c>
    </row>
    <row r="4" spans="1:9" ht="22" customHeight="1" x14ac:dyDescent="0.35">
      <c r="A4" s="1479" t="s">
        <v>14872</v>
      </c>
      <c r="B4" s="1313"/>
      <c r="C4" s="1313"/>
      <c r="D4" s="1313"/>
      <c r="E4" s="1313"/>
      <c r="F4" s="1313"/>
      <c r="G4" s="1313"/>
      <c r="H4" s="1313"/>
      <c r="I4" s="1313"/>
    </row>
    <row r="5" spans="1:9" ht="110" customHeight="1" x14ac:dyDescent="0.35">
      <c r="A5" s="338">
        <v>1</v>
      </c>
      <c r="B5" s="239" t="s">
        <v>14873</v>
      </c>
      <c r="C5" s="240" t="s">
        <v>14874</v>
      </c>
      <c r="D5" s="595" t="s">
        <v>792</v>
      </c>
      <c r="E5" s="239" t="s">
        <v>3082</v>
      </c>
      <c r="F5" s="239" t="s">
        <v>14875</v>
      </c>
      <c r="G5" s="239" t="s">
        <v>14876</v>
      </c>
      <c r="H5" s="304" t="s">
        <v>14877</v>
      </c>
      <c r="I5" s="257" t="str">
        <f>HYPERLINK("https://www.google.com/maps/search/Nobre%20e%20Leal%20Mr.%20Dheo%20Portugal/@41.1501,-8.6094,17z","🎭 Nobre e Leal")</f>
        <v>🎭 Nobre e Leal</v>
      </c>
    </row>
    <row r="6" spans="1:9" ht="110" customHeight="1" x14ac:dyDescent="0.35">
      <c r="A6" s="336">
        <v>2</v>
      </c>
      <c r="B6" s="242" t="s">
        <v>14878</v>
      </c>
      <c r="C6" s="243" t="s">
        <v>14879</v>
      </c>
      <c r="D6" s="596" t="s">
        <v>792</v>
      </c>
      <c r="E6" s="242" t="s">
        <v>1317</v>
      </c>
      <c r="F6" s="242" t="s">
        <v>14880</v>
      </c>
      <c r="G6" s="242" t="s">
        <v>14881</v>
      </c>
      <c r="H6" s="305" t="s">
        <v>14882</v>
      </c>
      <c r="I6" s="258" t="str">
        <f>HYPERLINK("https://www.google.com/maps/search/Half%20Rabbit%20Bordalo%20II%20Portugal/@41.1339,-8.6194,17z","🎭 Half Rabbit")</f>
        <v>🎭 Half Rabbit</v>
      </c>
    </row>
    <row r="7" spans="1:9" ht="110" customHeight="1" x14ac:dyDescent="0.35">
      <c r="A7" s="338">
        <v>3</v>
      </c>
      <c r="B7" s="239" t="s">
        <v>14883</v>
      </c>
      <c r="C7" s="240" t="s">
        <v>14884</v>
      </c>
      <c r="D7" s="595" t="s">
        <v>792</v>
      </c>
      <c r="E7" s="239" t="s">
        <v>1773</v>
      </c>
      <c r="F7" s="239" t="s">
        <v>14885</v>
      </c>
      <c r="G7" s="239" t="s">
        <v>14886</v>
      </c>
      <c r="H7" s="304" t="s">
        <v>14887</v>
      </c>
      <c r="I7" s="257" t="str">
        <f>HYPERLINK("https://www.google.com/maps/search/Rostos%20do%20Mar%20%28Lota%20de%20Matosinhos%29%20Vhils%20Portugal/@41.1852,-8.6915,17z","🎭 Rostos do Mar (Lota de Mato…")</f>
        <v>🎭 Rostos do Mar (Lota de Mato…</v>
      </c>
    </row>
    <row r="8" spans="1:9" ht="110" customHeight="1" x14ac:dyDescent="0.35">
      <c r="A8" s="336">
        <v>4</v>
      </c>
      <c r="B8" s="242" t="s">
        <v>14888</v>
      </c>
      <c r="C8" s="243" t="s">
        <v>1219</v>
      </c>
      <c r="D8" s="596" t="s">
        <v>792</v>
      </c>
      <c r="E8" s="242" t="s">
        <v>1552</v>
      </c>
      <c r="F8" s="242" t="s">
        <v>14889</v>
      </c>
      <c r="G8" s="242" t="s">
        <v>14890</v>
      </c>
      <c r="H8" s="305" t="s">
        <v>14891</v>
      </c>
      <c r="I8" s="258" t="str">
        <f>HYPERLINK("https://www.google.com/maps/search/Arte%20Digital%20e%20Murais%20%28GNRation%29%20V%C3%A1rios%20Portugal/@41.5512,-8.4211,17z","🎭 Arte Digital e Murais (GNRa…")</f>
        <v>🎭 Arte Digital e Murais (GNRa…</v>
      </c>
    </row>
    <row r="9" spans="1:9" ht="110" customHeight="1" x14ac:dyDescent="0.35">
      <c r="A9" s="338">
        <v>5</v>
      </c>
      <c r="B9" s="239" t="s">
        <v>14892</v>
      </c>
      <c r="C9" s="240" t="s">
        <v>14893</v>
      </c>
      <c r="D9" s="595" t="s">
        <v>792</v>
      </c>
      <c r="E9" s="239" t="s">
        <v>1784</v>
      </c>
      <c r="F9" s="239" t="s">
        <v>14894</v>
      </c>
      <c r="G9" s="239" t="s">
        <v>14895</v>
      </c>
      <c r="H9" s="304" t="s">
        <v>14896</v>
      </c>
      <c r="I9" s="257" t="str">
        <f>HYPERLINK("https://www.google.com/maps/search/SM%27ARTE%20Festival%20Portugal/@41.8061,-6.7567,17z","🎭 SM'ARTE Festival")</f>
        <v>🎭 SM'ARTE Festival</v>
      </c>
    </row>
    <row r="10" spans="1:9" ht="110" customHeight="1" x14ac:dyDescent="0.35">
      <c r="A10" s="336">
        <v>6</v>
      </c>
      <c r="B10" s="242" t="s">
        <v>14897</v>
      </c>
      <c r="C10" s="243" t="s">
        <v>14898</v>
      </c>
      <c r="D10" s="596" t="s">
        <v>792</v>
      </c>
      <c r="E10" s="242" t="s">
        <v>14899</v>
      </c>
      <c r="F10" s="242" t="s">
        <v>14900</v>
      </c>
      <c r="G10" s="242" t="s">
        <v>14901</v>
      </c>
      <c r="H10" s="305" t="s">
        <v>14902</v>
      </c>
      <c r="I10" s="258" t="str">
        <f>HYPERLINK("https://www.google.com/maps/search/Interven%C3%A7%C3%A3o%20C%C3%B4a%20Parque%20Artistas%20Residentes%20Portugal/@41.0833,-7.1355,17z","🎭 Intervenção Côa Parque")</f>
        <v>🎭 Intervenção Côa Parque</v>
      </c>
    </row>
    <row r="11" spans="1:9" ht="110" customHeight="1" x14ac:dyDescent="0.35">
      <c r="A11" s="338">
        <v>7</v>
      </c>
      <c r="B11" s="239" t="s">
        <v>14903</v>
      </c>
      <c r="C11" s="240" t="s">
        <v>1219</v>
      </c>
      <c r="D11" s="595" t="s">
        <v>792</v>
      </c>
      <c r="E11" s="239" t="s">
        <v>4631</v>
      </c>
      <c r="F11" s="239" t="s">
        <v>14904</v>
      </c>
      <c r="G11" s="239" t="s">
        <v>14905</v>
      </c>
      <c r="H11" s="304" t="s">
        <v>14906</v>
      </c>
      <c r="I11" s="257" t="str">
        <f>HYPERLINK("https://www.google.com/maps/search/MIEC%20%E2%80%94%20Escultura%20ao%20Ar%20Livre%20V%C3%A1rios%20Portugal/@41.3431,-8.4739,17z","🎭 MIEC — Escultura ao Ar Livre")</f>
        <v>🎭 MIEC — Escultura ao Ar Livre</v>
      </c>
    </row>
    <row r="12" spans="1:9" ht="110" customHeight="1" x14ac:dyDescent="0.35">
      <c r="A12" s="336">
        <v>8</v>
      </c>
      <c r="B12" s="242" t="s">
        <v>14907</v>
      </c>
      <c r="C12" s="243" t="s">
        <v>1219</v>
      </c>
      <c r="D12" s="596" t="s">
        <v>792</v>
      </c>
      <c r="E12" s="242" t="s">
        <v>1791</v>
      </c>
      <c r="F12" s="242" t="s">
        <v>14908</v>
      </c>
      <c r="G12" s="242" t="s">
        <v>14909</v>
      </c>
      <c r="H12" s="305" t="s">
        <v>14910</v>
      </c>
      <c r="I12" s="258" t="str">
        <f>HYPERLINK("https://www.google.com/maps/search/Murais%20de%20Reabilita%C3%A7%C3%A3o%20%28Zona%20de%20Couros%29%20V%C3%A1rios%20Portugal/@41.4398,-8.2931,17z","🎭 Murais de Reabilitação (Zon…")</f>
        <v>🎭 Murais de Reabilitação (Zon…</v>
      </c>
    </row>
    <row r="13" spans="1:9" ht="110" customHeight="1" x14ac:dyDescent="0.35">
      <c r="A13" s="338">
        <v>9</v>
      </c>
      <c r="B13" s="239" t="s">
        <v>14911</v>
      </c>
      <c r="C13" s="240" t="s">
        <v>1219</v>
      </c>
      <c r="D13" s="595" t="s">
        <v>792</v>
      </c>
      <c r="E13" s="239" t="s">
        <v>1911</v>
      </c>
      <c r="F13" s="239" t="s">
        <v>14912</v>
      </c>
      <c r="G13" s="239" t="s">
        <v>14913</v>
      </c>
      <c r="H13" s="304" t="s">
        <v>14914</v>
      </c>
      <c r="I13" s="257" t="str">
        <f>HYPERLINK("https://www.google.com/maps/search/Arte%20Mar%C3%ADtima%20V%C3%A1rios%20Portugal/@41.5311,-8.7812,17z","🎭 Arte Marítima")</f>
        <v>🎭 Arte Marítima</v>
      </c>
    </row>
    <row r="14" spans="1:9" ht="110" customHeight="1" x14ac:dyDescent="0.35">
      <c r="A14" s="336">
        <v>10</v>
      </c>
      <c r="B14" s="242" t="s">
        <v>14915</v>
      </c>
      <c r="C14" s="243" t="s">
        <v>14879</v>
      </c>
      <c r="D14" s="596" t="s">
        <v>836</v>
      </c>
      <c r="E14" s="242" t="s">
        <v>5883</v>
      </c>
      <c r="F14" s="242" t="s">
        <v>14916</v>
      </c>
      <c r="G14" s="242" t="s">
        <v>14917</v>
      </c>
      <c r="H14" s="305" t="s">
        <v>14918</v>
      </c>
      <c r="I14" s="258" t="str">
        <f>HYPERLINK("https://www.google.com/maps/search/WOOL%20%E2%80%94%20The%20Owl%20Bordalo%20II%20Portugal/@40.2818,-7.5032,17z","🎭 WOOL — The Owl")</f>
        <v>🎭 WOOL — The Owl</v>
      </c>
    </row>
    <row r="15" spans="1:9" ht="110" customHeight="1" x14ac:dyDescent="0.35">
      <c r="A15" s="338">
        <v>11</v>
      </c>
      <c r="B15" s="239" t="s">
        <v>14919</v>
      </c>
      <c r="C15" s="240" t="s">
        <v>14879</v>
      </c>
      <c r="D15" s="595" t="s">
        <v>836</v>
      </c>
      <c r="E15" s="239" t="s">
        <v>5630</v>
      </c>
      <c r="F15" s="239" t="s">
        <v>14920</v>
      </c>
      <c r="G15" s="239" t="s">
        <v>14921</v>
      </c>
      <c r="H15" s="304" t="s">
        <v>14922</v>
      </c>
      <c r="I15" s="257" t="str">
        <f>HYPERLINK("https://www.google.com/maps/search/ESTAU%20%E2%80%94%20Guarda-Rios%20Bordalo%20II%20Portugal/@40.7523,-8.5694,17z","🎭 ESTAU — Guarda-Rios")</f>
        <v>🎭 ESTAU — Guarda-Rios</v>
      </c>
    </row>
    <row r="16" spans="1:9" ht="110" customHeight="1" x14ac:dyDescent="0.35">
      <c r="A16" s="336">
        <v>12</v>
      </c>
      <c r="B16" s="242" t="s">
        <v>14923</v>
      </c>
      <c r="C16" s="243" t="s">
        <v>14924</v>
      </c>
      <c r="D16" s="596" t="s">
        <v>836</v>
      </c>
      <c r="E16" s="242" t="s">
        <v>7006</v>
      </c>
      <c r="F16" s="242" t="s">
        <v>14925</v>
      </c>
      <c r="G16" s="242" t="s">
        <v>14926</v>
      </c>
      <c r="H16" s="305" t="s">
        <v>14927</v>
      </c>
      <c r="I16" s="258" t="str">
        <f>HYPERLINK("https://www.google.com/maps/search/Silos%20Contentor%20D.%20Eime%20Portugal/@39.4005,-9.1308,17z","🎭 Silos Contentor")</f>
        <v>🎭 Silos Contentor</v>
      </c>
    </row>
    <row r="17" spans="1:9" ht="110" customHeight="1" x14ac:dyDescent="0.35">
      <c r="A17" s="338">
        <v>13</v>
      </c>
      <c r="B17" s="239" t="s">
        <v>14928</v>
      </c>
      <c r="C17" s="240" t="s">
        <v>14929</v>
      </c>
      <c r="D17" s="595" t="s">
        <v>836</v>
      </c>
      <c r="E17" s="239" t="s">
        <v>950</v>
      </c>
      <c r="F17" s="239" t="s">
        <v>14930</v>
      </c>
      <c r="G17" s="239" t="s">
        <v>14931</v>
      </c>
      <c r="H17" s="304" t="s">
        <v>14932</v>
      </c>
      <c r="I17" s="257" t="str">
        <f>HYPERLINK("https://www.google.com/maps/search/Bairro%20da%20Balsa%20%28AkaCorleone%29%20Portugal/@40.6575,-7.9142,17z","🎭 Bairro da Balsa (AkaCorleone)")</f>
        <v>🎭 Bairro da Balsa (AkaCorleone)</v>
      </c>
    </row>
    <row r="18" spans="1:9" ht="110" customHeight="1" x14ac:dyDescent="0.35">
      <c r="A18" s="336">
        <v>14</v>
      </c>
      <c r="B18" s="242" t="s">
        <v>14933</v>
      </c>
      <c r="C18" s="243" t="s">
        <v>1219</v>
      </c>
      <c r="D18" s="596" t="s">
        <v>836</v>
      </c>
      <c r="E18" s="242" t="s">
        <v>7331</v>
      </c>
      <c r="F18" s="242" t="s">
        <v>14934</v>
      </c>
      <c r="G18" s="242" t="s">
        <v>14935</v>
      </c>
      <c r="H18" s="305" t="s">
        <v>14936</v>
      </c>
      <c r="I18" s="258" t="str">
        <f>HYPERLINK("https://www.google.com/maps/search/Fusing%20Culture%20Experience%20V%C3%A1rios%20Portugal/@40.1501,-8.8612,17z","🎭 Fusing Culture Experience")</f>
        <v>🎭 Fusing Culture Experience</v>
      </c>
    </row>
    <row r="19" spans="1:9" ht="110" customHeight="1" x14ac:dyDescent="0.35">
      <c r="A19" s="338">
        <v>15</v>
      </c>
      <c r="B19" s="239" t="s">
        <v>14937</v>
      </c>
      <c r="C19" s="240" t="s">
        <v>1219</v>
      </c>
      <c r="D19" s="595" t="s">
        <v>836</v>
      </c>
      <c r="E19" s="239" t="s">
        <v>1363</v>
      </c>
      <c r="F19" s="239" t="s">
        <v>14938</v>
      </c>
      <c r="G19" s="239" t="s">
        <v>14939</v>
      </c>
      <c r="H19" s="304" t="s">
        <v>14940</v>
      </c>
      <c r="I19" s="257" t="str">
        <f>HYPERLINK("https://www.google.com/maps/search/Arte%20nos%20Canais%20de%20Aveiro%20V%C3%A1rios%20Portugal/@40.6433,-8.6555,17z","🎭 Arte nos Canais de Aveiro")</f>
        <v>🎭 Arte nos Canais de Aveiro</v>
      </c>
    </row>
    <row r="20" spans="1:9" ht="110" customHeight="1" x14ac:dyDescent="0.35">
      <c r="A20" s="336">
        <v>16</v>
      </c>
      <c r="B20" s="242" t="s">
        <v>14941</v>
      </c>
      <c r="C20" s="243" t="s">
        <v>1219</v>
      </c>
      <c r="D20" s="596" t="s">
        <v>836</v>
      </c>
      <c r="E20" s="242" t="s">
        <v>2555</v>
      </c>
      <c r="F20" s="242" t="s">
        <v>12737</v>
      </c>
      <c r="G20" s="242" t="s">
        <v>14942</v>
      </c>
      <c r="H20" s="305" t="s">
        <v>14943</v>
      </c>
      <c r="I20" s="258" t="str">
        <f>HYPERLINK("https://www.google.com/maps/search/180%20Creative%20Camp%20V%C3%A1rios%20Portugal/@39.4632,-8.1981,17z","🎭 180 Creative Camp")</f>
        <v>🎭 180 Creative Camp</v>
      </c>
    </row>
    <row r="21" spans="1:9" ht="110" customHeight="1" x14ac:dyDescent="0.35">
      <c r="A21" s="338">
        <v>17</v>
      </c>
      <c r="B21" s="239" t="s">
        <v>14944</v>
      </c>
      <c r="C21" s="240" t="s">
        <v>1219</v>
      </c>
      <c r="D21" s="595" t="s">
        <v>836</v>
      </c>
      <c r="E21" s="239" t="s">
        <v>1264</v>
      </c>
      <c r="F21" s="239" t="s">
        <v>14945</v>
      </c>
      <c r="G21" s="239" t="s">
        <v>14946</v>
      </c>
      <c r="H21" s="304" t="s">
        <v>14947</v>
      </c>
      <c r="I21" s="257" t="str">
        <f>HYPERLINK("https://www.google.com/maps/search/Umbrella%20Sky%20%26%203D%20Art%20V%C3%A1rios%20Portugal/@40.5744,-8.4442,17z","🎭 Umbrella Sky &amp; 3D Art")</f>
        <v>🎭 Umbrella Sky &amp; 3D Art</v>
      </c>
    </row>
    <row r="22" spans="1:9" ht="110" customHeight="1" x14ac:dyDescent="0.35">
      <c r="A22" s="336">
        <v>18</v>
      </c>
      <c r="B22" s="242" t="s">
        <v>14948</v>
      </c>
      <c r="C22" s="243" t="s">
        <v>14949</v>
      </c>
      <c r="D22" s="596" t="s">
        <v>836</v>
      </c>
      <c r="E22" s="242" t="s">
        <v>14950</v>
      </c>
      <c r="F22" s="242" t="s">
        <v>14951</v>
      </c>
      <c r="G22" s="242" t="s">
        <v>14952</v>
      </c>
      <c r="H22" s="305" t="s">
        <v>14953</v>
      </c>
      <c r="I22" s="258" t="str">
        <f>HYPERLINK("https://www.google.com/maps/search/Land%20Art%20%28Xisto%29%20Coletivo%20Portugal/@40.1031,-7.7212,17z","🎭 Land Art (Xisto)")</f>
        <v>🎭 Land Art (Xisto)</v>
      </c>
    </row>
    <row r="23" spans="1:9" ht="110" customHeight="1" x14ac:dyDescent="0.35">
      <c r="A23" s="338">
        <v>19</v>
      </c>
      <c r="B23" s="239" t="s">
        <v>14954</v>
      </c>
      <c r="C23" s="240" t="s">
        <v>14955</v>
      </c>
      <c r="D23" s="595" t="s">
        <v>913</v>
      </c>
      <c r="E23" s="239" t="s">
        <v>14956</v>
      </c>
      <c r="F23" s="239" t="s">
        <v>14957</v>
      </c>
      <c r="G23" s="239" t="s">
        <v>14958</v>
      </c>
      <c r="H23" s="304" t="s">
        <v>14959</v>
      </c>
      <c r="I23" s="257" t="str">
        <f>HYPERLINK("https://www.google.com/maps/search/O%20Muro%20%E2%80%94%20Quinta%20do%20Mocho%20V%C3%A1rios%20%28Internacional%29%20Portugal/@38.7912,-9.1121,17z","🎭 O Muro — Quinta do Mocho")</f>
        <v>🎭 O Muro — Quinta do Mocho</v>
      </c>
    </row>
    <row r="24" spans="1:9" ht="110" customHeight="1" x14ac:dyDescent="0.35">
      <c r="A24" s="336">
        <v>20</v>
      </c>
      <c r="B24" s="242" t="s">
        <v>14960</v>
      </c>
      <c r="C24" s="243" t="s">
        <v>1219</v>
      </c>
      <c r="D24" s="596" t="s">
        <v>913</v>
      </c>
      <c r="E24" s="242" t="s">
        <v>913</v>
      </c>
      <c r="F24" s="242" t="s">
        <v>14961</v>
      </c>
      <c r="G24" s="242" t="s">
        <v>14962</v>
      </c>
      <c r="H24" s="305" t="s">
        <v>14963</v>
      </c>
      <c r="I24" s="258" t="str">
        <f>HYPERLINK("https://www.google.com/maps/search/Festival%20Arte%20Urbana%20Marvila%20V%C3%A1rios%20Portugal/@38.7422,-9.1023,17z","🎭 Festival Arte Urbana Marvila")</f>
        <v>🎭 Festival Arte Urbana Marvila</v>
      </c>
    </row>
    <row r="25" spans="1:9" ht="110" customHeight="1" x14ac:dyDescent="0.35">
      <c r="A25" s="338">
        <v>21</v>
      </c>
      <c r="B25" s="239" t="s">
        <v>146</v>
      </c>
      <c r="C25" s="240" t="s">
        <v>14884</v>
      </c>
      <c r="D25" s="595" t="s">
        <v>913</v>
      </c>
      <c r="E25" s="239" t="s">
        <v>913</v>
      </c>
      <c r="F25" s="239" t="s">
        <v>14964</v>
      </c>
      <c r="G25" s="239" t="s">
        <v>14965</v>
      </c>
      <c r="H25" s="304" t="s">
        <v>14966</v>
      </c>
      <c r="I25" s="257" t="str">
        <f>HYPERLINK("https://www.google.com/maps/search/Am%C3%A1lia%20Rodrigues%20Vhils%20Portugal/@38.7153,-9.1285,17z","🎭 Amália Rodrigues")</f>
        <v>🎭 Amália Rodrigues</v>
      </c>
    </row>
    <row r="26" spans="1:9" ht="110" customHeight="1" x14ac:dyDescent="0.35">
      <c r="A26" s="336">
        <v>22</v>
      </c>
      <c r="B26" s="242" t="s">
        <v>14967</v>
      </c>
      <c r="C26" s="243" t="s">
        <v>14879</v>
      </c>
      <c r="D26" s="596" t="s">
        <v>913</v>
      </c>
      <c r="E26" s="242" t="s">
        <v>913</v>
      </c>
      <c r="F26" s="242" t="s">
        <v>14968</v>
      </c>
      <c r="G26" s="242" t="s">
        <v>14969</v>
      </c>
      <c r="H26" s="305" t="s">
        <v>14970</v>
      </c>
      <c r="I26" s="258" t="str">
        <f>HYPERLINK("https://www.google.com/maps/search/Big%20Raccoon%20Bordalo%20II%20Portugal/@38.6978,-9.2045,17z","🎭 Big Raccoon")</f>
        <v>🎭 Big Raccoon</v>
      </c>
    </row>
    <row r="27" spans="1:9" ht="110" customHeight="1" x14ac:dyDescent="0.35">
      <c r="A27" s="338">
        <v>23</v>
      </c>
      <c r="B27" s="239" t="s">
        <v>14971</v>
      </c>
      <c r="C27" s="240" t="s">
        <v>1219</v>
      </c>
      <c r="D27" s="595" t="s">
        <v>913</v>
      </c>
      <c r="E27" s="239" t="s">
        <v>1259</v>
      </c>
      <c r="F27" s="239" t="s">
        <v>14972</v>
      </c>
      <c r="G27" s="239" t="s">
        <v>14973</v>
      </c>
      <c r="H27" s="304" t="s">
        <v>14974</v>
      </c>
      <c r="I27" s="257" t="str">
        <f>HYPERLINK("https://www.google.com/maps/search/Arte%20Industrial%20%28Cacilhas%29%20V%C3%A1rios%20Portugal/@38.6855,-9.1555,17z","🎭 Arte Industrial (Cacilhas)")</f>
        <v>🎭 Arte Industrial (Cacilhas)</v>
      </c>
    </row>
    <row r="28" spans="1:9" ht="110" customHeight="1" x14ac:dyDescent="0.35">
      <c r="A28" s="336">
        <v>24</v>
      </c>
      <c r="B28" s="242" t="s">
        <v>14975</v>
      </c>
      <c r="C28" s="243" t="s">
        <v>14884</v>
      </c>
      <c r="D28" s="596" t="s">
        <v>913</v>
      </c>
      <c r="E28" s="242" t="s">
        <v>8640</v>
      </c>
      <c r="F28" s="242" t="s">
        <v>14976</v>
      </c>
      <c r="G28" s="242" t="s">
        <v>14977</v>
      </c>
      <c r="H28" s="305" t="s">
        <v>14978</v>
      </c>
      <c r="I28" s="258" t="str">
        <f>HYPERLINK("https://www.google.com/maps/search/Vhils%20%E2%80%94%20Ba%C3%ADa%20do%20Tejo%20Portugal/@38.6588,-9.0711,17z","🎭 Vhils — Baía do Tejo")</f>
        <v>🎭 Vhils — Baía do Tejo</v>
      </c>
    </row>
    <row r="29" spans="1:9" ht="110" customHeight="1" x14ac:dyDescent="0.35">
      <c r="A29" s="338">
        <v>25</v>
      </c>
      <c r="B29" s="239" t="s">
        <v>14979</v>
      </c>
      <c r="C29" s="240" t="s">
        <v>14980</v>
      </c>
      <c r="D29" s="595" t="s">
        <v>853</v>
      </c>
      <c r="E29" s="239" t="s">
        <v>1412</v>
      </c>
      <c r="F29" s="239" t="s">
        <v>14981</v>
      </c>
      <c r="G29" s="239" t="s">
        <v>14982</v>
      </c>
      <c r="H29" s="304" t="s">
        <v>14983</v>
      </c>
      <c r="I29" s="257" t="str">
        <f>HYPERLINK("https://www.google.com/maps/search/Murais%20Subtis%20%E2%80%94%20%C3%89vora%20UNESCO%20Artistas%20Locais%20Portugal/@38.5711,-7.9082,17z","🎭 Murais Subtis — Évora UNESCO")</f>
        <v>🎭 Murais Subtis — Évora UNESCO</v>
      </c>
    </row>
    <row r="30" spans="1:9" ht="110" customHeight="1" x14ac:dyDescent="0.35">
      <c r="A30" s="336">
        <v>26</v>
      </c>
      <c r="B30" s="242" t="s">
        <v>14984</v>
      </c>
      <c r="C30" s="243" t="s">
        <v>14985</v>
      </c>
      <c r="D30" s="596" t="s">
        <v>853</v>
      </c>
      <c r="E30" s="242" t="s">
        <v>8687</v>
      </c>
      <c r="F30" s="242" t="s">
        <v>14986</v>
      </c>
      <c r="G30" s="242" t="s">
        <v>14987</v>
      </c>
      <c r="H30" s="305" t="s">
        <v>14988</v>
      </c>
      <c r="I30" s="258" t="str">
        <f>HYPERLINK("https://www.google.com/maps/search/Interven%C3%A7%C3%A3o%20Alqueva%20Coletivos%20Portugal/@38.3072,-7.7021,17z","🎭 Intervenção Alqueva")</f>
        <v>🎭 Intervenção Alqueva</v>
      </c>
    </row>
    <row r="31" spans="1:9" ht="110" customHeight="1" x14ac:dyDescent="0.35">
      <c r="A31" s="338">
        <v>27</v>
      </c>
      <c r="B31" s="239" t="s">
        <v>14989</v>
      </c>
      <c r="C31" s="240" t="s">
        <v>14980</v>
      </c>
      <c r="D31" s="595" t="s">
        <v>853</v>
      </c>
      <c r="E31" s="239" t="s">
        <v>1233</v>
      </c>
      <c r="F31" s="239" t="s">
        <v>14990</v>
      </c>
      <c r="G31" s="239" t="s">
        <v>14991</v>
      </c>
      <c r="H31" s="304" t="s">
        <v>14992</v>
      </c>
      <c r="I31" s="257" t="str">
        <f>HYPERLINK("https://www.google.com/maps/search/Murais%20da%20Plan%C3%ADcie%20Artistas%20Locais%20Portugal/@38.0155,-7.8655,17z","🎭 Murais da Planície")</f>
        <v>🎭 Murais da Planície</v>
      </c>
    </row>
    <row r="32" spans="1:9" ht="110" customHeight="1" x14ac:dyDescent="0.35">
      <c r="A32" s="336">
        <v>28</v>
      </c>
      <c r="B32" s="242" t="s">
        <v>14993</v>
      </c>
      <c r="C32" s="243" t="s">
        <v>14949</v>
      </c>
      <c r="D32" s="596" t="s">
        <v>853</v>
      </c>
      <c r="E32" s="242" t="s">
        <v>2143</v>
      </c>
      <c r="F32" s="242" t="s">
        <v>14994</v>
      </c>
      <c r="G32" s="242" t="s">
        <v>14995</v>
      </c>
      <c r="H32" s="305" t="s">
        <v>14996</v>
      </c>
      <c r="I32" s="258" t="str">
        <f>HYPERLINK("https://www.google.com/maps/search/Arte%20Community-led%20Coletivo%20Portugal/@37.5972,-8.6412,17z","🎭 Arte Community-led")</f>
        <v>🎭 Arte Community-led</v>
      </c>
    </row>
    <row r="33" spans="1:9" ht="110" customHeight="1" x14ac:dyDescent="0.35">
      <c r="A33" s="338">
        <v>29</v>
      </c>
      <c r="B33" s="239" t="s">
        <v>14997</v>
      </c>
      <c r="C33" s="240" t="s">
        <v>14998</v>
      </c>
      <c r="D33" s="595" t="s">
        <v>767</v>
      </c>
      <c r="E33" s="239" t="s">
        <v>2201</v>
      </c>
      <c r="F33" s="239" t="s">
        <v>14999</v>
      </c>
      <c r="G33" s="239" t="s">
        <v>15000</v>
      </c>
      <c r="H33" s="304" t="s">
        <v>15001</v>
      </c>
      <c r="I33" s="257" t="str">
        <f>HYPERLINK("https://www.google.com/maps/search/Trilho%20da%20Arte%20%E2%80%94%20Bar%C3%A3o%20de%20S.%20Jo%C3%A3o%20Coletivo%20Bar%C3%A3o%20Portugal/@37.1356,-8.7811,17z","🎭 Trilho da Arte — Barão de S…")</f>
        <v>🎭 Trilho da Arte — Barão de S…</v>
      </c>
    </row>
    <row r="34" spans="1:9" ht="110" customHeight="1" x14ac:dyDescent="0.35">
      <c r="A34" s="336">
        <v>30</v>
      </c>
      <c r="B34" s="242" t="s">
        <v>15002</v>
      </c>
      <c r="C34" s="243" t="s">
        <v>1219</v>
      </c>
      <c r="D34" s="596" t="s">
        <v>767</v>
      </c>
      <c r="E34" s="242" t="s">
        <v>2201</v>
      </c>
      <c r="F34" s="242" t="s">
        <v>15003</v>
      </c>
      <c r="G34" s="242" t="s">
        <v>15004</v>
      </c>
      <c r="H34" s="305" t="s">
        <v>15005</v>
      </c>
      <c r="I34" s="258" t="str">
        <f>HYPERLINK("https://www.google.com/maps/search/ARTURb%20Lagos%20V%C3%A1rios%20Portugal/@37.1028,-8.6731,17z","🎭 ARTURb Lagos")</f>
        <v>🎭 ARTURb Lagos</v>
      </c>
    </row>
    <row r="35" spans="1:9" ht="110" customHeight="1" x14ac:dyDescent="0.35">
      <c r="A35" s="338">
        <v>31</v>
      </c>
      <c r="B35" s="239" t="s">
        <v>15006</v>
      </c>
      <c r="C35" s="240" t="s">
        <v>1219</v>
      </c>
      <c r="D35" s="595" t="s">
        <v>767</v>
      </c>
      <c r="E35" s="239" t="s">
        <v>5761</v>
      </c>
      <c r="F35" s="239" t="s">
        <v>15007</v>
      </c>
      <c r="G35" s="239" t="s">
        <v>15008</v>
      </c>
      <c r="H35" s="304" t="s">
        <v>15009</v>
      </c>
      <c r="I35" s="257" t="str">
        <f>HYPERLINK("https://www.google.com/maps/search/Mural%20da%20Ria%20V%C3%A1rios%20Portugal/@37.0161,-7.9351,17z","🎭 Mural da Ria")</f>
        <v>🎭 Mural da Ria</v>
      </c>
    </row>
    <row r="36" spans="1:9" ht="110" customHeight="1" x14ac:dyDescent="0.35">
      <c r="A36" s="336">
        <v>32</v>
      </c>
      <c r="B36" s="242" t="s">
        <v>15010</v>
      </c>
      <c r="C36" s="243" t="s">
        <v>1084</v>
      </c>
      <c r="D36" s="596" t="s">
        <v>522</v>
      </c>
      <c r="E36" s="242" t="s">
        <v>1086</v>
      </c>
      <c r="F36" s="242" t="s">
        <v>14830</v>
      </c>
      <c r="G36" s="242" t="s">
        <v>15011</v>
      </c>
      <c r="H36" s="305" t="s">
        <v>15012</v>
      </c>
      <c r="I36" s="258" t="str">
        <f>HYPERLINK("https://www.google.com/maps/search/Tremor%20Art%20%E2%80%94%20Vulc%C3%A3o%20Criativo%20Portugal/@37.7412,-25.6661,17z","🎭 Tremor Art — Vulcão Criativo")</f>
        <v>🎭 Tremor Art — Vulcão Criativo</v>
      </c>
    </row>
    <row r="37" spans="1:9" ht="110" customHeight="1" x14ac:dyDescent="0.35">
      <c r="A37" s="338">
        <v>33</v>
      </c>
      <c r="B37" s="239" t="s">
        <v>15013</v>
      </c>
      <c r="C37" s="240" t="s">
        <v>1219</v>
      </c>
      <c r="D37" s="595" t="s">
        <v>524</v>
      </c>
      <c r="E37" s="239" t="s">
        <v>2219</v>
      </c>
      <c r="F37" s="239" t="s">
        <v>15014</v>
      </c>
      <c r="G37" s="239" t="s">
        <v>15015</v>
      </c>
      <c r="H37" s="304" t="s">
        <v>15016</v>
      </c>
      <c r="I37" s="257" t="str">
        <f>HYPERLINK("https://www.google.com/maps/search/Portas%20Pintadas%20V%C3%A1rios%20Portugal/@32.6481,-16.9033,17z","🎭 Portas Pintadas")</f>
        <v>🎭 Portas Pintadas</v>
      </c>
    </row>
    <row r="38" spans="1:9" ht="110" customHeight="1" x14ac:dyDescent="0.35">
      <c r="A38" s="336">
        <v>34</v>
      </c>
      <c r="B38" s="242" t="s">
        <v>15017</v>
      </c>
      <c r="C38" s="243" t="s">
        <v>1219</v>
      </c>
      <c r="D38" s="596" t="s">
        <v>836</v>
      </c>
      <c r="E38" s="242" t="s">
        <v>7735</v>
      </c>
      <c r="F38" s="242" t="s">
        <v>15018</v>
      </c>
      <c r="G38" s="242" t="s">
        <v>15019</v>
      </c>
      <c r="H38" s="305" t="s">
        <v>15020</v>
      </c>
      <c r="I38" s="258" t="str">
        <f>HYPERLINK("https://www.google.com/maps/search/Mural%20da%20Gafanha%20%28Silos%20%C3%8Dlhavo%29%20V%C3%A1rios%20Portugal/@40.6341,-8.7121,17z","🎭 Mural da Gafanha (Silos Ílh…")</f>
        <v>🎭 Mural da Gafanha (Silos Ílh…</v>
      </c>
    </row>
    <row r="39" spans="1:9" ht="110" customHeight="1" x14ac:dyDescent="0.35">
      <c r="A39" s="338">
        <v>35</v>
      </c>
      <c r="B39" s="239" t="s">
        <v>15021</v>
      </c>
      <c r="C39" s="240" t="s">
        <v>1219</v>
      </c>
      <c r="D39" s="595" t="s">
        <v>792</v>
      </c>
      <c r="E39" s="239" t="s">
        <v>1996</v>
      </c>
      <c r="F39" s="239" t="s">
        <v>15022</v>
      </c>
      <c r="G39" s="239" t="s">
        <v>15023</v>
      </c>
      <c r="H39" s="304" t="s">
        <v>15024</v>
      </c>
      <c r="I39" s="257" t="str">
        <f>HYPERLINK("https://www.google.com/maps/search/Arte%20nos%20Moinhos%20de%20Barcelos%20V%C3%A1rios%20Portugal/@41.5315,-8.6189,17z","🎭 Arte nos Moinhos de Barcelos")</f>
        <v>🎭 Arte nos Moinhos de Barcelos</v>
      </c>
    </row>
    <row r="40" spans="1:9" ht="110" customHeight="1" x14ac:dyDescent="0.35">
      <c r="A40" s="336">
        <v>36</v>
      </c>
      <c r="B40" s="242" t="s">
        <v>15025</v>
      </c>
      <c r="C40" s="243" t="s">
        <v>1219</v>
      </c>
      <c r="D40" s="596" t="s">
        <v>792</v>
      </c>
      <c r="E40" s="242" t="s">
        <v>4648</v>
      </c>
      <c r="F40" s="242" t="s">
        <v>15026</v>
      </c>
      <c r="G40" s="242" t="s">
        <v>15027</v>
      </c>
      <c r="H40" s="305" t="s">
        <v>15028</v>
      </c>
      <c r="I40" s="258" t="str">
        <f>HYPERLINK("https://www.google.com/maps/search/Graffiti%20nos%20Armaz%C3%A9ns%20V%C3%A1rios%20Portugal/@41.3541,-8.7422,17z","🎭 Graffiti nos Armazéns")</f>
        <v>🎭 Graffiti nos Armazéns</v>
      </c>
    </row>
    <row r="41" spans="1:9" ht="110" customHeight="1" x14ac:dyDescent="0.35">
      <c r="A41" s="338">
        <v>37</v>
      </c>
      <c r="B41" s="239" t="s">
        <v>15029</v>
      </c>
      <c r="C41" s="240" t="s">
        <v>1219</v>
      </c>
      <c r="D41" s="595" t="s">
        <v>792</v>
      </c>
      <c r="E41" s="239" t="s">
        <v>1184</v>
      </c>
      <c r="F41" s="239" t="s">
        <v>15030</v>
      </c>
      <c r="G41" s="239" t="s">
        <v>15031</v>
      </c>
      <c r="H41" s="304" t="s">
        <v>15032</v>
      </c>
      <c r="I41" s="257" t="str">
        <f>HYPERLINK("https://www.google.com/maps/search/Murais%20do%20Rio%20V%C3%A1rios%20Portugal/@41.2694,-8.0782,17z","🎭 Murais do Rio")</f>
        <v>🎭 Murais do Rio</v>
      </c>
    </row>
    <row r="42" spans="1:9" ht="110" customHeight="1" x14ac:dyDescent="0.35">
      <c r="A42" s="336">
        <v>38</v>
      </c>
      <c r="B42" s="242" t="s">
        <v>15033</v>
      </c>
      <c r="C42" s="243" t="s">
        <v>1219</v>
      </c>
      <c r="D42" s="596" t="s">
        <v>792</v>
      </c>
      <c r="E42" s="242" t="s">
        <v>1149</v>
      </c>
      <c r="F42" s="242" t="s">
        <v>15034</v>
      </c>
      <c r="G42" s="242" t="s">
        <v>15035</v>
      </c>
      <c r="H42" s="305" t="s">
        <v>15036</v>
      </c>
      <c r="I42" s="258" t="str">
        <f>HYPERLINK("https://www.google.com/maps/search/Arte%20dos%20Descobrimentos%20V%C3%A1rios%20Portugal/@41.6918,-8.8344,17z","🎭 Arte dos Descobrimentos")</f>
        <v>🎭 Arte dos Descobrimentos</v>
      </c>
    </row>
    <row r="43" spans="1:9" ht="110" customHeight="1" x14ac:dyDescent="0.35">
      <c r="A43" s="338">
        <v>39</v>
      </c>
      <c r="B43" s="239" t="s">
        <v>15037</v>
      </c>
      <c r="C43" s="240" t="s">
        <v>1219</v>
      </c>
      <c r="D43" s="595" t="s">
        <v>792</v>
      </c>
      <c r="E43" s="239" t="s">
        <v>15038</v>
      </c>
      <c r="F43" s="239" t="s">
        <v>15039</v>
      </c>
      <c r="G43" s="241" t="s">
        <v>15040</v>
      </c>
      <c r="H43" s="304" t="s">
        <v>15041</v>
      </c>
      <c r="I43" s="257" t="str">
        <f>HYPERLINK("https://www.google.com/maps/search/Arte%20Industrial%20%E2%80%94%20Oliva%20Creative%20Factory%20V%C3%A1rios%20Portugal/@40.9012,-8.4901,17z","🎭 Arte Industrial — Oliva Cre…")</f>
        <v>🎭 Arte Industrial — Oliva Cre…</v>
      </c>
    </row>
    <row r="44" spans="1:9" ht="110" customHeight="1" x14ac:dyDescent="0.35">
      <c r="A44" s="336">
        <v>40</v>
      </c>
      <c r="B44" s="242" t="s">
        <v>15042</v>
      </c>
      <c r="C44" s="243" t="s">
        <v>1219</v>
      </c>
      <c r="D44" s="596" t="s">
        <v>792</v>
      </c>
      <c r="E44" s="242" t="s">
        <v>1786</v>
      </c>
      <c r="F44" s="242" t="s">
        <v>6754</v>
      </c>
      <c r="G44" s="242" t="s">
        <v>15043</v>
      </c>
      <c r="H44" s="305" t="s">
        <v>15044</v>
      </c>
      <c r="I44" s="258" t="str">
        <f>HYPERLINK("https://www.google.com/maps/search/Geopark%20Arte%20V%C3%A1rios%20Portugal/@41.5385,-6.9538,17z","🎭 Geopark Arte")</f>
        <v>🎭 Geopark Arte</v>
      </c>
    </row>
    <row r="45" spans="1:9" ht="110" customHeight="1" x14ac:dyDescent="0.35">
      <c r="A45" s="338">
        <v>41</v>
      </c>
      <c r="B45" s="239" t="s">
        <v>15045</v>
      </c>
      <c r="C45" s="240" t="s">
        <v>1219</v>
      </c>
      <c r="D45" s="595" t="s">
        <v>836</v>
      </c>
      <c r="E45" s="239" t="s">
        <v>5497</v>
      </c>
      <c r="F45" s="239" t="s">
        <v>15046</v>
      </c>
      <c r="G45" s="239" t="s">
        <v>15047</v>
      </c>
      <c r="H45" s="304" t="s">
        <v>15048</v>
      </c>
      <c r="I45" s="257" t="str">
        <f>HYPERLINK("https://www.google.com/maps/search/Baixa%20Criativa%20V%C3%A1rios%20Portugal/@40.2111,-8.4292,17z","🎭 Baixa Criativa")</f>
        <v>🎭 Baixa Criativa</v>
      </c>
    </row>
    <row r="46" spans="1:9" ht="110" customHeight="1" x14ac:dyDescent="0.35">
      <c r="A46" s="336">
        <v>42</v>
      </c>
      <c r="B46" s="242" t="s">
        <v>15049</v>
      </c>
      <c r="C46" s="243" t="s">
        <v>1219</v>
      </c>
      <c r="D46" s="596" t="s">
        <v>836</v>
      </c>
      <c r="E46" s="242" t="s">
        <v>1713</v>
      </c>
      <c r="F46" s="242" t="s">
        <v>15050</v>
      </c>
      <c r="G46" s="244" t="s">
        <v>15051</v>
      </c>
      <c r="H46" s="305" t="s">
        <v>15052</v>
      </c>
      <c r="I46" s="258" t="str">
        <f>HYPERLINK("https://www.google.com/maps/search/Murais%20do%20Bordado%20V%C3%A1rios%20Portugal/@39.8222,-7.4912,17z","🎭 Murais do Bordado")</f>
        <v>🎭 Murais do Bordado</v>
      </c>
    </row>
    <row r="47" spans="1:9" ht="110" customHeight="1" x14ac:dyDescent="0.35">
      <c r="A47" s="338">
        <v>43</v>
      </c>
      <c r="B47" s="239" t="s">
        <v>15053</v>
      </c>
      <c r="C47" s="240" t="s">
        <v>1219</v>
      </c>
      <c r="D47" s="595" t="s">
        <v>836</v>
      </c>
      <c r="E47" s="239" t="s">
        <v>2091</v>
      </c>
      <c r="F47" s="239" t="s">
        <v>15054</v>
      </c>
      <c r="G47" s="239" t="s">
        <v>15055</v>
      </c>
      <c r="H47" s="304" t="s">
        <v>15056</v>
      </c>
      <c r="I47" s="257" t="str">
        <f>HYPERLINK("https://www.google.com/maps/search/Arte%20na%20Gardunha%20V%C3%A1rios%20Portugal/@40.1389,-7.5022,17z","🎭 Arte na Gardunha")</f>
        <v>🎭 Arte na Gardunha</v>
      </c>
    </row>
    <row r="48" spans="1:9" ht="110" customHeight="1" x14ac:dyDescent="0.35">
      <c r="A48" s="336">
        <v>44</v>
      </c>
      <c r="B48" s="242" t="s">
        <v>15057</v>
      </c>
      <c r="C48" s="243" t="s">
        <v>15058</v>
      </c>
      <c r="D48" s="596" t="s">
        <v>836</v>
      </c>
      <c r="E48" s="242" t="s">
        <v>933</v>
      </c>
      <c r="F48" s="242" t="s">
        <v>15059</v>
      </c>
      <c r="G48" s="244" t="s">
        <v>15060</v>
      </c>
      <c r="H48" s="305" t="s">
        <v>15061</v>
      </c>
      <c r="I48" s="258" t="str">
        <f>HYPERLINK("https://www.google.com/maps/search/Boom%20Festival%20%E2%80%94%20Rural%20Art%20Internacional%20Portugal/@39.9241,-7.2344,17z","🎭 Boom Festival — Rural Art")</f>
        <v>🎭 Boom Festival — Rural Art</v>
      </c>
    </row>
    <row r="49" spans="1:9" ht="110" customHeight="1" x14ac:dyDescent="0.35">
      <c r="A49" s="338">
        <v>45</v>
      </c>
      <c r="B49" s="239" t="s">
        <v>15062</v>
      </c>
      <c r="C49" s="240" t="s">
        <v>1219</v>
      </c>
      <c r="D49" s="595" t="s">
        <v>836</v>
      </c>
      <c r="E49" s="239" t="s">
        <v>7725</v>
      </c>
      <c r="F49" s="239" t="s">
        <v>15063</v>
      </c>
      <c r="G49" s="241" t="s">
        <v>15064</v>
      </c>
      <c r="H49" s="304" t="s">
        <v>15065</v>
      </c>
      <c r="I49" s="257" t="str">
        <f>HYPERLINK("https://www.google.com/maps/search/Rota%20do%20Rio%20Lis%20V%C3%A1rios%20Portugal/@39.7431,-8.8061,17z","🎭 Rota do Rio Lis")</f>
        <v>🎭 Rota do Rio Lis</v>
      </c>
    </row>
    <row r="51" spans="1:9" x14ac:dyDescent="0.35">
      <c r="A51" s="1353" t="s">
        <v>15066</v>
      </c>
      <c r="B51" s="1354"/>
      <c r="C51" s="1354"/>
      <c r="D51" s="1354"/>
      <c r="E51" s="1354"/>
      <c r="F51" s="1354"/>
      <c r="G51" s="1354"/>
      <c r="H51" s="1354"/>
      <c r="I51" s="1354"/>
    </row>
  </sheetData>
  <mergeCells count="4">
    <mergeCell ref="A1:I1"/>
    <mergeCell ref="A4:I4"/>
    <mergeCell ref="A2:I2"/>
    <mergeCell ref="A51:I5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27"/>
  <sheetViews>
    <sheetView workbookViewId="0">
      <pane ySplit="3" topLeftCell="A79" activePane="bottomLeft" state="frozen"/>
      <selection pane="bottomLeft" activeCell="J82" sqref="J82"/>
    </sheetView>
  </sheetViews>
  <sheetFormatPr defaultRowHeight="14.5" x14ac:dyDescent="0.35"/>
  <cols>
    <col min="1" max="1" width="6.36328125" customWidth="1"/>
    <col min="2" max="2" width="34.54296875" customWidth="1"/>
    <col min="3" max="3" width="14.54296875" customWidth="1"/>
    <col min="4" max="4" width="25.453125" customWidth="1"/>
    <col min="5" max="5" width="14.54296875" customWidth="1"/>
    <col min="6" max="6" width="15.453125" customWidth="1"/>
    <col min="7" max="7" width="16.36328125" customWidth="1"/>
    <col min="8" max="8" width="31.81640625" customWidth="1"/>
    <col min="9" max="9" width="54.54296875" customWidth="1"/>
    <col min="10" max="11" width="29.08984375" customWidth="1"/>
  </cols>
  <sheetData>
    <row r="1" spans="1:11" ht="32" customHeight="1" x14ac:dyDescent="0.45">
      <c r="A1" s="1285" t="s">
        <v>17838</v>
      </c>
      <c r="B1" s="1285"/>
      <c r="C1" s="1285"/>
      <c r="D1" s="1285"/>
      <c r="E1" s="1285"/>
      <c r="F1" s="1285"/>
      <c r="G1" s="1285"/>
      <c r="H1" s="1285"/>
      <c r="I1" s="1285"/>
      <c r="J1" s="1285"/>
      <c r="K1" s="1285"/>
    </row>
    <row r="2" spans="1:11" ht="22" customHeight="1" x14ac:dyDescent="0.35">
      <c r="A2" s="1560" t="s">
        <v>17839</v>
      </c>
      <c r="B2" s="1560"/>
      <c r="C2" s="1560"/>
      <c r="D2" s="1560"/>
      <c r="E2" s="1560"/>
      <c r="F2" s="1560"/>
      <c r="G2" s="1560"/>
      <c r="H2" s="1560"/>
      <c r="I2" s="1560"/>
      <c r="J2" s="1560"/>
      <c r="K2" s="1560"/>
    </row>
    <row r="3" spans="1:11" ht="22" customHeight="1" x14ac:dyDescent="0.35">
      <c r="A3" s="474" t="s">
        <v>141</v>
      </c>
      <c r="B3" s="474" t="s">
        <v>785</v>
      </c>
      <c r="C3" s="474" t="s">
        <v>619</v>
      </c>
      <c r="D3" s="474" t="s">
        <v>2259</v>
      </c>
      <c r="E3" s="474" t="s">
        <v>786</v>
      </c>
      <c r="F3" s="474" t="s">
        <v>2262</v>
      </c>
      <c r="G3" s="474" t="s">
        <v>2264</v>
      </c>
      <c r="H3" s="474" t="s">
        <v>15067</v>
      </c>
      <c r="I3" s="474" t="s">
        <v>8</v>
      </c>
      <c r="J3" s="474" t="s">
        <v>15068</v>
      </c>
      <c r="K3" s="474" t="s">
        <v>15069</v>
      </c>
    </row>
    <row r="4" spans="1:11" ht="26" customHeight="1" x14ac:dyDescent="0.35">
      <c r="A4" s="1561" t="s">
        <v>17840</v>
      </c>
      <c r="B4" s="1561"/>
      <c r="C4" s="1561"/>
      <c r="D4" s="1561"/>
      <c r="E4" s="1561"/>
      <c r="F4" s="1561"/>
      <c r="G4" s="1561"/>
      <c r="H4" s="1561"/>
      <c r="I4" s="1561"/>
      <c r="J4" s="1561"/>
      <c r="K4" s="1561"/>
    </row>
    <row r="5" spans="1:11" ht="55" customHeight="1" x14ac:dyDescent="0.35">
      <c r="A5" s="495">
        <v>1</v>
      </c>
      <c r="B5" s="505" t="s">
        <v>15070</v>
      </c>
      <c r="C5" s="475" t="s">
        <v>792</v>
      </c>
      <c r="D5" s="475" t="s">
        <v>15071</v>
      </c>
      <c r="E5" s="485" t="s">
        <v>3096</v>
      </c>
      <c r="F5" s="515" t="s">
        <v>2269</v>
      </c>
      <c r="G5" s="485" t="s">
        <v>5914</v>
      </c>
      <c r="H5" s="475" t="s">
        <v>15072</v>
      </c>
      <c r="I5" s="475" t="s">
        <v>17841</v>
      </c>
      <c r="J5" s="541" t="str">
        <f>HYPERLINK("https://www.google.com/maps/search/Po%C3%A7o%20Azul/@37.4872,-8.2331,17z","📍 Poço Azul")</f>
        <v>📍 Poço Azul</v>
      </c>
      <c r="K5" s="541" t="str">
        <f>HYPERLINK("https://maps.google.com/?q=Estacionamento%20Po%C3%A7o%20Azul%20Peneda-Ger%C3%AAs","🅿️ Poço Azul")</f>
        <v>🅿️ Poço Azul</v>
      </c>
    </row>
    <row r="6" spans="1:11" ht="55" customHeight="1" x14ac:dyDescent="0.35">
      <c r="A6" s="496">
        <v>2</v>
      </c>
      <c r="B6" s="506" t="s">
        <v>1469</v>
      </c>
      <c r="C6" s="476" t="s">
        <v>792</v>
      </c>
      <c r="D6" s="476" t="s">
        <v>15071</v>
      </c>
      <c r="E6" s="486" t="s">
        <v>15073</v>
      </c>
      <c r="F6" s="516" t="s">
        <v>2297</v>
      </c>
      <c r="G6" s="486" t="s">
        <v>2595</v>
      </c>
      <c r="H6" s="476" t="s">
        <v>15074</v>
      </c>
      <c r="I6" s="476" t="s">
        <v>17842</v>
      </c>
      <c r="J6" s="542" t="str">
        <f>HYPERLINK("https://www.google.com/maps/search/Cascata%20do%20Arado/@41.7361,-8.1619,17z","📍 Cascata do Arado")</f>
        <v>📍 Cascata do Arado</v>
      </c>
      <c r="K6" s="542" t="str">
        <f>HYPERLINK("https://maps.google.com/?q=Estacionamento%20Cascata%20do%20Arado%20Peneda-Ger%C3%AAs","🅿️ Cascata do Arado")</f>
        <v>🅿️ Cascata do Arado</v>
      </c>
    </row>
    <row r="7" spans="1:11" ht="55" customHeight="1" x14ac:dyDescent="0.35">
      <c r="A7" s="495">
        <v>3</v>
      </c>
      <c r="B7" s="505" t="s">
        <v>15075</v>
      </c>
      <c r="C7" s="475" t="s">
        <v>792</v>
      </c>
      <c r="D7" s="475" t="s">
        <v>15071</v>
      </c>
      <c r="E7" s="485" t="s">
        <v>15076</v>
      </c>
      <c r="F7" s="517" t="s">
        <v>2303</v>
      </c>
      <c r="G7" s="485" t="s">
        <v>2825</v>
      </c>
      <c r="H7" s="475" t="s">
        <v>15077</v>
      </c>
      <c r="I7" s="475" t="s">
        <v>17843</v>
      </c>
      <c r="J7" s="541" t="str">
        <f>HYPERLINK("https://www.google.com/maps/search/Cascata%20Tahiti/@41.7461,-8.2019,17z","📍 Cascata Tahiti")</f>
        <v>📍 Cascata Tahiti</v>
      </c>
      <c r="K7" s="541" t="str">
        <f>HYPERLINK("https://maps.google.com/?q=Estacionamento%20Cascata%20Tahiti%20Peneda-Ger%C3%AAs","🅿️ Cascata Tahiti")</f>
        <v>🅿️ Cascata Tahiti</v>
      </c>
    </row>
    <row r="8" spans="1:11" ht="55" customHeight="1" x14ac:dyDescent="0.35">
      <c r="A8" s="496">
        <v>4</v>
      </c>
      <c r="B8" s="506" t="s">
        <v>15078</v>
      </c>
      <c r="C8" s="476" t="s">
        <v>792</v>
      </c>
      <c r="D8" s="476" t="s">
        <v>15071</v>
      </c>
      <c r="E8" s="486" t="s">
        <v>15079</v>
      </c>
      <c r="F8" s="516" t="s">
        <v>2297</v>
      </c>
      <c r="G8" s="486" t="s">
        <v>2825</v>
      </c>
      <c r="H8" s="476" t="s">
        <v>15080</v>
      </c>
      <c r="I8" s="476" t="s">
        <v>17844</v>
      </c>
      <c r="J8" s="542" t="str">
        <f>HYPERLINK("https://www.google.com/maps/search/Portela%20do%20Homem/@41.7750,-8.1839,17z","📍 Portela do Homem")</f>
        <v>📍 Portela do Homem</v>
      </c>
      <c r="K8" s="542" t="str">
        <f>HYPERLINK("https://maps.google.com/?q=Estacionamento%20Portela%20do%20Homem%20Peneda-Ger%C3%AAs","🅿️ Portela do Homem")</f>
        <v>🅿️ Portela do Homem</v>
      </c>
    </row>
    <row r="9" spans="1:11" ht="55" customHeight="1" x14ac:dyDescent="0.35">
      <c r="A9" s="495">
        <v>5</v>
      </c>
      <c r="B9" s="505" t="s">
        <v>15081</v>
      </c>
      <c r="C9" s="475" t="s">
        <v>792</v>
      </c>
      <c r="D9" s="475" t="s">
        <v>15071</v>
      </c>
      <c r="E9" s="485" t="s">
        <v>15076</v>
      </c>
      <c r="F9" s="517" t="s">
        <v>2303</v>
      </c>
      <c r="G9" s="485" t="s">
        <v>2601</v>
      </c>
      <c r="H9" s="475" t="s">
        <v>15082</v>
      </c>
      <c r="I9" s="475" t="s">
        <v>17845</v>
      </c>
      <c r="J9" s="541" t="str">
        <f>HYPERLINK("https://maps.google.com/?q=Cascata%20Pinc%C3%A3es%20Peneda-Ger%C3%AAs","📍 Cascata Pincães")</f>
        <v>📍 Cascata Pincães</v>
      </c>
      <c r="K9" s="541" t="str">
        <f>HYPERLINK("https://maps.google.com/?q=Estacionamento%20Cascata%20Pinc%C3%A3es%20Peneda-Ger%C3%AAs","🅿️ Cascata Pincães")</f>
        <v>🅿️ Cascata Pincães</v>
      </c>
    </row>
    <row r="10" spans="1:11" ht="55" customHeight="1" x14ac:dyDescent="0.35">
      <c r="A10" s="496">
        <v>6</v>
      </c>
      <c r="B10" s="506" t="s">
        <v>15083</v>
      </c>
      <c r="C10" s="476" t="s">
        <v>792</v>
      </c>
      <c r="D10" s="476" t="s">
        <v>15071</v>
      </c>
      <c r="E10" s="486" t="s">
        <v>15084</v>
      </c>
      <c r="F10" s="518" t="s">
        <v>2269</v>
      </c>
      <c r="G10" s="486" t="s">
        <v>5914</v>
      </c>
      <c r="H10" s="476" t="s">
        <v>15085</v>
      </c>
      <c r="I10" s="476" t="s">
        <v>17846</v>
      </c>
      <c r="J10" s="542" t="str">
        <f>HYPERLINK("https://maps.google.com/?q=7%20Lagoas%20Peneda-Ger%C3%AAs","📍 7 Lagoas")</f>
        <v>📍 7 Lagoas</v>
      </c>
      <c r="K10" s="542" t="str">
        <f>HYPERLINK("https://maps.google.com/?q=Estacionamento%207%20Lagoas%20Peneda-Ger%C3%AAs","🅿️ 7 Lagoas")</f>
        <v>🅿️ 7 Lagoas</v>
      </c>
    </row>
    <row r="11" spans="1:11" ht="55" customHeight="1" x14ac:dyDescent="0.35">
      <c r="A11" s="495">
        <v>7</v>
      </c>
      <c r="B11" s="505" t="s">
        <v>15086</v>
      </c>
      <c r="C11" s="475" t="s">
        <v>792</v>
      </c>
      <c r="D11" s="475" t="s">
        <v>15071</v>
      </c>
      <c r="E11" s="485" t="s">
        <v>15076</v>
      </c>
      <c r="F11" s="517" t="s">
        <v>2303</v>
      </c>
      <c r="G11" s="485" t="s">
        <v>5846</v>
      </c>
      <c r="H11" s="475" t="s">
        <v>15087</v>
      </c>
      <c r="I11" s="475" t="s">
        <v>17847</v>
      </c>
      <c r="J11" s="541" t="str">
        <f>HYPERLINK("https://maps.google.com/?q=Cela%20Cavalos%20Peneda-Ger%C3%AAs","📍 Cela Cavalos")</f>
        <v>📍 Cela Cavalos</v>
      </c>
      <c r="K11" s="541" t="str">
        <f>HYPERLINK("https://maps.google.com/?q=Estacionamento%20Cela%20Cavalos%20Peneda-Ger%C3%AAs","🅿️ Cela Cavalos")</f>
        <v>🅿️ Cela Cavalos</v>
      </c>
    </row>
    <row r="12" spans="1:11" ht="55" customHeight="1" x14ac:dyDescent="0.35">
      <c r="A12" s="496">
        <v>8</v>
      </c>
      <c r="B12" s="506" t="s">
        <v>15088</v>
      </c>
      <c r="C12" s="476" t="s">
        <v>792</v>
      </c>
      <c r="D12" s="476" t="s">
        <v>15071</v>
      </c>
      <c r="E12" s="486" t="s">
        <v>15089</v>
      </c>
      <c r="F12" s="519" t="s">
        <v>2303</v>
      </c>
      <c r="G12" s="486" t="s">
        <v>15090</v>
      </c>
      <c r="H12" s="476" t="s">
        <v>15091</v>
      </c>
      <c r="I12" s="476" t="s">
        <v>17848</v>
      </c>
      <c r="J12" s="542" t="str">
        <f>HYPERLINK("https://maps.google.com/?q=Cascata%20Rajada%20Peneda-Ger%C3%AAs","📍 Cascata Rajada")</f>
        <v>📍 Cascata Rajada</v>
      </c>
      <c r="K12" s="542" t="str">
        <f>HYPERLINK("https://maps.google.com/?q=Estacionamento%20Cascata%20Rajada%20Peneda-Ger%C3%AAs","🅿️ Cascata Rajada")</f>
        <v>🅿️ Cascata Rajada</v>
      </c>
    </row>
    <row r="13" spans="1:11" ht="55" customHeight="1" x14ac:dyDescent="0.35">
      <c r="A13" s="495">
        <v>9</v>
      </c>
      <c r="B13" s="505" t="s">
        <v>15092</v>
      </c>
      <c r="C13" s="475" t="s">
        <v>792</v>
      </c>
      <c r="D13" s="475" t="s">
        <v>3812</v>
      </c>
      <c r="E13" s="485" t="s">
        <v>15093</v>
      </c>
      <c r="F13" s="520" t="s">
        <v>2297</v>
      </c>
      <c r="G13" s="485" t="s">
        <v>15090</v>
      </c>
      <c r="H13" s="475" t="s">
        <v>15094</v>
      </c>
      <c r="I13" s="475" t="s">
        <v>17849</v>
      </c>
      <c r="J13" s="541" t="str">
        <f>HYPERLINK("https://maps.google.com/?q=Cascata%20Pincho%20Minho","📍 Cascata Pincho")</f>
        <v>📍 Cascata Pincho</v>
      </c>
      <c r="K13" s="541" t="str">
        <f>HYPERLINK("https://maps.google.com/?q=Estacionamento%20Cascata%20Pincho%20Minho","🅿️ Cascata Pincho")</f>
        <v>🅿️ Cascata Pincho</v>
      </c>
    </row>
    <row r="14" spans="1:11" ht="55" customHeight="1" x14ac:dyDescent="0.35">
      <c r="A14" s="496">
        <v>10</v>
      </c>
      <c r="B14" s="506" t="s">
        <v>15095</v>
      </c>
      <c r="C14" s="476" t="s">
        <v>792</v>
      </c>
      <c r="D14" s="476" t="s">
        <v>3812</v>
      </c>
      <c r="E14" s="486" t="s">
        <v>3096</v>
      </c>
      <c r="F14" s="516" t="s">
        <v>2297</v>
      </c>
      <c r="G14" s="486" t="s">
        <v>5914</v>
      </c>
      <c r="H14" s="476" t="s">
        <v>15096</v>
      </c>
      <c r="I14" s="476" t="s">
        <v>17850</v>
      </c>
      <c r="J14" s="542" t="str">
        <f>HYPERLINK("https://maps.google.com/?q=Po%C3%A7o%20da%20Gola%20Minho","📍 Poço da Gola")</f>
        <v>📍 Poço da Gola</v>
      </c>
      <c r="K14" s="542" t="str">
        <f>HYPERLINK("https://maps.google.com/?q=Estacionamento%20Po%C3%A7o%20da%20Gola%20Minho","🅿️ Poço da Gola")</f>
        <v>🅿️ Poço da Gola</v>
      </c>
    </row>
    <row r="15" spans="1:11" ht="55" customHeight="1" x14ac:dyDescent="0.35">
      <c r="A15" s="495">
        <v>11</v>
      </c>
      <c r="B15" s="505" t="s">
        <v>15138</v>
      </c>
      <c r="C15" s="475" t="s">
        <v>792</v>
      </c>
      <c r="D15" s="475" t="s">
        <v>15071</v>
      </c>
      <c r="E15" s="485" t="s">
        <v>3096</v>
      </c>
      <c r="F15" s="517" t="s">
        <v>2303</v>
      </c>
      <c r="G15" s="485" t="s">
        <v>5914</v>
      </c>
      <c r="H15" s="475" t="s">
        <v>15087</v>
      </c>
      <c r="I15" s="475" t="s">
        <v>17851</v>
      </c>
      <c r="J15" s="541" t="str">
        <f>HYPERLINK("https://maps.google.com/?q=Po%C3%A7o%20Verde%20%28Fafi%C3%A3o%29%20Peneda-Ger%C3%AAs","📍 Poço Verde (Fafião)")</f>
        <v>📍 Poço Verde (Fafião)</v>
      </c>
      <c r="K15" s="541" t="str">
        <f>HYPERLINK("https://maps.google.com/?q=Estacionamento%20Po%C3%A7o%20Verde%20%28Fafi%C3%A3o%29%20Peneda-Ger%C3%AAs","🅿️ Poço Verde (Fafião)")</f>
        <v>🅿️ Poço Verde (Fafião)</v>
      </c>
    </row>
    <row r="16" spans="1:11" ht="55" customHeight="1" x14ac:dyDescent="0.35">
      <c r="A16" s="496">
        <v>12</v>
      </c>
      <c r="B16" s="506" t="s">
        <v>6334</v>
      </c>
      <c r="C16" s="476" t="s">
        <v>792</v>
      </c>
      <c r="D16" s="476" t="s">
        <v>3812</v>
      </c>
      <c r="E16" s="486" t="s">
        <v>3096</v>
      </c>
      <c r="F16" s="516" t="s">
        <v>2297</v>
      </c>
      <c r="G16" s="486" t="s">
        <v>15090</v>
      </c>
      <c r="H16" s="476" t="s">
        <v>15139</v>
      </c>
      <c r="I16" s="476" t="s">
        <v>17852</v>
      </c>
      <c r="J16" s="542" t="str">
        <f>HYPERLINK("https://maps.google.com/?q=Lagoas%20de%20Bertiandos%20Minho","📍 Lagoas de Bertiandos")</f>
        <v>📍 Lagoas de Bertiandos</v>
      </c>
      <c r="K16" s="542" t="str">
        <f>HYPERLINK("https://maps.google.com/?q=Estacionamento%20Lagoas%20de%20Bertiandos%20Minho","🅿️ Lagoas de Bertiandos")</f>
        <v>🅿️ Lagoas de Bertiandos</v>
      </c>
    </row>
    <row r="17" spans="1:11" ht="55" customHeight="1" x14ac:dyDescent="0.35">
      <c r="A17" s="495">
        <v>13</v>
      </c>
      <c r="B17" s="505" t="s">
        <v>15140</v>
      </c>
      <c r="C17" s="475" t="s">
        <v>792</v>
      </c>
      <c r="D17" s="475" t="s">
        <v>15071</v>
      </c>
      <c r="E17" s="485" t="s">
        <v>15141</v>
      </c>
      <c r="F17" s="520" t="s">
        <v>2297</v>
      </c>
      <c r="G17" s="485" t="s">
        <v>15117</v>
      </c>
      <c r="H17" s="475" t="s">
        <v>15142</v>
      </c>
      <c r="I17" s="475" t="s">
        <v>17853</v>
      </c>
      <c r="J17" s="541" t="str">
        <f>HYPERLINK("https://www.google.com/maps/search/Cascata%20de%20Leonte/@41.7300,-8.1700,17z","📍 Cascata de Leonte")</f>
        <v>📍 Cascata de Leonte</v>
      </c>
      <c r="K17" s="541" t="str">
        <f>HYPERLINK("https://maps.google.com/?q=Estacionamento%20Cascata%20de%20Leonte%20Peneda-Ger%C3%AAs","🅿️ Cascata de Leonte")</f>
        <v>🅿️ Cascata de Leonte</v>
      </c>
    </row>
    <row r="18" spans="1:11" ht="55" customHeight="1" x14ac:dyDescent="0.35">
      <c r="A18" s="496">
        <v>14</v>
      </c>
      <c r="B18" s="506" t="s">
        <v>15143</v>
      </c>
      <c r="C18" s="476" t="s">
        <v>792</v>
      </c>
      <c r="D18" s="476" t="s">
        <v>3812</v>
      </c>
      <c r="E18" s="486" t="s">
        <v>3096</v>
      </c>
      <c r="F18" s="516" t="s">
        <v>2297</v>
      </c>
      <c r="G18" s="486" t="s">
        <v>5914</v>
      </c>
      <c r="H18" s="476" t="s">
        <v>15096</v>
      </c>
      <c r="I18" s="476" t="s">
        <v>17854</v>
      </c>
      <c r="J18" s="542" t="str">
        <f>HYPERLINK("https://maps.google.com/?q=Po%C3%A7o%20das%20Malheiras%20Minho","📍 Poço das Malheiras")</f>
        <v>📍 Poço das Malheiras</v>
      </c>
      <c r="K18" s="542" t="str">
        <f>HYPERLINK("https://maps.google.com/?q=Estacionamento%20Po%C3%A7o%20das%20Malheiras%20Minho","🅿️ Poço das Malheiras")</f>
        <v>🅿️ Poço das Malheiras</v>
      </c>
    </row>
    <row r="19" spans="1:11" ht="55" customHeight="1" x14ac:dyDescent="0.35">
      <c r="A19" s="495">
        <v>15</v>
      </c>
      <c r="B19" s="505" t="s">
        <v>15144</v>
      </c>
      <c r="C19" s="475" t="s">
        <v>792</v>
      </c>
      <c r="D19" s="475" t="s">
        <v>3812</v>
      </c>
      <c r="E19" s="485" t="s">
        <v>15093</v>
      </c>
      <c r="F19" s="517" t="s">
        <v>2303</v>
      </c>
      <c r="G19" s="485" t="s">
        <v>15090</v>
      </c>
      <c r="H19" s="475" t="s">
        <v>15145</v>
      </c>
      <c r="I19" s="475" t="s">
        <v>17855</v>
      </c>
      <c r="J19" s="541" t="str">
        <f>HYPERLINK("https://maps.google.com/?q=Cascata%20de%20Galegos%20Minho","📍 Cascata de Galegos")</f>
        <v>📍 Cascata de Galegos</v>
      </c>
      <c r="K19" s="541" t="str">
        <f>HYPERLINK("https://maps.google.com/?q=Estacionamento%20Cascata%20de%20Galegos%20Minho","🅿️ Cascata de Galegos")</f>
        <v>🅿️ Cascata de Galegos</v>
      </c>
    </row>
    <row r="20" spans="1:11" ht="55" customHeight="1" x14ac:dyDescent="0.35">
      <c r="A20" s="496">
        <v>16</v>
      </c>
      <c r="B20" s="506" t="s">
        <v>15146</v>
      </c>
      <c r="C20" s="476" t="s">
        <v>792</v>
      </c>
      <c r="D20" s="476" t="s">
        <v>791</v>
      </c>
      <c r="E20" s="486" t="s">
        <v>15089</v>
      </c>
      <c r="F20" s="519" t="s">
        <v>2303</v>
      </c>
      <c r="G20" s="486" t="s">
        <v>2611</v>
      </c>
      <c r="H20" s="476" t="s">
        <v>15147</v>
      </c>
      <c r="I20" s="476" t="s">
        <v>17856</v>
      </c>
      <c r="J20" s="542" t="str">
        <f>HYPERLINK("https://maps.google.com/?q=Cascata%20da%20Candosa%20Douro","📍 Cascata da Candosa")</f>
        <v>📍 Cascata da Candosa</v>
      </c>
      <c r="K20" s="542" t="str">
        <f>HYPERLINK("https://maps.google.com/?q=Estacionamento%20Cascata%20da%20Candosa%20Douro","🅿️ Cascata da Candosa")</f>
        <v>🅿️ Cascata da Candosa</v>
      </c>
    </row>
    <row r="21" spans="1:11" ht="55" customHeight="1" x14ac:dyDescent="0.35">
      <c r="A21" s="495">
        <v>17</v>
      </c>
      <c r="B21" s="505" t="s">
        <v>15148</v>
      </c>
      <c r="C21" s="475" t="s">
        <v>792</v>
      </c>
      <c r="D21" s="475" t="s">
        <v>15071</v>
      </c>
      <c r="E21" s="485" t="s">
        <v>3096</v>
      </c>
      <c r="F21" s="515" t="s">
        <v>2269</v>
      </c>
      <c r="G21" s="485" t="s">
        <v>5914</v>
      </c>
      <c r="H21" s="475" t="s">
        <v>15149</v>
      </c>
      <c r="I21" s="475" t="s">
        <v>17857</v>
      </c>
      <c r="J21" s="541" t="str">
        <f>HYPERLINK("https://maps.google.com/?q=Po%C3%A7o%20do%20Bento%20Peneda-Ger%C3%AAs","📍 Poço do Bento")</f>
        <v>📍 Poço do Bento</v>
      </c>
      <c r="K21" s="541" t="str">
        <f>HYPERLINK("https://maps.google.com/?q=Estacionamento%20Po%C3%A7o%20do%20Bento%20Peneda-Ger%C3%AAs","🅿️ Poço do Bento")</f>
        <v>🅿️ Poço do Bento</v>
      </c>
    </row>
    <row r="22" spans="1:11" ht="55" customHeight="1" x14ac:dyDescent="0.35">
      <c r="A22" s="496">
        <v>18</v>
      </c>
      <c r="B22" s="506" t="s">
        <v>15150</v>
      </c>
      <c r="C22" s="476" t="s">
        <v>792</v>
      </c>
      <c r="D22" s="476" t="s">
        <v>15071</v>
      </c>
      <c r="E22" s="486" t="s">
        <v>15076</v>
      </c>
      <c r="F22" s="516" t="s">
        <v>2297</v>
      </c>
      <c r="G22" s="486" t="s">
        <v>2595</v>
      </c>
      <c r="H22" s="476" t="s">
        <v>15151</v>
      </c>
      <c r="I22" s="476" t="s">
        <v>17858</v>
      </c>
      <c r="J22" s="542" t="str">
        <f>HYPERLINK("https://maps.google.com/?q=Cascata%20de%20Laboreiro%20Peneda-Ger%C3%AAs","📍 Cascata de Laboreiro")</f>
        <v>📍 Cascata de Laboreiro</v>
      </c>
      <c r="K22" s="542" t="str">
        <f>HYPERLINK("https://maps.google.com/?q=Estacionamento%20Cascata%20de%20Laboreiro%20Peneda-Ger%C3%AAs","🅿️ Cascata de Laboreiro")</f>
        <v>🅿️ Cascata de Laboreiro</v>
      </c>
    </row>
    <row r="23" spans="1:11" ht="55" customHeight="1" x14ac:dyDescent="0.35">
      <c r="A23" s="495">
        <v>19</v>
      </c>
      <c r="B23" s="505" t="s">
        <v>15152</v>
      </c>
      <c r="C23" s="475" t="s">
        <v>792</v>
      </c>
      <c r="D23" s="475" t="s">
        <v>15071</v>
      </c>
      <c r="E23" s="485" t="s">
        <v>15108</v>
      </c>
      <c r="F23" s="517" t="s">
        <v>2303</v>
      </c>
      <c r="G23" s="485" t="s">
        <v>15117</v>
      </c>
      <c r="H23" s="475" t="s">
        <v>15153</v>
      </c>
      <c r="I23" s="475" t="s">
        <v>17859</v>
      </c>
      <c r="J23" s="541" t="str">
        <f>HYPERLINK("https://maps.google.com/?q=Fecha%20de%20Malho%20Peneda-Ger%C3%AAs","📍 Fecha de Malho")</f>
        <v>📍 Fecha de Malho</v>
      </c>
      <c r="K23" s="541" t="str">
        <f>HYPERLINK("https://maps.google.com/?q=Estacionamento%20Fecha%20de%20Malho%20Peneda-Ger%C3%AAs","🅿️ Fecha de Malho")</f>
        <v>🅿️ Fecha de Malho</v>
      </c>
    </row>
    <row r="24" spans="1:11" ht="55" customHeight="1" x14ac:dyDescent="0.35">
      <c r="A24" s="496">
        <v>20</v>
      </c>
      <c r="B24" s="506" t="s">
        <v>15154</v>
      </c>
      <c r="C24" s="476" t="s">
        <v>792</v>
      </c>
      <c r="D24" s="476" t="s">
        <v>15071</v>
      </c>
      <c r="E24" s="486" t="s">
        <v>15079</v>
      </c>
      <c r="F24" s="519" t="s">
        <v>2303</v>
      </c>
      <c r="G24" s="486" t="s">
        <v>15090</v>
      </c>
      <c r="H24" s="476" t="s">
        <v>15155</v>
      </c>
      <c r="I24" s="476" t="s">
        <v>17860</v>
      </c>
      <c r="J24" s="542" t="str">
        <f>HYPERLINK("https://maps.google.com/?q=Cascata%20da%20Gravia%20Peneda-Ger%C3%AAs","📍 Cascata da Gravia")</f>
        <v>📍 Cascata da Gravia</v>
      </c>
      <c r="K24" s="542" t="str">
        <f>HYPERLINK("https://maps.google.com/?q=Estacionamento%20Cascata%20da%20Gravia%20Peneda-Ger%C3%AAs","🅿️ Cascata da Gravia")</f>
        <v>🅿️ Cascata da Gravia</v>
      </c>
    </row>
    <row r="25" spans="1:11" ht="55" customHeight="1" x14ac:dyDescent="0.35">
      <c r="A25" s="495">
        <v>21</v>
      </c>
      <c r="B25" s="505" t="s">
        <v>15156</v>
      </c>
      <c r="C25" s="475" t="s">
        <v>792</v>
      </c>
      <c r="D25" s="475" t="s">
        <v>15071</v>
      </c>
      <c r="E25" s="485" t="s">
        <v>3096</v>
      </c>
      <c r="F25" s="520" t="s">
        <v>2297</v>
      </c>
      <c r="G25" s="485" t="s">
        <v>5914</v>
      </c>
      <c r="H25" s="475" t="s">
        <v>15157</v>
      </c>
      <c r="I25" s="475" t="s">
        <v>17861</v>
      </c>
      <c r="J25" s="541" t="str">
        <f>HYPERLINK("https://maps.google.com/?q=Po%C3%A7o%20Negro%20%28Soajo%29%20Peneda-Ger%C3%AAs","📍 Poço Negro (Soajo)")</f>
        <v>📍 Poço Negro (Soajo)</v>
      </c>
      <c r="K25" s="541" t="str">
        <f>HYPERLINK("https://maps.google.com/?q=Estacionamento%20Po%C3%A7o%20Negro%20%28Soajo%29%20Peneda-Ger%C3%AAs","🅿️ Poço Negro (Soajo)")</f>
        <v>🅿️ Poço Negro (Soajo)</v>
      </c>
    </row>
    <row r="26" spans="1:11" ht="55" customHeight="1" x14ac:dyDescent="0.35">
      <c r="A26" s="496">
        <v>22</v>
      </c>
      <c r="B26" s="506" t="s">
        <v>15158</v>
      </c>
      <c r="C26" s="476" t="s">
        <v>792</v>
      </c>
      <c r="D26" s="476" t="s">
        <v>15071</v>
      </c>
      <c r="E26" s="486" t="s">
        <v>15093</v>
      </c>
      <c r="F26" s="516" t="s">
        <v>2297</v>
      </c>
      <c r="G26" s="486" t="s">
        <v>15090</v>
      </c>
      <c r="H26" s="476" t="s">
        <v>15096</v>
      </c>
      <c r="I26" s="476" t="s">
        <v>17862</v>
      </c>
      <c r="J26" s="542" t="str">
        <f>HYPERLINK("https://maps.google.com/?q=Cascata%20da%20Laja%20Peneda-Ger%C3%AAs","📍 Cascata da Laja")</f>
        <v>📍 Cascata da Laja</v>
      </c>
      <c r="K26" s="542" t="str">
        <f>HYPERLINK("https://maps.google.com/?q=Estacionamento%20Cascata%20da%20Laja%20Peneda-Ger%C3%AAs","🅿️ Cascata da Laja")</f>
        <v>🅿️ Cascata da Laja</v>
      </c>
    </row>
    <row r="27" spans="1:11" ht="55" customHeight="1" x14ac:dyDescent="0.35">
      <c r="A27" s="495">
        <v>23</v>
      </c>
      <c r="B27" s="505" t="s">
        <v>15159</v>
      </c>
      <c r="C27" s="475" t="s">
        <v>792</v>
      </c>
      <c r="D27" s="475" t="s">
        <v>15071</v>
      </c>
      <c r="E27" s="485" t="s">
        <v>3096</v>
      </c>
      <c r="F27" s="515" t="s">
        <v>2269</v>
      </c>
      <c r="G27" s="485" t="s">
        <v>5914</v>
      </c>
      <c r="H27" s="475" t="s">
        <v>15160</v>
      </c>
      <c r="I27" s="475" t="s">
        <v>17863</v>
      </c>
      <c r="J27" s="541" t="str">
        <f>HYPERLINK("https://maps.google.com/?q=Lagoa%20dos%20Druidas%20Peneda-Ger%C3%AAs","📍 Lagoa dos Druidas")</f>
        <v>📍 Lagoa dos Druidas</v>
      </c>
      <c r="K27" s="541" t="str">
        <f>HYPERLINK("https://maps.google.com/?q=Estacionamento%20Lagoa%20dos%20Druidas%20Peneda-Ger%C3%AAs","🅿️ Lagoa dos Druidas")</f>
        <v>🅿️ Lagoa dos Druidas</v>
      </c>
    </row>
    <row r="28" spans="1:11" ht="55" customHeight="1" x14ac:dyDescent="0.35">
      <c r="A28" s="496">
        <v>24</v>
      </c>
      <c r="B28" s="506" t="s">
        <v>15161</v>
      </c>
      <c r="C28" s="476" t="s">
        <v>792</v>
      </c>
      <c r="D28" s="476" t="s">
        <v>791</v>
      </c>
      <c r="E28" s="486" t="s">
        <v>15162</v>
      </c>
      <c r="F28" s="516" t="s">
        <v>15163</v>
      </c>
      <c r="G28" s="486" t="s">
        <v>2595</v>
      </c>
      <c r="H28" s="476" t="s">
        <v>15164</v>
      </c>
      <c r="I28" s="476" t="s">
        <v>17864</v>
      </c>
      <c r="J28" s="542" t="str">
        <f>HYPERLINK("https://maps.google.com/?q=Cascata%20de%20Fisgas%20Ermelo%20Douro","📍 Cascata de Fisgas Ermelo")</f>
        <v>📍 Cascata de Fisgas Ermelo</v>
      </c>
      <c r="K28" s="542" t="str">
        <f>HYPERLINK("https://maps.google.com/?q=Estacionamento%20Cascata%20de%20Fisgas%20Ermelo%20Douro","🅿️ Cascata de Fisgas Ermelo")</f>
        <v>🅿️ Cascata de Fisgas Ermelo</v>
      </c>
    </row>
    <row r="29" spans="1:11" ht="55" customHeight="1" x14ac:dyDescent="0.35">
      <c r="A29" s="495">
        <v>25</v>
      </c>
      <c r="B29" s="505" t="s">
        <v>15165</v>
      </c>
      <c r="C29" s="475" t="s">
        <v>792</v>
      </c>
      <c r="D29" s="475" t="s">
        <v>15071</v>
      </c>
      <c r="E29" s="485" t="s">
        <v>3096</v>
      </c>
      <c r="F29" s="517" t="s">
        <v>2303</v>
      </c>
      <c r="G29" s="485" t="s">
        <v>5914</v>
      </c>
      <c r="H29" s="475" t="s">
        <v>8309</v>
      </c>
      <c r="I29" s="475" t="s">
        <v>17865</v>
      </c>
      <c r="J29" s="541" t="str">
        <f>HYPERLINK("https://maps.google.com/?q=Po%C3%A7o%20da%20Barjas%20Peneda-Ger%C3%AAs","📍 Poço da Barjas")</f>
        <v>📍 Poço da Barjas</v>
      </c>
      <c r="K29" s="541" t="str">
        <f>HYPERLINK("https://maps.google.com/?q=Estacionamento%20Po%C3%A7o%20da%20Barjas%20Peneda-Ger%C3%AAs","🅿️ Poço da Barjas")</f>
        <v>🅿️ Poço da Barjas</v>
      </c>
    </row>
    <row r="30" spans="1:11" ht="55" customHeight="1" x14ac:dyDescent="0.35">
      <c r="A30" s="496">
        <v>26</v>
      </c>
      <c r="B30" s="506" t="s">
        <v>15166</v>
      </c>
      <c r="C30" s="476" t="s">
        <v>792</v>
      </c>
      <c r="D30" s="476" t="s">
        <v>2365</v>
      </c>
      <c r="E30" s="486" t="s">
        <v>15167</v>
      </c>
      <c r="F30" s="516" t="s">
        <v>2297</v>
      </c>
      <c r="G30" s="486" t="s">
        <v>2595</v>
      </c>
      <c r="H30" s="476" t="s">
        <v>1976</v>
      </c>
      <c r="I30" s="476" t="s">
        <v>17866</v>
      </c>
      <c r="J30" s="542" t="str">
        <f>HYPERLINK("https://maps.google.com/?q=Cascata%20de%20Pit%C3%B5es%20Tr%C3%A1s-os-Montes","📍 Cascata de Pitões")</f>
        <v>📍 Cascata de Pitões</v>
      </c>
      <c r="K30" s="542" t="str">
        <f>HYPERLINK("https://maps.google.com/?q=Estacionamento%20Cascata%20de%20Pit%C3%B5es%20Tr%C3%A1s-os-Montes","🅿️ Cascata de Pitões")</f>
        <v>🅿️ Cascata de Pitões</v>
      </c>
    </row>
    <row r="31" spans="1:11" ht="55" customHeight="1" x14ac:dyDescent="0.35">
      <c r="A31" s="495">
        <v>27</v>
      </c>
      <c r="B31" s="505" t="s">
        <v>15168</v>
      </c>
      <c r="C31" s="475" t="s">
        <v>792</v>
      </c>
      <c r="D31" s="475" t="s">
        <v>15071</v>
      </c>
      <c r="E31" s="485" t="s">
        <v>3096</v>
      </c>
      <c r="F31" s="517" t="s">
        <v>2303</v>
      </c>
      <c r="G31" s="485" t="s">
        <v>5914</v>
      </c>
      <c r="H31" s="475" t="s">
        <v>15169</v>
      </c>
      <c r="I31" s="475" t="s">
        <v>17867</v>
      </c>
      <c r="J31" s="541" t="str">
        <f>HYPERLINK("https://maps.google.com/?q=Po%C3%A7o%20do%20Teixo%20Peneda-Ger%C3%AAs","📍 Poço do Teixo")</f>
        <v>📍 Poço do Teixo</v>
      </c>
      <c r="K31" s="541" t="str">
        <f>HYPERLINK("https://maps.google.com/?q=Estacionamento%20Po%C3%A7o%20do%20Teixo%20Peneda-Ger%C3%AAs","🅿️ Poço do Teixo")</f>
        <v>🅿️ Poço do Teixo</v>
      </c>
    </row>
    <row r="32" spans="1:11" ht="55" customHeight="1" x14ac:dyDescent="0.35">
      <c r="A32" s="496">
        <v>28</v>
      </c>
      <c r="B32" s="506" t="s">
        <v>15170</v>
      </c>
      <c r="C32" s="476" t="s">
        <v>792</v>
      </c>
      <c r="D32" s="476" t="s">
        <v>15071</v>
      </c>
      <c r="E32" s="486" t="s">
        <v>15089</v>
      </c>
      <c r="F32" s="519" t="s">
        <v>2303</v>
      </c>
      <c r="G32" s="486" t="s">
        <v>15090</v>
      </c>
      <c r="H32" s="476" t="s">
        <v>15171</v>
      </c>
      <c r="I32" s="476" t="s">
        <v>17868</v>
      </c>
      <c r="J32" s="542" t="str">
        <f>HYPERLINK("https://maps.google.com/?q=Cascata%20de%20Vilari%C3%B1o%20Peneda-Ger%C3%AAs","📍 Cascata de Vilariño")</f>
        <v>📍 Cascata de Vilariño</v>
      </c>
      <c r="K32" s="542" t="str">
        <f>HYPERLINK("https://maps.google.com/?q=Estacionamento%20Cascata%20de%20Vilari%C3%B1o%20Peneda-Ger%C3%AAs","🅿️ Cascata de Vilariño")</f>
        <v>🅿️ Cascata de Vilariño</v>
      </c>
    </row>
    <row r="33" spans="1:11" ht="55" customHeight="1" x14ac:dyDescent="0.35">
      <c r="A33" s="495">
        <v>29</v>
      </c>
      <c r="B33" s="505" t="s">
        <v>15172</v>
      </c>
      <c r="C33" s="475" t="s">
        <v>792</v>
      </c>
      <c r="D33" s="475" t="s">
        <v>3812</v>
      </c>
      <c r="E33" s="485" t="s">
        <v>3096</v>
      </c>
      <c r="F33" s="520" t="s">
        <v>2297</v>
      </c>
      <c r="G33" s="485" t="s">
        <v>5914</v>
      </c>
      <c r="H33" s="475" t="s">
        <v>1911</v>
      </c>
      <c r="I33" s="475" t="s">
        <v>17869</v>
      </c>
      <c r="J33" s="541" t="str">
        <f>HYPERLINK("https://maps.google.com/?q=Po%C3%A7o%20das%20Caldeiras%20Minho","📍 Poço das Caldeiras")</f>
        <v>📍 Poço das Caldeiras</v>
      </c>
      <c r="K33" s="541" t="str">
        <f>HYPERLINK("https://maps.google.com/?q=Estacionamento%20Po%C3%A7o%20das%20Caldeiras%20Minho","🅿️ Poço das Caldeiras")</f>
        <v>🅿️ Poço das Caldeiras</v>
      </c>
    </row>
    <row r="34" spans="1:11" ht="55" customHeight="1" x14ac:dyDescent="0.35">
      <c r="A34" s="496">
        <v>30</v>
      </c>
      <c r="B34" s="506" t="s">
        <v>15173</v>
      </c>
      <c r="C34" s="476" t="s">
        <v>792</v>
      </c>
      <c r="D34" s="476" t="s">
        <v>791</v>
      </c>
      <c r="E34" s="486" t="s">
        <v>15076</v>
      </c>
      <c r="F34" s="516" t="s">
        <v>2297</v>
      </c>
      <c r="G34" s="486" t="s">
        <v>15090</v>
      </c>
      <c r="H34" s="476" t="s">
        <v>6251</v>
      </c>
      <c r="I34" s="476" t="s">
        <v>17870</v>
      </c>
      <c r="J34" s="542" t="str">
        <f>HYPERLINK("https://maps.google.com/?q=Cascata%20da%20Ferven%C3%A7a%20Douro","📍 Cascata da Fervença")</f>
        <v>📍 Cascata da Fervença</v>
      </c>
      <c r="K34" s="542" t="str">
        <f>HYPERLINK("https://maps.google.com/?q=Estacionamento%20Cascata%20da%20Ferven%C3%A7a%20Douro","🅿️ Cascata da Fervença")</f>
        <v>🅿️ Cascata da Fervença</v>
      </c>
    </row>
    <row r="35" spans="1:11" ht="26" customHeight="1" x14ac:dyDescent="0.35">
      <c r="A35" s="1562" t="s">
        <v>17871</v>
      </c>
      <c r="B35" s="1563"/>
      <c r="C35" s="1564"/>
      <c r="D35" s="1564"/>
      <c r="E35" s="1565"/>
      <c r="F35" s="1565"/>
      <c r="G35" s="1565"/>
      <c r="H35" s="1564"/>
      <c r="I35" s="1564"/>
      <c r="J35" s="1564"/>
      <c r="K35" s="1564"/>
    </row>
    <row r="36" spans="1:11" ht="55" customHeight="1" x14ac:dyDescent="0.35">
      <c r="A36" s="497">
        <v>1</v>
      </c>
      <c r="B36" s="507" t="s">
        <v>15097</v>
      </c>
      <c r="C36" s="477" t="s">
        <v>836</v>
      </c>
      <c r="D36" s="477" t="s">
        <v>15098</v>
      </c>
      <c r="E36" s="487" t="s">
        <v>15099</v>
      </c>
      <c r="F36" s="521" t="s">
        <v>2297</v>
      </c>
      <c r="G36" s="487" t="s">
        <v>2611</v>
      </c>
      <c r="H36" s="477" t="s">
        <v>15100</v>
      </c>
      <c r="I36" s="477" t="s">
        <v>17872</v>
      </c>
      <c r="J36" s="543" t="str">
        <f>HYPERLINK("https://maps.google.com/?q=Mizarela%20Serra%20do%20A%C3%A7or","📍 Mizarela")</f>
        <v>📍 Mizarela</v>
      </c>
      <c r="K36" s="543" t="str">
        <f>HYPERLINK("https://maps.google.com/?q=Estacionamento%20Mizarela%20Serra%20do%20A%C3%A7or","🅿️ Mizarela")</f>
        <v>🅿️ Mizarela</v>
      </c>
    </row>
    <row r="37" spans="1:11" ht="55" customHeight="1" x14ac:dyDescent="0.35">
      <c r="A37" s="498">
        <v>2</v>
      </c>
      <c r="B37" s="508" t="s">
        <v>15101</v>
      </c>
      <c r="C37" s="478" t="s">
        <v>836</v>
      </c>
      <c r="D37" s="478" t="s">
        <v>2452</v>
      </c>
      <c r="E37" s="488" t="s">
        <v>15093</v>
      </c>
      <c r="F37" s="522" t="s">
        <v>2297</v>
      </c>
      <c r="G37" s="488" t="s">
        <v>15102</v>
      </c>
      <c r="H37" s="478" t="s">
        <v>15103</v>
      </c>
      <c r="I37" s="478" t="s">
        <v>17873</v>
      </c>
      <c r="J37" s="544" t="str">
        <f>HYPERLINK("https://www.google.com/maps/search/Po%C3%A7o%20do%20Inferno/@40.3708,-7.5419,17z","📍 Poço do Inferno")</f>
        <v>📍 Poço do Inferno</v>
      </c>
      <c r="K37" s="544" t="str">
        <f>HYPERLINK("https://maps.google.com/?q=Estacionamento%20Po%C3%A7o%20do%20Inferno%20Serra%20da%20Estrela","🅿️ Poço do Inferno")</f>
        <v>🅿️ Poço do Inferno</v>
      </c>
    </row>
    <row r="38" spans="1:11" ht="55" customHeight="1" x14ac:dyDescent="0.35">
      <c r="A38" s="497">
        <v>3</v>
      </c>
      <c r="B38" s="507" t="s">
        <v>15104</v>
      </c>
      <c r="C38" s="477" t="s">
        <v>836</v>
      </c>
      <c r="D38" s="477" t="s">
        <v>5487</v>
      </c>
      <c r="E38" s="487" t="s">
        <v>15089</v>
      </c>
      <c r="F38" s="521" t="s">
        <v>2297</v>
      </c>
      <c r="G38" s="487" t="s">
        <v>5914</v>
      </c>
      <c r="H38" s="477" t="s">
        <v>15105</v>
      </c>
      <c r="I38" s="477" t="s">
        <v>17874</v>
      </c>
      <c r="J38" s="543" t="str">
        <f>HYPERLINK("https://maps.google.com/?q=Fragas%20de%20S.%20Sim%C3%A3o%20Serra%20da%20Lous%C3%A3","📍 Fragas de S. Simão")</f>
        <v>📍 Fragas de S. Simão</v>
      </c>
      <c r="K38" s="543" t="str">
        <f>HYPERLINK("https://maps.google.com/?q=Estacionamento%20Fragas%20de%20S.%20Sim%C3%A3o%20Serra%20da%20Lous%C3%A3","🅿️ Fragas de S. Simão")</f>
        <v>🅿️ Fragas de S. Simão</v>
      </c>
    </row>
    <row r="39" spans="1:11" ht="55" customHeight="1" x14ac:dyDescent="0.35">
      <c r="A39" s="498">
        <v>4</v>
      </c>
      <c r="B39" s="508" t="s">
        <v>15106</v>
      </c>
      <c r="C39" s="478" t="s">
        <v>836</v>
      </c>
      <c r="D39" s="478" t="s">
        <v>15107</v>
      </c>
      <c r="E39" s="488" t="s">
        <v>15108</v>
      </c>
      <c r="F39" s="522" t="s">
        <v>2297</v>
      </c>
      <c r="G39" s="488" t="s">
        <v>15090</v>
      </c>
      <c r="H39" s="478" t="s">
        <v>1342</v>
      </c>
      <c r="I39" s="478" t="s">
        <v>17875</v>
      </c>
      <c r="J39" s="544" t="str">
        <f>HYPERLINK("https://maps.google.com/?q=Cascata%20Cabreia%20Serra%20de%20Caramulo","📍 Cascata Cabreia")</f>
        <v>📍 Cascata Cabreia</v>
      </c>
      <c r="K39" s="544" t="str">
        <f>HYPERLINK("https://maps.google.com/?q=Estacionamento%20Cascata%20Cabreia%20Serra%20de%20Caramulo","🅿️ Cascata Cabreia")</f>
        <v>🅿️ Cascata Cabreia</v>
      </c>
    </row>
    <row r="40" spans="1:11" ht="55" customHeight="1" x14ac:dyDescent="0.35">
      <c r="A40" s="497">
        <v>5</v>
      </c>
      <c r="B40" s="507" t="s">
        <v>6580</v>
      </c>
      <c r="C40" s="477" t="s">
        <v>836</v>
      </c>
      <c r="D40" s="477" t="s">
        <v>15109</v>
      </c>
      <c r="E40" s="487" t="s">
        <v>15079</v>
      </c>
      <c r="F40" s="521" t="s">
        <v>2297</v>
      </c>
      <c r="G40" s="487" t="s">
        <v>5914</v>
      </c>
      <c r="H40" s="477" t="s">
        <v>15096</v>
      </c>
      <c r="I40" s="477" t="s">
        <v>17876</v>
      </c>
      <c r="J40" s="543" t="str">
        <f>HYPERLINK("https://maps.google.com/?q=Penedo%20Furado%20Tejo","📍 Penedo Furado")</f>
        <v>📍 Penedo Furado</v>
      </c>
      <c r="K40" s="543" t="str">
        <f>HYPERLINK("https://maps.google.com/?q=Estacionamento%20Penedo%20Furado%20Tejo","🅿️ Penedo Furado")</f>
        <v>🅿️ Penedo Furado</v>
      </c>
    </row>
    <row r="41" spans="1:11" ht="55" customHeight="1" x14ac:dyDescent="0.35">
      <c r="A41" s="498">
        <v>6</v>
      </c>
      <c r="B41" s="508" t="s">
        <v>15110</v>
      </c>
      <c r="C41" s="478" t="s">
        <v>836</v>
      </c>
      <c r="D41" s="478" t="s">
        <v>2452</v>
      </c>
      <c r="E41" s="488" t="s">
        <v>15111</v>
      </c>
      <c r="F41" s="522" t="s">
        <v>2297</v>
      </c>
      <c r="G41" s="488" t="s">
        <v>2595</v>
      </c>
      <c r="H41" s="478" t="s">
        <v>15112</v>
      </c>
      <c r="I41" s="478" t="s">
        <v>17877</v>
      </c>
      <c r="J41" s="544" t="str">
        <f>HYPERLINK("https://maps.google.com/?q=Po%C3%A7o%20da%20Broca%20Serra%20da%20Estrela","📍 Poço da Broca")</f>
        <v>📍 Poço da Broca</v>
      </c>
      <c r="K41" s="544" t="str">
        <f>HYPERLINK("https://maps.google.com/?q=Estacionamento%20Po%C3%A7o%20da%20Broca%20Serra%20da%20Estrela","🅿️ Poço da Broca")</f>
        <v>🅿️ Poço da Broca</v>
      </c>
    </row>
    <row r="42" spans="1:11" ht="55" customHeight="1" x14ac:dyDescent="0.35">
      <c r="A42" s="497">
        <v>7</v>
      </c>
      <c r="B42" s="507" t="s">
        <v>15113</v>
      </c>
      <c r="C42" s="477" t="s">
        <v>836</v>
      </c>
      <c r="D42" s="477" t="s">
        <v>2452</v>
      </c>
      <c r="E42" s="487" t="s">
        <v>3096</v>
      </c>
      <c r="F42" s="521" t="s">
        <v>2297</v>
      </c>
      <c r="G42" s="487" t="s">
        <v>5914</v>
      </c>
      <c r="H42" s="477" t="s">
        <v>15114</v>
      </c>
      <c r="I42" s="477" t="s">
        <v>17878</v>
      </c>
      <c r="J42" s="543" t="str">
        <f>HYPERLINK("https://maps.google.com/?q=Po%C3%A7o%20Monteira%20Serra%20da%20Estrela","📍 Poço Monteira")</f>
        <v>📍 Poço Monteira</v>
      </c>
      <c r="K42" s="543" t="str">
        <f>HYPERLINK("https://maps.google.com/?q=Estacionamento%20Po%C3%A7o%20Monteira%20Serra%20da%20Estrela","🅿️ Poço Monteira")</f>
        <v>🅿️ Poço Monteira</v>
      </c>
    </row>
    <row r="43" spans="1:11" ht="55" customHeight="1" x14ac:dyDescent="0.35">
      <c r="A43" s="498">
        <v>8</v>
      </c>
      <c r="B43" s="508" t="s">
        <v>15115</v>
      </c>
      <c r="C43" s="478" t="s">
        <v>836</v>
      </c>
      <c r="D43" s="478" t="s">
        <v>15116</v>
      </c>
      <c r="E43" s="488" t="s">
        <v>15073</v>
      </c>
      <c r="F43" s="523" t="s">
        <v>2303</v>
      </c>
      <c r="G43" s="488" t="s">
        <v>15117</v>
      </c>
      <c r="H43" s="478" t="s">
        <v>15118</v>
      </c>
      <c r="I43" s="478" t="s">
        <v>17879</v>
      </c>
      <c r="J43" s="544" t="str">
        <f>HYPERLINK("https://maps.google.com/?q=Cascata%20F%C3%B3rnea%20Serra%20de%20Aire","📍 Cascata Fórnea")</f>
        <v>📍 Cascata Fórnea</v>
      </c>
      <c r="K43" s="544" t="str">
        <f>HYPERLINK("https://maps.google.com/?q=Estacionamento%20Cascata%20F%C3%B3rnea%20Serra%20de%20Aire","🅿️ Cascata Fórnea")</f>
        <v>🅿️ Cascata Fórnea</v>
      </c>
    </row>
    <row r="44" spans="1:11" ht="55" customHeight="1" x14ac:dyDescent="0.35">
      <c r="A44" s="497">
        <v>9</v>
      </c>
      <c r="B44" s="507" t="s">
        <v>10122</v>
      </c>
      <c r="C44" s="477" t="s">
        <v>836</v>
      </c>
      <c r="D44" s="477" t="s">
        <v>2675</v>
      </c>
      <c r="E44" s="487" t="s">
        <v>15119</v>
      </c>
      <c r="F44" s="521" t="s">
        <v>2297</v>
      </c>
      <c r="G44" s="487" t="s">
        <v>2591</v>
      </c>
      <c r="H44" s="477" t="s">
        <v>15120</v>
      </c>
      <c r="I44" s="477" t="s">
        <v>17880</v>
      </c>
      <c r="J44" s="543" t="str">
        <f>HYPERLINK("https://www.google.com/maps/search/Pulo%20do%20Lobo/@37.6500,-7.7167,17z","📍 Pulo do Lobo")</f>
        <v>📍 Pulo do Lobo</v>
      </c>
      <c r="K44" s="543" t="str">
        <f>HYPERLINK("https://maps.google.com/?q=Estacionamento%20Pulo%20do%20Lobo%20Vale%20do%20Guadiana","🅿️ Pulo do Lobo")</f>
        <v>🅿️ Pulo do Lobo</v>
      </c>
    </row>
    <row r="45" spans="1:11" ht="55" customHeight="1" x14ac:dyDescent="0.35">
      <c r="A45" s="498">
        <v>10</v>
      </c>
      <c r="B45" s="508" t="s">
        <v>15121</v>
      </c>
      <c r="C45" s="478" t="s">
        <v>836</v>
      </c>
      <c r="D45" s="478" t="s">
        <v>5487</v>
      </c>
      <c r="E45" s="488" t="s">
        <v>3096</v>
      </c>
      <c r="F45" s="523" t="s">
        <v>2303</v>
      </c>
      <c r="G45" s="488" t="s">
        <v>5914</v>
      </c>
      <c r="H45" s="478" t="s">
        <v>5488</v>
      </c>
      <c r="I45" s="478" t="s">
        <v>17881</v>
      </c>
      <c r="J45" s="544" t="str">
        <f>HYPERLINK("https://maps.google.com/?q=Po%C3%A7o%20da%20Cesta%20Serra%20da%20Lous%C3%A3","📍 Poço da Cesta")</f>
        <v>📍 Poço da Cesta</v>
      </c>
      <c r="K45" s="544" t="str">
        <f>HYPERLINK("https://maps.google.com/?q=Estacionamento%20Po%C3%A7o%20da%20Cesta%20Serra%20da%20Lous%C3%A3","🅿️ Poço da Cesta")</f>
        <v>🅿️ Poço da Cesta</v>
      </c>
    </row>
    <row r="46" spans="1:11" ht="55" customHeight="1" x14ac:dyDescent="0.35">
      <c r="A46" s="497">
        <v>11</v>
      </c>
      <c r="B46" s="507" t="s">
        <v>15174</v>
      </c>
      <c r="C46" s="477" t="s">
        <v>836</v>
      </c>
      <c r="D46" s="477" t="s">
        <v>15098</v>
      </c>
      <c r="E46" s="487" t="s">
        <v>15073</v>
      </c>
      <c r="F46" s="521" t="s">
        <v>2297</v>
      </c>
      <c r="G46" s="487" t="s">
        <v>2595</v>
      </c>
      <c r="H46" s="477" t="s">
        <v>15175</v>
      </c>
      <c r="I46" s="477" t="s">
        <v>17882</v>
      </c>
      <c r="J46" s="543" t="str">
        <f>HYPERLINK("https://maps.google.com/?q=Cascata%20da%20Fraga%20da%20Pena%20Serra%20do%20A%C3%A7or","📍 Cascata da Fraga da Pena")</f>
        <v>📍 Cascata da Fraga da Pena</v>
      </c>
      <c r="K46" s="543" t="str">
        <f>HYPERLINK("https://maps.google.com/?q=Estacionamento%20Cascata%20da%20Fraga%20da%20Pena%20Serra%20do%20A%C3%A7or","🅿️ Cascata da Fraga da Pena")</f>
        <v>🅿️ Cascata da Fraga da Pena</v>
      </c>
    </row>
    <row r="47" spans="1:11" ht="55" customHeight="1" x14ac:dyDescent="0.35">
      <c r="A47" s="498">
        <v>12</v>
      </c>
      <c r="B47" s="508" t="s">
        <v>15176</v>
      </c>
      <c r="C47" s="478" t="s">
        <v>836</v>
      </c>
      <c r="D47" s="478" t="s">
        <v>2452</v>
      </c>
      <c r="E47" s="488" t="s">
        <v>15079</v>
      </c>
      <c r="F47" s="522" t="s">
        <v>2297</v>
      </c>
      <c r="G47" s="488" t="s">
        <v>5914</v>
      </c>
      <c r="H47" s="478" t="s">
        <v>5892</v>
      </c>
      <c r="I47" s="478" t="s">
        <v>17883</v>
      </c>
      <c r="J47" s="544" t="str">
        <f>HYPERLINK("https://maps.google.com/?q=Po%C3%A7o%20da%20Broca%20de%20Serapicos%20Serra%20da%20Estrela","📍 Poço da Broca de Serapicos")</f>
        <v>📍 Poço da Broca de Serapicos</v>
      </c>
      <c r="K47" s="544" t="str">
        <f>HYPERLINK("https://maps.google.com/?q=Estacionamento%20Po%C3%A7o%20da%20Broca%20de%20Serapicos%20Serra%20da%20Estrela","🅿️ Poço da Broca de Serapico")</f>
        <v>🅿️ Poço da Broca de Serapico</v>
      </c>
    </row>
    <row r="48" spans="1:11" ht="55" customHeight="1" x14ac:dyDescent="0.35">
      <c r="A48" s="497">
        <v>13</v>
      </c>
      <c r="B48" s="507" t="s">
        <v>15177</v>
      </c>
      <c r="C48" s="477" t="s">
        <v>836</v>
      </c>
      <c r="D48" s="477" t="s">
        <v>15178</v>
      </c>
      <c r="E48" s="487" t="s">
        <v>15179</v>
      </c>
      <c r="F48" s="524" t="s">
        <v>2303</v>
      </c>
      <c r="G48" s="487" t="s">
        <v>2611</v>
      </c>
      <c r="H48" s="477" t="s">
        <v>15180</v>
      </c>
      <c r="I48" s="477" t="s">
        <v>17884</v>
      </c>
      <c r="J48" s="543" t="str">
        <f>HYPERLINK("https://maps.google.com/?q=Cascata%20da%20%C3%81gua%20d%27Alta%20Serra%20do%20Caramulo","📍 Cascata da Água d'Alta")</f>
        <v>📍 Cascata da Água d'Alta</v>
      </c>
      <c r="K48" s="543" t="str">
        <f>HYPERLINK("https://maps.google.com/?q=Estacionamento%20Cascata%20da%20%C3%81gua%20d%27Alta%20Serra%20do%20Caramulo","🅿️ Cascata da Água d'Alta")</f>
        <v>🅿️ Cascata da Água d'Alta</v>
      </c>
    </row>
    <row r="49" spans="1:11" ht="55" customHeight="1" x14ac:dyDescent="0.35">
      <c r="A49" s="498">
        <v>14</v>
      </c>
      <c r="B49" s="508" t="s">
        <v>15181</v>
      </c>
      <c r="C49" s="478" t="s">
        <v>836</v>
      </c>
      <c r="D49" s="478" t="s">
        <v>2452</v>
      </c>
      <c r="E49" s="488" t="s">
        <v>3096</v>
      </c>
      <c r="F49" s="522" t="s">
        <v>2297</v>
      </c>
      <c r="G49" s="488" t="s">
        <v>5914</v>
      </c>
      <c r="H49" s="478" t="s">
        <v>2096</v>
      </c>
      <c r="I49" s="478" t="s">
        <v>17885</v>
      </c>
      <c r="J49" s="544" t="str">
        <f>HYPERLINK("https://maps.google.com/?q=Po%C3%A7o%20do%20Lagar%20Serra%20da%20Estrela","📍 Poço do Lagar")</f>
        <v>📍 Poço do Lagar</v>
      </c>
      <c r="K49" s="544" t="str">
        <f>HYPERLINK("https://maps.google.com/?q=Estacionamento%20Po%C3%A7o%20do%20Lagar%20Serra%20da%20Estrela","🅿️ Poço do Lagar")</f>
        <v>🅿️ Poço do Lagar</v>
      </c>
    </row>
    <row r="50" spans="1:11" ht="55" customHeight="1" x14ac:dyDescent="0.35">
      <c r="A50" s="497">
        <v>15</v>
      </c>
      <c r="B50" s="507" t="s">
        <v>15182</v>
      </c>
      <c r="C50" s="477" t="s">
        <v>836</v>
      </c>
      <c r="D50" s="477" t="s">
        <v>5487</v>
      </c>
      <c r="E50" s="487" t="s">
        <v>15089</v>
      </c>
      <c r="F50" s="524" t="s">
        <v>2303</v>
      </c>
      <c r="G50" s="487" t="s">
        <v>15090</v>
      </c>
      <c r="H50" s="477" t="s">
        <v>5488</v>
      </c>
      <c r="I50" s="477" t="s">
        <v>17886</v>
      </c>
      <c r="J50" s="543" t="str">
        <f>HYPERLINK("https://maps.google.com/?q=Cascata%20do%20Boi%C3%A7%C3%B4%20Serra%20da%20Lous%C3%A3","📍 Cascata do Boiçô")</f>
        <v>📍 Cascata do Boiçô</v>
      </c>
      <c r="K50" s="543" t="str">
        <f>HYPERLINK("https://maps.google.com/?q=Estacionamento%20Cascata%20do%20Boi%C3%A7%C3%B4%20Serra%20da%20Lous%C3%A3","🅿️ Cascata do Boiçô")</f>
        <v>🅿️ Cascata do Boiçô</v>
      </c>
    </row>
    <row r="51" spans="1:11" ht="55" customHeight="1" x14ac:dyDescent="0.35">
      <c r="A51" s="498">
        <v>16</v>
      </c>
      <c r="B51" s="508" t="s">
        <v>15183</v>
      </c>
      <c r="C51" s="478" t="s">
        <v>836</v>
      </c>
      <c r="D51" s="478" t="s">
        <v>2452</v>
      </c>
      <c r="E51" s="488" t="s">
        <v>3096</v>
      </c>
      <c r="F51" s="523" t="s">
        <v>2303</v>
      </c>
      <c r="G51" s="488" t="s">
        <v>5914</v>
      </c>
      <c r="H51" s="478" t="s">
        <v>2049</v>
      </c>
      <c r="I51" s="478" t="s">
        <v>17887</v>
      </c>
      <c r="J51" s="544" t="str">
        <f>HYPERLINK("https://maps.google.com/?q=Po%C3%A7o%20do%20Embrenhado%20Serra%20da%20Estrela","📍 Poço do Embrenhado")</f>
        <v>📍 Poço do Embrenhado</v>
      </c>
      <c r="K51" s="544" t="str">
        <f>HYPERLINK("https://maps.google.com/?q=Estacionamento%20Po%C3%A7o%20do%20Embrenhado%20Serra%20da%20Estrela","🅿️ Poço do Embrenhado")</f>
        <v>🅿️ Poço do Embrenhado</v>
      </c>
    </row>
    <row r="52" spans="1:11" ht="55" customHeight="1" x14ac:dyDescent="0.35">
      <c r="A52" s="497">
        <v>17</v>
      </c>
      <c r="B52" s="507" t="s">
        <v>15184</v>
      </c>
      <c r="C52" s="477" t="s">
        <v>836</v>
      </c>
      <c r="D52" s="477" t="s">
        <v>2452</v>
      </c>
      <c r="E52" s="487" t="s">
        <v>15076</v>
      </c>
      <c r="F52" s="524" t="s">
        <v>2303</v>
      </c>
      <c r="G52" s="487" t="s">
        <v>15090</v>
      </c>
      <c r="H52" s="477" t="s">
        <v>2054</v>
      </c>
      <c r="I52" s="477" t="s">
        <v>17888</v>
      </c>
      <c r="J52" s="543" t="str">
        <f>HYPERLINK("https://maps.google.com/?q=Cascata%20de%20S.%20Jo%C3%A3o%20das%20%C3%81guas%20Serra%20da%20Estrela","📍 Cascata de S. João das Águas")</f>
        <v>📍 Cascata de S. João das Águas</v>
      </c>
      <c r="K52" s="543" t="str">
        <f>HYPERLINK("https://maps.google.com/?q=Estacionamento%20Cascata%20de%20S.%20Jo%C3%A3o%20das%20%C3%81guas%20Serra%20da%20Estrela","🅿️ Cascata de S. João das Ág")</f>
        <v>🅿️ Cascata de S. João das Ág</v>
      </c>
    </row>
    <row r="53" spans="1:11" ht="55" customHeight="1" x14ac:dyDescent="0.35">
      <c r="A53" s="498">
        <v>18</v>
      </c>
      <c r="B53" s="508" t="s">
        <v>15185</v>
      </c>
      <c r="C53" s="478" t="s">
        <v>836</v>
      </c>
      <c r="D53" s="478" t="s">
        <v>2452</v>
      </c>
      <c r="E53" s="488" t="s">
        <v>3096</v>
      </c>
      <c r="F53" s="522" t="s">
        <v>2297</v>
      </c>
      <c r="G53" s="488" t="s">
        <v>5914</v>
      </c>
      <c r="H53" s="478" t="s">
        <v>5892</v>
      </c>
      <c r="I53" s="478" t="s">
        <v>17889</v>
      </c>
      <c r="J53" s="544" t="str">
        <f>HYPERLINK("https://maps.google.com/?q=Po%C3%A7o%20da%20Draga%20Serra%20da%20Estrela","📍 Poço da Draga")</f>
        <v>📍 Poço da Draga</v>
      </c>
      <c r="K53" s="544" t="str">
        <f>HYPERLINK("https://maps.google.com/?q=Estacionamento%20Po%C3%A7o%20da%20Draga%20Serra%20da%20Estrela","🅿️ Poço da Draga")</f>
        <v>🅿️ Poço da Draga</v>
      </c>
    </row>
    <row r="54" spans="1:11" ht="55" customHeight="1" x14ac:dyDescent="0.35">
      <c r="A54" s="497">
        <v>19</v>
      </c>
      <c r="B54" s="507" t="s">
        <v>15186</v>
      </c>
      <c r="C54" s="477" t="s">
        <v>836</v>
      </c>
      <c r="D54" s="477" t="s">
        <v>15107</v>
      </c>
      <c r="E54" s="487" t="s">
        <v>15093</v>
      </c>
      <c r="F54" s="524" t="s">
        <v>2303</v>
      </c>
      <c r="G54" s="487" t="s">
        <v>15090</v>
      </c>
      <c r="H54" s="477" t="s">
        <v>13355</v>
      </c>
      <c r="I54" s="477" t="s">
        <v>17890</v>
      </c>
      <c r="J54" s="543" t="str">
        <f>HYPERLINK("https://maps.google.com/?q=Cascata%20de%20Foumigo%20Serra%20de%20Caramulo","📍 Cascata de Foumigo")</f>
        <v>📍 Cascata de Foumigo</v>
      </c>
      <c r="K54" s="543" t="str">
        <f>HYPERLINK("https://maps.google.com/?q=Estacionamento%20Cascata%20de%20Foumigo%20Serra%20de%20Caramulo","🅿️ Cascata de Foumigo")</f>
        <v>🅿️ Cascata de Foumigo</v>
      </c>
    </row>
    <row r="55" spans="1:11" ht="55" customHeight="1" x14ac:dyDescent="0.35">
      <c r="A55" s="498">
        <v>20</v>
      </c>
      <c r="B55" s="508" t="s">
        <v>15187</v>
      </c>
      <c r="C55" s="478" t="s">
        <v>836</v>
      </c>
      <c r="D55" s="478" t="s">
        <v>5487</v>
      </c>
      <c r="E55" s="488" t="s">
        <v>3096</v>
      </c>
      <c r="F55" s="522" t="s">
        <v>2297</v>
      </c>
      <c r="G55" s="488" t="s">
        <v>5914</v>
      </c>
      <c r="H55" s="478" t="s">
        <v>2481</v>
      </c>
      <c r="I55" s="478" t="s">
        <v>17891</v>
      </c>
      <c r="J55" s="544" t="str">
        <f>HYPERLINK("https://maps.google.com/?q=Po%C3%A7o%20da%20Silveira%20Serra%20da%20Lous%C3%A3","📍 Poço da Silveira")</f>
        <v>📍 Poço da Silveira</v>
      </c>
      <c r="K55" s="544" t="str">
        <f>HYPERLINK("https://maps.google.com/?q=Estacionamento%20Po%C3%A7o%20da%20Silveira%20Serra%20da%20Lous%C3%A3","🅿️ Poço da Silveira")</f>
        <v>🅿️ Poço da Silveira</v>
      </c>
    </row>
    <row r="56" spans="1:11" ht="55" customHeight="1" x14ac:dyDescent="0.35">
      <c r="A56" s="497">
        <v>21</v>
      </c>
      <c r="B56" s="507" t="s">
        <v>15188</v>
      </c>
      <c r="C56" s="477" t="s">
        <v>836</v>
      </c>
      <c r="D56" s="477" t="s">
        <v>2452</v>
      </c>
      <c r="E56" s="487" t="s">
        <v>15079</v>
      </c>
      <c r="F56" s="521" t="s">
        <v>2297</v>
      </c>
      <c r="G56" s="487" t="s">
        <v>2595</v>
      </c>
      <c r="H56" s="477" t="s">
        <v>15189</v>
      </c>
      <c r="I56" s="477" t="s">
        <v>17892</v>
      </c>
      <c r="J56" s="543" t="str">
        <f>HYPERLINK("https://maps.google.com/?q=Cascata%20da%20Pantanha%20Serra%20da%20Estrela","📍 Cascata da Pantanha")</f>
        <v>📍 Cascata da Pantanha</v>
      </c>
      <c r="K56" s="543" t="str">
        <f>HYPERLINK("https://maps.google.com/?q=Estacionamento%20Cascata%20da%20Pantanha%20Serra%20da%20Estrela","🅿️ Cascata da Pantanha")</f>
        <v>🅿️ Cascata da Pantanha</v>
      </c>
    </row>
    <row r="57" spans="1:11" ht="55" customHeight="1" x14ac:dyDescent="0.35">
      <c r="A57" s="498">
        <v>22</v>
      </c>
      <c r="B57" s="508" t="s">
        <v>15190</v>
      </c>
      <c r="C57" s="478" t="s">
        <v>836</v>
      </c>
      <c r="D57" s="478" t="s">
        <v>2452</v>
      </c>
      <c r="E57" s="488" t="s">
        <v>3096</v>
      </c>
      <c r="F57" s="522" t="s">
        <v>2297</v>
      </c>
      <c r="G57" s="488" t="s">
        <v>5914</v>
      </c>
      <c r="H57" s="478" t="s">
        <v>2096</v>
      </c>
      <c r="I57" s="478" t="s">
        <v>17893</v>
      </c>
      <c r="J57" s="544" t="str">
        <f>HYPERLINK("https://maps.google.com/?q=Po%C3%A7o%20Quente%20Serra%20da%20Estrela","📍 Poço Quente")</f>
        <v>📍 Poço Quente</v>
      </c>
      <c r="K57" s="544" t="str">
        <f>HYPERLINK("https://maps.google.com/?q=Estacionamento%20Po%C3%A7o%20Quente%20Serra%20da%20Estrela","🅿️ Poço Quente")</f>
        <v>🅿️ Poço Quente</v>
      </c>
    </row>
    <row r="58" spans="1:11" ht="55" customHeight="1" x14ac:dyDescent="0.35">
      <c r="A58" s="497">
        <v>23</v>
      </c>
      <c r="B58" s="507" t="s">
        <v>15191</v>
      </c>
      <c r="C58" s="477" t="s">
        <v>836</v>
      </c>
      <c r="D58" s="477" t="s">
        <v>2452</v>
      </c>
      <c r="E58" s="487" t="s">
        <v>15093</v>
      </c>
      <c r="F58" s="521" t="s">
        <v>2297</v>
      </c>
      <c r="G58" s="487" t="s">
        <v>15090</v>
      </c>
      <c r="H58" s="477" t="s">
        <v>15192</v>
      </c>
      <c r="I58" s="477" t="s">
        <v>17894</v>
      </c>
      <c r="J58" s="543" t="str">
        <f>HYPERLINK("https://maps.google.com/?q=Cascata%20de%20Alvoco%20Serra%20da%20Estrela","📍 Cascata de Alvoco")</f>
        <v>📍 Cascata de Alvoco</v>
      </c>
      <c r="K58" s="543" t="str">
        <f>HYPERLINK("https://maps.google.com/?q=Estacionamento%20Cascata%20de%20Alvoco%20Serra%20da%20Estrela","🅿️ Cascata de Alvoco")</f>
        <v>🅿️ Cascata de Alvoco</v>
      </c>
    </row>
    <row r="59" spans="1:11" ht="55" customHeight="1" x14ac:dyDescent="0.35">
      <c r="A59" s="498">
        <v>24</v>
      </c>
      <c r="B59" s="508" t="s">
        <v>15193</v>
      </c>
      <c r="C59" s="478" t="s">
        <v>836</v>
      </c>
      <c r="D59" s="478" t="s">
        <v>5487</v>
      </c>
      <c r="E59" s="488" t="s">
        <v>3096</v>
      </c>
      <c r="F59" s="523" t="s">
        <v>2303</v>
      </c>
      <c r="G59" s="488" t="s">
        <v>5914</v>
      </c>
      <c r="H59" s="478" t="s">
        <v>5488</v>
      </c>
      <c r="I59" s="478" t="s">
        <v>17895</v>
      </c>
      <c r="J59" s="544" t="str">
        <f>HYPERLINK("https://maps.google.com/?q=Po%C3%A7o%20do%20Pis%C3%A3o%20Serra%20da%20Lous%C3%A3","📍 Poço do Pisão")</f>
        <v>📍 Poço do Pisão</v>
      </c>
      <c r="K59" s="544" t="str">
        <f>HYPERLINK("https://maps.google.com/?q=Estacionamento%20Po%C3%A7o%20do%20Pis%C3%A3o%20Serra%20da%20Lous%C3%A3","🅿️ Poço do Pisão")</f>
        <v>🅿️ Poço do Pisão</v>
      </c>
    </row>
    <row r="60" spans="1:11" ht="55" customHeight="1" x14ac:dyDescent="0.35">
      <c r="A60" s="497">
        <v>25</v>
      </c>
      <c r="B60" s="507" t="s">
        <v>15194</v>
      </c>
      <c r="C60" s="477" t="s">
        <v>836</v>
      </c>
      <c r="D60" s="477" t="s">
        <v>15098</v>
      </c>
      <c r="E60" s="487" t="s">
        <v>15089</v>
      </c>
      <c r="F60" s="525" t="s">
        <v>2269</v>
      </c>
      <c r="G60" s="487" t="s">
        <v>15090</v>
      </c>
      <c r="H60" s="477" t="s">
        <v>6558</v>
      </c>
      <c r="I60" s="477" t="s">
        <v>17896</v>
      </c>
      <c r="J60" s="543" t="str">
        <f>HYPERLINK("https://maps.google.com/?q=Cascata%20do%20Rio%20de%20Frades%20Serra%20do%20A%C3%A7or","📍 Cascata do Rio de Frades")</f>
        <v>📍 Cascata do Rio de Frades</v>
      </c>
      <c r="K60" s="543" t="str">
        <f>HYPERLINK("https://maps.google.com/?q=Estacionamento%20Cascata%20do%20Rio%20de%20Frades%20Serra%20do%20A%C3%A7or","🅿️ Cascata do Rio de Frades")</f>
        <v>🅿️ Cascata do Rio de Frades</v>
      </c>
    </row>
    <row r="61" spans="1:11" ht="55" customHeight="1" x14ac:dyDescent="0.35">
      <c r="A61" s="498">
        <v>26</v>
      </c>
      <c r="B61" s="508" t="s">
        <v>15195</v>
      </c>
      <c r="C61" s="478" t="s">
        <v>836</v>
      </c>
      <c r="D61" s="478" t="s">
        <v>2452</v>
      </c>
      <c r="E61" s="488" t="s">
        <v>3096</v>
      </c>
      <c r="F61" s="522" t="s">
        <v>2297</v>
      </c>
      <c r="G61" s="488" t="s">
        <v>5914</v>
      </c>
      <c r="H61" s="478" t="s">
        <v>5892</v>
      </c>
      <c r="I61" s="478" t="s">
        <v>17897</v>
      </c>
      <c r="J61" s="544" t="str">
        <f>HYPERLINK("https://maps.google.com/?q=Po%C3%A7o%20do%20Calhau%20Serra%20da%20Estrela","📍 Poço do Calhau")</f>
        <v>📍 Poço do Calhau</v>
      </c>
      <c r="K61" s="544" t="str">
        <f>HYPERLINK("https://maps.google.com/?q=Estacionamento%20Po%C3%A7o%20do%20Calhau%20Serra%20da%20Estrela","🅿️ Poço do Calhau")</f>
        <v>🅿️ Poço do Calhau</v>
      </c>
    </row>
    <row r="62" spans="1:11" ht="55" customHeight="1" x14ac:dyDescent="0.35">
      <c r="A62" s="497">
        <v>27</v>
      </c>
      <c r="B62" s="507" t="s">
        <v>15196</v>
      </c>
      <c r="C62" s="477" t="s">
        <v>836</v>
      </c>
      <c r="D62" s="477" t="s">
        <v>2452</v>
      </c>
      <c r="E62" s="487" t="s">
        <v>15076</v>
      </c>
      <c r="F62" s="524" t="s">
        <v>2303</v>
      </c>
      <c r="G62" s="487" t="s">
        <v>2611</v>
      </c>
      <c r="H62" s="477" t="s">
        <v>1100</v>
      </c>
      <c r="I62" s="477" t="s">
        <v>17898</v>
      </c>
      <c r="J62" s="543" t="str">
        <f>HYPERLINK("https://maps.google.com/?q=Cascata%20de%20Linhares%20Serra%20da%20Estrela","📍 Cascata de Linhares")</f>
        <v>📍 Cascata de Linhares</v>
      </c>
      <c r="K62" s="543" t="str">
        <f>HYPERLINK("https://maps.google.com/?q=Estacionamento%20Cascata%20de%20Linhares%20Serra%20da%20Estrela","🅿️ Cascata de Linhares")</f>
        <v>🅿️ Cascata de Linhares</v>
      </c>
    </row>
    <row r="63" spans="1:11" ht="55" customHeight="1" x14ac:dyDescent="0.35">
      <c r="A63" s="498">
        <v>28</v>
      </c>
      <c r="B63" s="508" t="s">
        <v>15197</v>
      </c>
      <c r="C63" s="478" t="s">
        <v>836</v>
      </c>
      <c r="D63" s="478" t="s">
        <v>2452</v>
      </c>
      <c r="E63" s="488" t="s">
        <v>3096</v>
      </c>
      <c r="F63" s="522" t="s">
        <v>2297</v>
      </c>
      <c r="G63" s="488" t="s">
        <v>5914</v>
      </c>
      <c r="H63" s="478" t="s">
        <v>15198</v>
      </c>
      <c r="I63" s="478" t="s">
        <v>17899</v>
      </c>
      <c r="J63" s="544" t="str">
        <f>HYPERLINK("https://maps.google.com/?q=Po%C3%A7o%20da%20Gola%20%28Cortes%29%20Serra%20da%20Estrela","📍 Poço da Gola (Cortes)")</f>
        <v>📍 Poço da Gola (Cortes)</v>
      </c>
      <c r="K63" s="544" t="str">
        <f>HYPERLINK("https://maps.google.com/?q=Estacionamento%20Po%C3%A7o%20da%20Gola%20%28Cortes%29%20Serra%20da%20Estrela","🅿️ Poço da Gola (Cortes)")</f>
        <v>🅿️ Poço da Gola (Cortes)</v>
      </c>
    </row>
    <row r="64" spans="1:11" ht="55" customHeight="1" x14ac:dyDescent="0.35">
      <c r="A64" s="497">
        <v>29</v>
      </c>
      <c r="B64" s="507" t="s">
        <v>15199</v>
      </c>
      <c r="C64" s="477" t="s">
        <v>836</v>
      </c>
      <c r="D64" s="477" t="s">
        <v>15109</v>
      </c>
      <c r="E64" s="487" t="s">
        <v>15093</v>
      </c>
      <c r="F64" s="521" t="s">
        <v>2297</v>
      </c>
      <c r="G64" s="487" t="s">
        <v>15090</v>
      </c>
      <c r="H64" s="477" t="s">
        <v>15200</v>
      </c>
      <c r="I64" s="477" t="s">
        <v>17900</v>
      </c>
      <c r="J64" s="543" t="str">
        <f>HYPERLINK("https://maps.google.com/?q=Cascata%20de%20Vila%20de%20Rei%20Tejo","📍 Cascata de Vila de Rei")</f>
        <v>📍 Cascata de Vila de Rei</v>
      </c>
      <c r="K64" s="543" t="str">
        <f>HYPERLINK("https://maps.google.com/?q=Estacionamento%20Cascata%20de%20Vila%20de%20Rei%20Tejo","🅿️ Cascata de Vila de Rei")</f>
        <v>🅿️ Cascata de Vila de Rei</v>
      </c>
    </row>
    <row r="65" spans="1:11" ht="55" customHeight="1" x14ac:dyDescent="0.35">
      <c r="A65" s="498">
        <v>30</v>
      </c>
      <c r="B65" s="508" t="s">
        <v>15201</v>
      </c>
      <c r="C65" s="478" t="s">
        <v>836</v>
      </c>
      <c r="D65" s="478" t="s">
        <v>5487</v>
      </c>
      <c r="E65" s="488" t="s">
        <v>3096</v>
      </c>
      <c r="F65" s="522" t="s">
        <v>2297</v>
      </c>
      <c r="G65" s="488" t="s">
        <v>5914</v>
      </c>
      <c r="H65" s="478" t="s">
        <v>5488</v>
      </c>
      <c r="I65" s="478" t="s">
        <v>17901</v>
      </c>
      <c r="J65" s="544" t="str">
        <f>HYPERLINK("https://maps.google.com/?q=Po%C3%A7o%20do%20Mel%20%28Lous%C3%A3%29%20Serra%20da%20Lous%C3%A3","📍 Poço do Mel (Lousã)")</f>
        <v>📍 Poço do Mel (Lousã)</v>
      </c>
      <c r="K65" s="544" t="str">
        <f>HYPERLINK("https://maps.google.com/?q=Estacionamento%20Po%C3%A7o%20do%20Mel%20%28Lous%C3%A3%29%20Serra%20da%20Lous%C3%A3","🅿️ Poço do Mel (Lousã)")</f>
        <v>🅿️ Poço do Mel (Lousã)</v>
      </c>
    </row>
    <row r="66" spans="1:11" ht="55" customHeight="1" x14ac:dyDescent="0.35">
      <c r="A66" s="497">
        <v>31</v>
      </c>
      <c r="B66" s="507" t="s">
        <v>15240</v>
      </c>
      <c r="C66" s="477" t="s">
        <v>836</v>
      </c>
      <c r="D66" s="477" t="s">
        <v>2452</v>
      </c>
      <c r="E66" s="487" t="s">
        <v>3096</v>
      </c>
      <c r="F66" s="524" t="s">
        <v>2303</v>
      </c>
      <c r="G66" s="487" t="s">
        <v>5914</v>
      </c>
      <c r="H66" s="477" t="s">
        <v>13327</v>
      </c>
      <c r="I66" s="477" t="s">
        <v>17902</v>
      </c>
      <c r="J66" s="543" t="str">
        <f>HYPERLINK("https://maps.google.com/?q=Po%C3%A7o%20da%20Neve%20Serra%20da%20Estrela","📍 Poço da Neve")</f>
        <v>📍 Poço da Neve</v>
      </c>
      <c r="K66" s="543" t="str">
        <f>HYPERLINK("https://maps.google.com/?q=Estacionamento%20Po%C3%A7o%20da%20Neve%20Serra%20da%20Estrela","🅿️ Poço da Neve")</f>
        <v>🅿️ Poço da Neve</v>
      </c>
    </row>
    <row r="67" spans="1:11" ht="26" customHeight="1" x14ac:dyDescent="0.35">
      <c r="A67" s="1566" t="s">
        <v>17903</v>
      </c>
      <c r="B67" s="1567"/>
      <c r="C67" s="1568"/>
      <c r="D67" s="1568"/>
      <c r="E67" s="1569"/>
      <c r="F67" s="1569"/>
      <c r="G67" s="1569"/>
      <c r="H67" s="1568"/>
      <c r="I67" s="1568"/>
      <c r="J67" s="1568"/>
      <c r="K67" s="1568"/>
    </row>
    <row r="68" spans="1:11" ht="55" customHeight="1" x14ac:dyDescent="0.35">
      <c r="A68" s="499">
        <v>1</v>
      </c>
      <c r="B68" s="509" t="s">
        <v>15127</v>
      </c>
      <c r="C68" s="479" t="s">
        <v>913</v>
      </c>
      <c r="D68" s="479" t="s">
        <v>2567</v>
      </c>
      <c r="E68" s="489" t="s">
        <v>15079</v>
      </c>
      <c r="F68" s="526" t="s">
        <v>2303</v>
      </c>
      <c r="G68" s="489" t="s">
        <v>2611</v>
      </c>
      <c r="H68" s="479" t="s">
        <v>2564</v>
      </c>
      <c r="I68" s="479" t="s">
        <v>17904</v>
      </c>
      <c r="J68" s="545" t="str">
        <f>HYPERLINK("https://maps.google.com/?q=Cascata%20Mour%C3%A3o%20Sintra","📍 Cascata Mourão")</f>
        <v>📍 Cascata Mourão</v>
      </c>
      <c r="K68" s="545" t="str">
        <f>HYPERLINK("https://maps.google.com/?q=Estacionamento%20Cascata%20Mour%C3%A3o%20Sintra","🅿️ Cascata Mourão")</f>
        <v>🅿️ Cascata Mourão</v>
      </c>
    </row>
    <row r="69" spans="1:11" ht="26" customHeight="1" x14ac:dyDescent="0.35">
      <c r="A69" s="1570" t="s">
        <v>17905</v>
      </c>
      <c r="B69" s="1571"/>
      <c r="C69" s="1572"/>
      <c r="D69" s="1572"/>
      <c r="E69" s="1573"/>
      <c r="F69" s="1573"/>
      <c r="G69" s="1573"/>
      <c r="H69" s="1572"/>
      <c r="I69" s="1572"/>
      <c r="J69" s="1572"/>
      <c r="K69" s="1572"/>
    </row>
    <row r="70" spans="1:11" ht="55" customHeight="1" x14ac:dyDescent="0.35">
      <c r="A70" s="500">
        <v>1</v>
      </c>
      <c r="B70" s="510" t="s">
        <v>15221</v>
      </c>
      <c r="C70" s="480" t="s">
        <v>853</v>
      </c>
      <c r="D70" s="480" t="s">
        <v>2742</v>
      </c>
      <c r="E70" s="490" t="s">
        <v>15111</v>
      </c>
      <c r="F70" s="527" t="s">
        <v>2297</v>
      </c>
      <c r="G70" s="490" t="s">
        <v>5914</v>
      </c>
      <c r="H70" s="480" t="s">
        <v>7468</v>
      </c>
      <c r="I70" s="480" t="s">
        <v>17906</v>
      </c>
      <c r="J70" s="546" t="str">
        <f>HYPERLINK("https://maps.google.com/?q=Pego%20do%20Inferno%20%28Portalegre%29%20Alto%20Alentejo","📍 Pego do Inferno (Portalegre)")</f>
        <v>📍 Pego do Inferno (Portalegre)</v>
      </c>
      <c r="K70" s="546" t="str">
        <f>HYPERLINK("https://maps.google.com/?q=Estacionamento%20Pego%20do%20Inferno%20%28Portalegre%29%20Alto%20Alentejo","🅿️ Pego do Inferno (Portaleg")</f>
        <v>🅿️ Pego do Inferno (Portaleg</v>
      </c>
    </row>
    <row r="71" spans="1:11" ht="26" customHeight="1" x14ac:dyDescent="0.35">
      <c r="A71" s="1548" t="s">
        <v>17907</v>
      </c>
      <c r="B71" s="1549"/>
      <c r="C71" s="1550"/>
      <c r="D71" s="1550"/>
      <c r="E71" s="1551"/>
      <c r="F71" s="1551"/>
      <c r="G71" s="1551"/>
      <c r="H71" s="1550"/>
      <c r="I71" s="1550"/>
      <c r="J71" s="1550"/>
      <c r="K71" s="1550"/>
    </row>
    <row r="72" spans="1:11" ht="55" customHeight="1" x14ac:dyDescent="0.35">
      <c r="A72" s="501">
        <v>1</v>
      </c>
      <c r="B72" s="511" t="s">
        <v>15122</v>
      </c>
      <c r="C72" s="481" t="s">
        <v>767</v>
      </c>
      <c r="D72" s="481" t="s">
        <v>2787</v>
      </c>
      <c r="E72" s="491" t="s">
        <v>15123</v>
      </c>
      <c r="F72" s="528" t="s">
        <v>2297</v>
      </c>
      <c r="G72" s="491" t="s">
        <v>15090</v>
      </c>
      <c r="H72" s="481" t="s">
        <v>5764</v>
      </c>
      <c r="I72" s="481" t="s">
        <v>17908</v>
      </c>
      <c r="J72" s="547" t="str">
        <f>HYPERLINK("https://maps.google.com/?q=Pego%20Inferno%20Barrocal","📍 Pego Inferno")</f>
        <v>📍 Pego Inferno</v>
      </c>
      <c r="K72" s="547" t="str">
        <f>HYPERLINK("https://maps.google.com/?q=Estacionamento%20Pego%20Inferno%20Barrocal","🅿️ Pego Inferno")</f>
        <v>🅿️ Pego Inferno</v>
      </c>
    </row>
    <row r="73" spans="1:11" ht="55" customHeight="1" x14ac:dyDescent="0.35">
      <c r="A73" s="502">
        <v>2</v>
      </c>
      <c r="B73" s="512" t="s">
        <v>15124</v>
      </c>
      <c r="C73" s="482" t="s">
        <v>767</v>
      </c>
      <c r="D73" s="482" t="s">
        <v>2787</v>
      </c>
      <c r="E73" s="492" t="s">
        <v>15125</v>
      </c>
      <c r="F73" s="529" t="s">
        <v>2297</v>
      </c>
      <c r="G73" s="492" t="s">
        <v>15090</v>
      </c>
      <c r="H73" s="482" t="s">
        <v>15126</v>
      </c>
      <c r="I73" s="482" t="s">
        <v>17909</v>
      </c>
      <c r="J73" s="548" t="str">
        <f>HYPERLINK("https://maps.google.com/?q=Queda%20do%20Vig%C3%A1rio%20Barrocal","📍 Queda do Vigário")</f>
        <v>📍 Queda do Vigário</v>
      </c>
      <c r="K73" s="548" t="str">
        <f>HYPERLINK("https://maps.google.com/?q=Estacionamento%20Queda%20do%20Vig%C3%A1rio%20Barrocal","🅿️ Queda do Vigário")</f>
        <v>🅿️ Queda do Vigário</v>
      </c>
    </row>
    <row r="74" spans="1:11" ht="55" customHeight="1" x14ac:dyDescent="0.35">
      <c r="A74" s="501">
        <v>3</v>
      </c>
      <c r="B74" s="511" t="s">
        <v>15128</v>
      </c>
      <c r="C74" s="481" t="s">
        <v>767</v>
      </c>
      <c r="D74" s="481" t="s">
        <v>2697</v>
      </c>
      <c r="E74" s="491" t="s">
        <v>15073</v>
      </c>
      <c r="F74" s="530" t="s">
        <v>2303</v>
      </c>
      <c r="G74" s="491" t="s">
        <v>15117</v>
      </c>
      <c r="H74" s="481" t="s">
        <v>2164</v>
      </c>
      <c r="I74" s="481" t="s">
        <v>17910</v>
      </c>
      <c r="J74" s="547" t="str">
        <f>HYPERLINK("https://maps.google.com/?q=Barbelote%20Serra%20de%20Monchique","📍 Barbelote")</f>
        <v>📍 Barbelote</v>
      </c>
      <c r="K74" s="547" t="str">
        <f>HYPERLINK("https://maps.google.com/?q=Estacionamento%20Barbelote%20Serra%20de%20Monchique","🅿️ Barbelote")</f>
        <v>🅿️ Barbelote</v>
      </c>
    </row>
    <row r="75" spans="1:11" ht="55" customHeight="1" x14ac:dyDescent="0.35">
      <c r="A75" s="502">
        <v>4</v>
      </c>
      <c r="B75" s="512" t="s">
        <v>15222</v>
      </c>
      <c r="C75" s="482" t="s">
        <v>767</v>
      </c>
      <c r="D75" s="482" t="s">
        <v>2789</v>
      </c>
      <c r="E75" s="492" t="s">
        <v>15076</v>
      </c>
      <c r="F75" s="531" t="s">
        <v>2269</v>
      </c>
      <c r="G75" s="492" t="s">
        <v>15117</v>
      </c>
      <c r="H75" s="482" t="s">
        <v>15223</v>
      </c>
      <c r="I75" s="482" t="s">
        <v>17911</v>
      </c>
      <c r="J75" s="548" t="str">
        <f>HYPERLINK("https://maps.google.com/?q=Cascata%20da%20Rocha%20da%20Gal%C3%A9%20Costa%20Vicentina","📍 Cascata da Rocha da Galé")</f>
        <v>📍 Cascata da Rocha da Galé</v>
      </c>
      <c r="K75" s="548" t="str">
        <f>HYPERLINK("https://maps.google.com/?q=Estacionamento%20Cascata%20da%20Rocha%20da%20Gal%C3%A9%20Costa%20Vicentina","🅿️ Cascata da Rocha da Galé")</f>
        <v>🅿️ Cascata da Rocha da Galé</v>
      </c>
    </row>
    <row r="76" spans="1:11" ht="55" customHeight="1" x14ac:dyDescent="0.35">
      <c r="A76" s="501">
        <v>5</v>
      </c>
      <c r="B76" s="511" t="s">
        <v>15239</v>
      </c>
      <c r="C76" s="481" t="s">
        <v>767</v>
      </c>
      <c r="D76" s="481" t="s">
        <v>2787</v>
      </c>
      <c r="E76" s="491" t="s">
        <v>15076</v>
      </c>
      <c r="F76" s="530" t="s">
        <v>2303</v>
      </c>
      <c r="G76" s="491" t="s">
        <v>15090</v>
      </c>
      <c r="H76" s="481" t="s">
        <v>2172</v>
      </c>
      <c r="I76" s="481" t="s">
        <v>17912</v>
      </c>
      <c r="J76" s="547" t="str">
        <f>HYPERLINK("https://maps.google.com/?q=Cascata%20do%20Cavalo%20Barrocal","📍 Cascata do Cavalo")</f>
        <v>📍 Cascata do Cavalo</v>
      </c>
      <c r="K76" s="547" t="str">
        <f>HYPERLINK("https://maps.google.com/?q=Estacionamento%20Cascata%20do%20Cavalo%20Barrocal","🅿️ Cascata do Cavalo")</f>
        <v>🅿️ Cascata do Cavalo</v>
      </c>
    </row>
    <row r="77" spans="1:11" ht="26" customHeight="1" x14ac:dyDescent="0.35">
      <c r="A77" s="1552" t="s">
        <v>17913</v>
      </c>
      <c r="B77" s="1553"/>
      <c r="C77" s="1554"/>
      <c r="D77" s="1554"/>
      <c r="E77" s="1555"/>
      <c r="F77" s="1555"/>
      <c r="G77" s="1555"/>
      <c r="H77" s="1554"/>
      <c r="I77" s="1554"/>
      <c r="J77" s="1554"/>
      <c r="K77" s="1554"/>
    </row>
    <row r="78" spans="1:11" ht="55" customHeight="1" x14ac:dyDescent="0.35">
      <c r="A78" s="495">
        <v>1</v>
      </c>
      <c r="B78" s="505" t="s">
        <v>6611</v>
      </c>
      <c r="C78" s="475" t="s">
        <v>522</v>
      </c>
      <c r="D78" s="475" t="s">
        <v>2815</v>
      </c>
      <c r="E78" s="485" t="s">
        <v>15111</v>
      </c>
      <c r="F78" s="520" t="s">
        <v>2297</v>
      </c>
      <c r="G78" s="485" t="s">
        <v>2595</v>
      </c>
      <c r="H78" s="475" t="s">
        <v>15129</v>
      </c>
      <c r="I78" s="475" t="s">
        <v>17914</v>
      </c>
      <c r="J78" s="541" t="str">
        <f>HYPERLINK("https://www.google.com/maps/search/Caldeira%20Velha/@37.7667,-25.5167,17z","📍 Caldeira Velha")</f>
        <v>📍 Caldeira Velha</v>
      </c>
      <c r="K78" s="541" t="str">
        <f>HYPERLINK("https://maps.google.com/?q=Estacionamento%20Caldeira%20Velha%20S%C3%A3o%20Miguel","🅿️ Caldeira Velha")</f>
        <v>🅿️ Caldeira Velha</v>
      </c>
    </row>
    <row r="79" spans="1:11" ht="55" customHeight="1" x14ac:dyDescent="0.35">
      <c r="A79" s="496">
        <v>2</v>
      </c>
      <c r="B79" s="506" t="s">
        <v>15130</v>
      </c>
      <c r="C79" s="476" t="s">
        <v>522</v>
      </c>
      <c r="D79" s="476" t="s">
        <v>2833</v>
      </c>
      <c r="E79" s="486" t="s">
        <v>15084</v>
      </c>
      <c r="F79" s="516" t="s">
        <v>2297</v>
      </c>
      <c r="G79" s="486" t="s">
        <v>15090</v>
      </c>
      <c r="H79" s="476" t="s">
        <v>6033</v>
      </c>
      <c r="I79" s="476" t="s">
        <v>17915</v>
      </c>
      <c r="J79" s="542" t="str">
        <f>HYPERLINK("https://maps.google.com/?q=Po%C3%A7o%20Alagoinha%20Flores","📍 Poço Alagoinha")</f>
        <v>📍 Poço Alagoinha</v>
      </c>
      <c r="K79" s="542" t="str">
        <f>HYPERLINK("https://maps.google.com/?q=Estacionamento%20Po%C3%A7o%20Alagoinha%20Flores","🅿️ Poço Alagoinha")</f>
        <v>🅿️ Poço Alagoinha</v>
      </c>
    </row>
    <row r="80" spans="1:11" ht="55" customHeight="1" x14ac:dyDescent="0.35">
      <c r="A80" s="495">
        <v>3</v>
      </c>
      <c r="B80" s="505" t="s">
        <v>6630</v>
      </c>
      <c r="C80" s="475" t="s">
        <v>522</v>
      </c>
      <c r="D80" s="475" t="s">
        <v>2815</v>
      </c>
      <c r="E80" s="485" t="s">
        <v>15093</v>
      </c>
      <c r="F80" s="517" t="s">
        <v>2303</v>
      </c>
      <c r="G80" s="485" t="s">
        <v>2595</v>
      </c>
      <c r="H80" s="475" t="s">
        <v>6631</v>
      </c>
      <c r="I80" s="475" t="s">
        <v>17916</v>
      </c>
      <c r="J80" s="541" t="str">
        <f>HYPERLINK("https://maps.google.com/?q=Salto%20do%20Prego%20S%C3%A3o%20Miguel","📍 Salto do Prego")</f>
        <v>📍 Salto do Prego</v>
      </c>
      <c r="K80" s="541" t="str">
        <f>HYPERLINK("https://maps.google.com/?q=Estacionamento%20Salto%20do%20Prego%20S%C3%A3o%20Miguel","🅿️ Salto do Prego")</f>
        <v>🅿️ Salto do Prego</v>
      </c>
    </row>
    <row r="81" spans="1:11" ht="55" customHeight="1" x14ac:dyDescent="0.35">
      <c r="A81" s="496">
        <v>4</v>
      </c>
      <c r="B81" s="506" t="s">
        <v>15131</v>
      </c>
      <c r="C81" s="476" t="s">
        <v>522</v>
      </c>
      <c r="D81" s="476" t="s">
        <v>2815</v>
      </c>
      <c r="E81" s="486" t="s">
        <v>15076</v>
      </c>
      <c r="F81" s="516" t="s">
        <v>2297</v>
      </c>
      <c r="G81" s="486" t="s">
        <v>2595</v>
      </c>
      <c r="H81" s="476" t="s">
        <v>15132</v>
      </c>
      <c r="I81" s="476" t="s">
        <v>17917</v>
      </c>
      <c r="J81" s="542" t="str">
        <f>HYPERLINK("https://maps.google.com/?q=Ribeira%20Quente%20S%C3%A3o%20Miguel","📍 Ribeira Quente")</f>
        <v>📍 Ribeira Quente</v>
      </c>
      <c r="K81" s="542" t="str">
        <f>HYPERLINK("https://maps.google.com/?q=Estacionamento%20Ribeira%20Quente%20S%C3%A3o%20Miguel","🅿️ Ribeira Quente")</f>
        <v>🅿️ Ribeira Quente</v>
      </c>
    </row>
    <row r="82" spans="1:11" ht="55" customHeight="1" x14ac:dyDescent="0.35">
      <c r="A82" s="495">
        <v>5</v>
      </c>
      <c r="B82" s="505" t="s">
        <v>15133</v>
      </c>
      <c r="C82" s="475" t="s">
        <v>522</v>
      </c>
      <c r="D82" s="475" t="s">
        <v>2833</v>
      </c>
      <c r="E82" s="485" t="s">
        <v>15134</v>
      </c>
      <c r="F82" s="520" t="s">
        <v>2297</v>
      </c>
      <c r="G82" s="485" t="s">
        <v>2595</v>
      </c>
      <c r="H82" s="475" t="s">
        <v>15135</v>
      </c>
      <c r="I82" s="475" t="s">
        <v>17918</v>
      </c>
      <c r="J82" s="541" t="str">
        <f>HYPERLINK("https://maps.google.com/?q=Po%C3%A7o%20Bacalhau%20Flores","📍 Poço Bacalhau")</f>
        <v>📍 Poço Bacalhau</v>
      </c>
      <c r="K82" s="541" t="str">
        <f>HYPERLINK("https://maps.google.com/?q=Estacionamento%20Po%C3%A7o%20Bacalhau%20Flores","🅿️ Poço Bacalhau")</f>
        <v>🅿️ Poço Bacalhau</v>
      </c>
    </row>
    <row r="83" spans="1:11" ht="55" customHeight="1" x14ac:dyDescent="0.35">
      <c r="A83" s="496">
        <v>6</v>
      </c>
      <c r="B83" s="506" t="s">
        <v>15202</v>
      </c>
      <c r="C83" s="476" t="s">
        <v>522</v>
      </c>
      <c r="D83" s="476" t="s">
        <v>2833</v>
      </c>
      <c r="E83" s="486" t="s">
        <v>15203</v>
      </c>
      <c r="F83" s="519" t="s">
        <v>2303</v>
      </c>
      <c r="G83" s="486" t="s">
        <v>2595</v>
      </c>
      <c r="H83" s="476" t="s">
        <v>2833</v>
      </c>
      <c r="I83" s="476" t="s">
        <v>17919</v>
      </c>
      <c r="J83" s="542" t="str">
        <f>HYPERLINK("https://maps.google.com/?q=Cascata%20da%20Ribeira%20Funda%20Flores","📍 Cascata da Ribeira Funda")</f>
        <v>📍 Cascata da Ribeira Funda</v>
      </c>
      <c r="K83" s="542" t="str">
        <f>HYPERLINK("https://maps.google.com/?q=Estacionamento%20Cascata%20da%20Ribeira%20Funda%20Flores","🅿️ Cascata da Ribeira Funda")</f>
        <v>🅿️ Cascata da Ribeira Funda</v>
      </c>
    </row>
    <row r="84" spans="1:11" ht="55" customHeight="1" x14ac:dyDescent="0.35">
      <c r="A84" s="495">
        <v>7</v>
      </c>
      <c r="B84" s="505" t="s">
        <v>15204</v>
      </c>
      <c r="C84" s="475" t="s">
        <v>522</v>
      </c>
      <c r="D84" s="475" t="s">
        <v>2815</v>
      </c>
      <c r="E84" s="485" t="s">
        <v>15205</v>
      </c>
      <c r="F84" s="520" t="s">
        <v>2297</v>
      </c>
      <c r="G84" s="485" t="s">
        <v>15117</v>
      </c>
      <c r="H84" s="475" t="s">
        <v>6057</v>
      </c>
      <c r="I84" s="475" t="s">
        <v>17920</v>
      </c>
      <c r="J84" s="541" t="str">
        <f>HYPERLINK("https://maps.google.com/?q=Salto%20da%20Farinha%20S%C3%A3o%20Miguel","📍 Salto da Farinha")</f>
        <v>📍 Salto da Farinha</v>
      </c>
      <c r="K84" s="541" t="str">
        <f>HYPERLINK("https://maps.google.com/?q=Estacionamento%20Salto%20da%20Farinha%20S%C3%A3o%20Miguel","🅿️ Salto da Farinha")</f>
        <v>🅿️ Salto da Farinha</v>
      </c>
    </row>
    <row r="85" spans="1:11" ht="55" customHeight="1" x14ac:dyDescent="0.35">
      <c r="A85" s="496">
        <v>8</v>
      </c>
      <c r="B85" s="506" t="s">
        <v>15208</v>
      </c>
      <c r="C85" s="476" t="s">
        <v>522</v>
      </c>
      <c r="D85" s="476" t="s">
        <v>2815</v>
      </c>
      <c r="E85" s="486" t="s">
        <v>3096</v>
      </c>
      <c r="F85" s="518" t="s">
        <v>2269</v>
      </c>
      <c r="G85" s="486" t="s">
        <v>5914</v>
      </c>
      <c r="H85" s="476" t="s">
        <v>15209</v>
      </c>
      <c r="I85" s="476" t="s">
        <v>17921</v>
      </c>
      <c r="J85" s="542" t="str">
        <f>HYPERLINK("https://maps.google.com/?q=Lagoa%20do%20Fogo%20%28Canal%29%20S%C3%A3o%20Miguel","📍 Lagoa do Fogo (Canal)")</f>
        <v>📍 Lagoa do Fogo (Canal)</v>
      </c>
      <c r="K85" s="542" t="str">
        <f>HYPERLINK("https://maps.google.com/?q=Estacionamento%20Lagoa%20do%20Fogo%20%28Canal%29%20S%C3%A3o%20Miguel","🅿️ Lagoa do Fogo (Canal)")</f>
        <v>🅿️ Lagoa do Fogo (Canal)</v>
      </c>
    </row>
    <row r="86" spans="1:11" ht="55" customHeight="1" x14ac:dyDescent="0.35">
      <c r="A86" s="495">
        <v>9</v>
      </c>
      <c r="B86" s="505" t="s">
        <v>15215</v>
      </c>
      <c r="C86" s="475" t="s">
        <v>522</v>
      </c>
      <c r="D86" s="475" t="s">
        <v>2815</v>
      </c>
      <c r="E86" s="485" t="s">
        <v>15111</v>
      </c>
      <c r="F86" s="520" t="s">
        <v>2297</v>
      </c>
      <c r="G86" s="485" t="s">
        <v>2595</v>
      </c>
      <c r="H86" s="475" t="s">
        <v>15132</v>
      </c>
      <c r="I86" s="475" t="s">
        <v>17922</v>
      </c>
      <c r="J86" s="541" t="str">
        <f>HYPERLINK("https://maps.google.com/?q=Cascata%20de%20Dona%20Beija%20S%C3%A3o%20Miguel","📍 Cascata de Dona Beija")</f>
        <v>📍 Cascata de Dona Beija</v>
      </c>
      <c r="K86" s="541" t="str">
        <f>HYPERLINK("https://maps.google.com/?q=Estacionamento%20Cascata%20de%20Dona%20Beija%20S%C3%A3o%20Miguel","🅿️ Cascata de Dona Beija")</f>
        <v>🅿️ Cascata de Dona Beija</v>
      </c>
    </row>
    <row r="87" spans="1:11" ht="55" customHeight="1" x14ac:dyDescent="0.35">
      <c r="A87" s="496">
        <v>10</v>
      </c>
      <c r="B87" s="506" t="s">
        <v>15216</v>
      </c>
      <c r="C87" s="476" t="s">
        <v>522</v>
      </c>
      <c r="D87" s="476" t="s">
        <v>2815</v>
      </c>
      <c r="E87" s="486" t="s">
        <v>15073</v>
      </c>
      <c r="F87" s="516" t="s">
        <v>2297</v>
      </c>
      <c r="G87" s="486" t="s">
        <v>2595</v>
      </c>
      <c r="H87" s="476" t="s">
        <v>6024</v>
      </c>
      <c r="I87" s="476" t="s">
        <v>17923</v>
      </c>
      <c r="J87" s="542" t="str">
        <f>HYPERLINK("https://maps.google.com/?q=Salto%20do%20Cabrito%20S%C3%A3o%20Miguel","📍 Salto do Cabrito")</f>
        <v>📍 Salto do Cabrito</v>
      </c>
      <c r="K87" s="542" t="str">
        <f>HYPERLINK("https://maps.google.com/?q=Estacionamento%20Salto%20do%20Cabrito%20S%C3%A3o%20Miguel","🅿️ Salto do Cabrito")</f>
        <v>🅿️ Salto do Cabrito</v>
      </c>
    </row>
    <row r="88" spans="1:11" ht="55" customHeight="1" x14ac:dyDescent="0.35">
      <c r="A88" s="495">
        <v>11</v>
      </c>
      <c r="B88" s="505" t="s">
        <v>15217</v>
      </c>
      <c r="C88" s="475" t="s">
        <v>522</v>
      </c>
      <c r="D88" s="475" t="s">
        <v>2848</v>
      </c>
      <c r="E88" s="485" t="s">
        <v>15076</v>
      </c>
      <c r="F88" s="517" t="s">
        <v>2303</v>
      </c>
      <c r="G88" s="485" t="s">
        <v>15090</v>
      </c>
      <c r="H88" s="475" t="s">
        <v>15218</v>
      </c>
      <c r="I88" s="475" t="s">
        <v>17924</v>
      </c>
      <c r="J88" s="541" t="str">
        <f>HYPERLINK("https://maps.google.com/?q=Cascata%20da%20Faj%C3%A3%20de%20Santo%20S%C3%A3o%20Jorge","📍 Cascata da Fajã de Santo")</f>
        <v>📍 Cascata da Fajã de Santo</v>
      </c>
      <c r="K88" s="541" t="str">
        <f>HYPERLINK("https://maps.google.com/?q=Estacionamento%20Cascata%20da%20Faj%C3%A3%20de%20Santo%20S%C3%A3o%20Jorge","🅿️ Cascata da Fajã de Santo")</f>
        <v>🅿️ Cascata da Fajã de Santo</v>
      </c>
    </row>
    <row r="89" spans="1:11" ht="55" customHeight="1" x14ac:dyDescent="0.35">
      <c r="A89" s="496">
        <v>12</v>
      </c>
      <c r="B89" s="506" t="s">
        <v>15219</v>
      </c>
      <c r="C89" s="476" t="s">
        <v>522</v>
      </c>
      <c r="D89" s="476" t="s">
        <v>2815</v>
      </c>
      <c r="E89" s="486" t="s">
        <v>3096</v>
      </c>
      <c r="F89" s="516" t="s">
        <v>2297</v>
      </c>
      <c r="G89" s="486" t="s">
        <v>2595</v>
      </c>
      <c r="H89" s="476" t="s">
        <v>15132</v>
      </c>
      <c r="I89" s="476" t="s">
        <v>17925</v>
      </c>
      <c r="J89" s="542" t="str">
        <f>HYPERLINK("https://maps.google.com/?q=Po%C3%A7o%20do%20Grena%20S%C3%A3o%20Miguel","📍 Poço do Grena")</f>
        <v>📍 Poço do Grena</v>
      </c>
      <c r="K89" s="542" t="str">
        <f>HYPERLINK("https://maps.google.com/?q=Estacionamento%20Po%C3%A7o%20do%20Grena%20S%C3%A3o%20Miguel","🅿️ Poço do Grena")</f>
        <v>🅿️ Poço do Grena</v>
      </c>
    </row>
    <row r="90" spans="1:11" ht="55" customHeight="1" x14ac:dyDescent="0.35">
      <c r="A90" s="495">
        <v>13</v>
      </c>
      <c r="B90" s="505" t="s">
        <v>15224</v>
      </c>
      <c r="C90" s="475" t="s">
        <v>522</v>
      </c>
      <c r="D90" s="475" t="s">
        <v>2833</v>
      </c>
      <c r="E90" s="485" t="s">
        <v>15134</v>
      </c>
      <c r="F90" s="520" t="s">
        <v>2297</v>
      </c>
      <c r="G90" s="485" t="s">
        <v>2595</v>
      </c>
      <c r="H90" s="475" t="s">
        <v>15225</v>
      </c>
      <c r="I90" s="475" t="s">
        <v>17926</v>
      </c>
      <c r="J90" s="541" t="str">
        <f>HYPERLINK("https://maps.google.com/?q=Po%C3%A7o%20do%20Bacalhau%20%28Lajes%29%20Flores","📍 Poço do Bacalhau (Lajes)")</f>
        <v>📍 Poço do Bacalhau (Lajes)</v>
      </c>
      <c r="K90" s="541" t="str">
        <f>HYPERLINK("https://maps.google.com/?q=Estacionamento%20Po%C3%A7o%20do%20Bacalhau%20%28Lajes%29%20Flores","🅿️ Poço do Bacalhau (Lajes)")</f>
        <v>🅿️ Poço do Bacalhau (Lajes)</v>
      </c>
    </row>
    <row r="91" spans="1:11" ht="55" customHeight="1" x14ac:dyDescent="0.35">
      <c r="A91" s="496">
        <v>14</v>
      </c>
      <c r="B91" s="506" t="s">
        <v>15226</v>
      </c>
      <c r="C91" s="476" t="s">
        <v>522</v>
      </c>
      <c r="D91" s="476" t="s">
        <v>2833</v>
      </c>
      <c r="E91" s="486" t="s">
        <v>15073</v>
      </c>
      <c r="F91" s="519" t="s">
        <v>2303</v>
      </c>
      <c r="G91" s="486" t="s">
        <v>15090</v>
      </c>
      <c r="H91" s="476" t="s">
        <v>2833</v>
      </c>
      <c r="I91" s="476" t="s">
        <v>17927</v>
      </c>
      <c r="J91" s="542" t="str">
        <f>HYPERLINK("https://maps.google.com/?q=Cascata%20de%20Ferreiro%20Flores","📍 Cascata de Ferreiro")</f>
        <v>📍 Cascata de Ferreiro</v>
      </c>
      <c r="K91" s="542" t="str">
        <f>HYPERLINK("https://maps.google.com/?q=Estacionamento%20Cascata%20de%20Ferreiro%20Flores","🅿️ Cascata de Ferreiro")</f>
        <v>🅿️ Cascata de Ferreiro</v>
      </c>
    </row>
    <row r="92" spans="1:11" ht="55" customHeight="1" x14ac:dyDescent="0.35">
      <c r="A92" s="495">
        <v>15</v>
      </c>
      <c r="B92" s="505" t="s">
        <v>15227</v>
      </c>
      <c r="C92" s="475" t="s">
        <v>522</v>
      </c>
      <c r="D92" s="475" t="s">
        <v>2815</v>
      </c>
      <c r="E92" s="485" t="s">
        <v>15076</v>
      </c>
      <c r="F92" s="517" t="s">
        <v>2303</v>
      </c>
      <c r="G92" s="485" t="s">
        <v>2595</v>
      </c>
      <c r="H92" s="475" t="s">
        <v>15132</v>
      </c>
      <c r="I92" s="475" t="s">
        <v>17928</v>
      </c>
      <c r="J92" s="541" t="str">
        <f>HYPERLINK("https://maps.google.com/?q=Salto%20do%20Rosal%20S%C3%A3o%20Miguel","📍 Salto do Rosal")</f>
        <v>📍 Salto do Rosal</v>
      </c>
      <c r="K92" s="541" t="str">
        <f>HYPERLINK("https://maps.google.com/?q=Estacionamento%20Salto%20do%20Rosal%20S%C3%A3o%20Miguel","🅿️ Salto do Rosal")</f>
        <v>🅿️ Salto do Rosal</v>
      </c>
    </row>
    <row r="93" spans="1:11" ht="55" customHeight="1" x14ac:dyDescent="0.35">
      <c r="A93" s="496">
        <v>16</v>
      </c>
      <c r="B93" s="506" t="s">
        <v>15228</v>
      </c>
      <c r="C93" s="476" t="s">
        <v>522</v>
      </c>
      <c r="D93" s="476" t="s">
        <v>2815</v>
      </c>
      <c r="E93" s="486" t="s">
        <v>15089</v>
      </c>
      <c r="F93" s="516" t="s">
        <v>2297</v>
      </c>
      <c r="G93" s="486" t="s">
        <v>2595</v>
      </c>
      <c r="H93" s="476" t="s">
        <v>2190</v>
      </c>
      <c r="I93" s="476" t="s">
        <v>17929</v>
      </c>
      <c r="J93" s="542" t="str">
        <f>HYPERLINK("https://maps.google.com/?q=Cascata%20da%20Vit%C3%B3ria%20S%C3%A3o%20Miguel","📍 Cascata da Vitória")</f>
        <v>📍 Cascata da Vitória</v>
      </c>
      <c r="K93" s="542" t="str">
        <f>HYPERLINK("https://maps.google.com/?q=Estacionamento%20Cascata%20da%20Vit%C3%B3ria%20S%C3%A3o%20Miguel","🅿️ Cascata da Vitória")</f>
        <v>🅿️ Cascata da Vitória</v>
      </c>
    </row>
    <row r="94" spans="1:11" ht="55" customHeight="1" x14ac:dyDescent="0.35">
      <c r="A94" s="495">
        <v>17</v>
      </c>
      <c r="B94" s="505" t="s">
        <v>15229</v>
      </c>
      <c r="C94" s="475" t="s">
        <v>522</v>
      </c>
      <c r="D94" s="475" t="s">
        <v>2815</v>
      </c>
      <c r="E94" s="485" t="s">
        <v>3096</v>
      </c>
      <c r="F94" s="517" t="s">
        <v>2303</v>
      </c>
      <c r="G94" s="485" t="s">
        <v>5914</v>
      </c>
      <c r="H94" s="475" t="s">
        <v>6057</v>
      </c>
      <c r="I94" s="475" t="s">
        <v>17930</v>
      </c>
      <c r="J94" s="541" t="str">
        <f>HYPERLINK("https://maps.google.com/?q=Po%C3%A7o%20Azul%20%28A%C3%A7ores%29%20S%C3%A3o%20Miguel","📍 Poço Azul (Açores)")</f>
        <v>📍 Poço Azul (Açores)</v>
      </c>
      <c r="K94" s="541" t="str">
        <f>HYPERLINK("https://maps.google.com/?q=Estacionamento%20Po%C3%A7o%20Azul%20%28A%C3%A7ores%29%20S%C3%A3o%20Miguel","🅿️ Poço Azul (Açores)")</f>
        <v>🅿️ Poço Azul (Açores)</v>
      </c>
    </row>
    <row r="95" spans="1:11" ht="55" customHeight="1" x14ac:dyDescent="0.35">
      <c r="A95" s="496">
        <v>18</v>
      </c>
      <c r="B95" s="506" t="s">
        <v>15230</v>
      </c>
      <c r="C95" s="476" t="s">
        <v>522</v>
      </c>
      <c r="D95" s="476" t="s">
        <v>2815</v>
      </c>
      <c r="E95" s="486" t="s">
        <v>15093</v>
      </c>
      <c r="F95" s="519" t="s">
        <v>2303</v>
      </c>
      <c r="G95" s="486" t="s">
        <v>2595</v>
      </c>
      <c r="H95" s="476" t="s">
        <v>6631</v>
      </c>
      <c r="I95" s="476" t="s">
        <v>17931</v>
      </c>
      <c r="J95" s="542" t="str">
        <f>HYPERLINK("https://maps.google.com/?q=Cascata%20de%20Sanguinho%20S%C3%A3o%20Miguel","📍 Cascata de Sanguinho")</f>
        <v>📍 Cascata de Sanguinho</v>
      </c>
      <c r="K95" s="542" t="str">
        <f>HYPERLINK("https://maps.google.com/?q=Estacionamento%20Cascata%20de%20Sanguinho%20S%C3%A3o%20Miguel","🅿️ Cascata de Sanguinho")</f>
        <v>🅿️ Cascata de Sanguinho</v>
      </c>
    </row>
    <row r="96" spans="1:11" ht="55" customHeight="1" x14ac:dyDescent="0.35">
      <c r="A96" s="495">
        <v>19</v>
      </c>
      <c r="B96" s="505" t="s">
        <v>15231</v>
      </c>
      <c r="C96" s="475" t="s">
        <v>522</v>
      </c>
      <c r="D96" s="475" t="s">
        <v>2833</v>
      </c>
      <c r="E96" s="485" t="s">
        <v>3096</v>
      </c>
      <c r="F96" s="520" t="s">
        <v>2297</v>
      </c>
      <c r="G96" s="485" t="s">
        <v>2595</v>
      </c>
      <c r="H96" s="475" t="s">
        <v>2833</v>
      </c>
      <c r="I96" s="475" t="s">
        <v>17932</v>
      </c>
      <c r="J96" s="541" t="str">
        <f>HYPERLINK("https://maps.google.com/?q=Lagoa%20dos%20Patos%20Flores","📍 Lagoa dos Patos")</f>
        <v>📍 Lagoa dos Patos</v>
      </c>
      <c r="K96" s="541" t="str">
        <f>HYPERLINK("https://maps.google.com/?q=Estacionamento%20Lagoa%20dos%20Patos%20Flores","🅿️ Lagoa dos Patos")</f>
        <v>🅿️ Lagoa dos Patos</v>
      </c>
    </row>
    <row r="97" spans="1:11" ht="55" customHeight="1" x14ac:dyDescent="0.35">
      <c r="A97" s="496">
        <v>20</v>
      </c>
      <c r="B97" s="506" t="s">
        <v>15232</v>
      </c>
      <c r="C97" s="476" t="s">
        <v>522</v>
      </c>
      <c r="D97" s="476" t="s">
        <v>2815</v>
      </c>
      <c r="E97" s="486" t="s">
        <v>15205</v>
      </c>
      <c r="F97" s="519" t="s">
        <v>2303</v>
      </c>
      <c r="G97" s="486" t="s">
        <v>15117</v>
      </c>
      <c r="H97" s="476" t="s">
        <v>15233</v>
      </c>
      <c r="I97" s="476" t="s">
        <v>17933</v>
      </c>
      <c r="J97" s="542" t="str">
        <f>HYPERLINK("https://maps.google.com/?q=Cascata%20%C3%81gua%20d%27Alto%20%28A%C3%A7ores%29%20S%C3%A3o%20Miguel","📍 Cascata Água d'Alto (Açores)")</f>
        <v>📍 Cascata Água d'Alto (Açores)</v>
      </c>
      <c r="K97" s="542" t="str">
        <f>HYPERLINK("https://maps.google.com/?q=Estacionamento%20Cascata%20%C3%81gua%20d%27Alto%20%28A%C3%A7ores%29%20S%C3%A3o%20Miguel","🅿️ Cascata Água d'Alto (Açor")</f>
        <v>🅿️ Cascata Água d'Alto (Açor</v>
      </c>
    </row>
    <row r="98" spans="1:11" ht="55" customHeight="1" x14ac:dyDescent="0.35">
      <c r="A98" s="495">
        <v>21</v>
      </c>
      <c r="B98" s="505" t="s">
        <v>15237</v>
      </c>
      <c r="C98" s="475" t="s">
        <v>522</v>
      </c>
      <c r="D98" s="475" t="s">
        <v>2828</v>
      </c>
      <c r="E98" s="485" t="s">
        <v>3096</v>
      </c>
      <c r="F98" s="520" t="s">
        <v>2297</v>
      </c>
      <c r="G98" s="485" t="s">
        <v>5914</v>
      </c>
      <c r="H98" s="475" t="s">
        <v>2828</v>
      </c>
      <c r="I98" s="475" t="s">
        <v>17934</v>
      </c>
      <c r="J98" s="541" t="str">
        <f>HYPERLINK("https://maps.google.com/?q=Po%C3%A7o%20da%20Alagoa%20%28Pico%29%20Pico","📍 Poço da Alagoa (Pico)")</f>
        <v>📍 Poço da Alagoa (Pico)</v>
      </c>
      <c r="K98" s="541" t="str">
        <f>HYPERLINK("https://maps.google.com/?q=Estacionamento%20Po%C3%A7o%20da%20Alagoa%20%28Pico%29%20Pico","🅿️ Poço da Alagoa (Pico)")</f>
        <v>🅿️ Poço da Alagoa (Pico)</v>
      </c>
    </row>
    <row r="99" spans="1:11" ht="55" customHeight="1" x14ac:dyDescent="0.35">
      <c r="A99" s="496">
        <v>22</v>
      </c>
      <c r="B99" s="506" t="s">
        <v>15238</v>
      </c>
      <c r="C99" s="476" t="s">
        <v>522</v>
      </c>
      <c r="D99" s="476" t="s">
        <v>2823</v>
      </c>
      <c r="E99" s="486" t="s">
        <v>15073</v>
      </c>
      <c r="F99" s="518" t="s">
        <v>2269</v>
      </c>
      <c r="G99" s="486" t="s">
        <v>2595</v>
      </c>
      <c r="H99" s="476" t="s">
        <v>895</v>
      </c>
      <c r="I99" s="476" t="s">
        <v>17935</v>
      </c>
      <c r="J99" s="542" t="str">
        <f>HYPERLINK("https://maps.google.com/?q=Cascata%20da%20Caldeira%20%28Faial%29%20Faial","📍 Cascata da Caldeira (Faial)")</f>
        <v>📍 Cascata da Caldeira (Faial)</v>
      </c>
      <c r="K99" s="542" t="str">
        <f>HYPERLINK("https://maps.google.com/?q=Estacionamento%20Cascata%20da%20Caldeira%20%28Faial%29%20Faial","🅿️ Cascata da Caldeira (Faia")</f>
        <v>🅿️ Cascata da Caldeira (Faia</v>
      </c>
    </row>
    <row r="100" spans="1:11" ht="55" customHeight="1" x14ac:dyDescent="0.35">
      <c r="A100" s="495">
        <v>23</v>
      </c>
      <c r="B100" s="505" t="s">
        <v>15242</v>
      </c>
      <c r="C100" s="475" t="s">
        <v>522</v>
      </c>
      <c r="D100" s="475" t="s">
        <v>2848</v>
      </c>
      <c r="E100" s="485" t="s">
        <v>3096</v>
      </c>
      <c r="F100" s="517" t="s">
        <v>2303</v>
      </c>
      <c r="G100" s="485" t="s">
        <v>5914</v>
      </c>
      <c r="H100" s="475" t="s">
        <v>2848</v>
      </c>
      <c r="I100" s="475" t="s">
        <v>17936</v>
      </c>
      <c r="J100" s="541" t="str">
        <f>HYPERLINK("https://maps.google.com/?q=Lagoa%20de%20Santo%20Cristo%20S%C3%A3o%20Jorge","📍 Lagoa de Santo Cristo")</f>
        <v>📍 Lagoa de Santo Cristo</v>
      </c>
      <c r="K100" s="541" t="str">
        <f>HYPERLINK("https://maps.google.com/?q=Estacionamento%20Lagoa%20de%20Santo%20Cristo%20S%C3%A3o%20Jorge","🅿️ Lagoa de Santo Cristo")</f>
        <v>🅿️ Lagoa de Santo Cristo</v>
      </c>
    </row>
    <row r="101" spans="1:11" ht="26" customHeight="1" x14ac:dyDescent="0.35">
      <c r="A101" s="1556" t="s">
        <v>17937</v>
      </c>
      <c r="B101" s="1557"/>
      <c r="C101" s="1558"/>
      <c r="D101" s="1558"/>
      <c r="E101" s="1559"/>
      <c r="F101" s="1559"/>
      <c r="G101" s="1559"/>
      <c r="H101" s="1558"/>
      <c r="I101" s="1558"/>
      <c r="J101" s="1558"/>
      <c r="K101" s="1558"/>
    </row>
    <row r="102" spans="1:11" ht="55" customHeight="1" x14ac:dyDescent="0.35">
      <c r="A102" s="503">
        <v>1</v>
      </c>
      <c r="B102" s="513" t="s">
        <v>15136</v>
      </c>
      <c r="C102" s="483" t="s">
        <v>524</v>
      </c>
      <c r="D102" s="483" t="s">
        <v>524</v>
      </c>
      <c r="E102" s="493" t="s">
        <v>15076</v>
      </c>
      <c r="F102" s="532" t="s">
        <v>2297</v>
      </c>
      <c r="G102" s="493" t="s">
        <v>2595</v>
      </c>
      <c r="H102" s="483" t="s">
        <v>15137</v>
      </c>
      <c r="I102" s="483" t="s">
        <v>17938</v>
      </c>
      <c r="J102" s="549" t="str">
        <f>HYPERLINK("https://maps.google.com/?q=Cascata%20Anjos%20Madeira","📍 Cascata Anjos")</f>
        <v>📍 Cascata Anjos</v>
      </c>
      <c r="K102" s="549" t="str">
        <f>HYPERLINK("https://maps.google.com/?q=Estacionamento%20Cascata%20Anjos%20Madeira","🅿️ Cascata Anjos")</f>
        <v>🅿️ Cascata Anjos</v>
      </c>
    </row>
    <row r="103" spans="1:11" ht="55" customHeight="1" x14ac:dyDescent="0.35">
      <c r="A103" s="504">
        <v>2</v>
      </c>
      <c r="B103" s="514" t="s">
        <v>15206</v>
      </c>
      <c r="C103" s="484" t="s">
        <v>524</v>
      </c>
      <c r="D103" s="484" t="s">
        <v>524</v>
      </c>
      <c r="E103" s="494" t="s">
        <v>15207</v>
      </c>
      <c r="F103" s="533" t="s">
        <v>2303</v>
      </c>
      <c r="G103" s="494" t="s">
        <v>2611</v>
      </c>
      <c r="H103" s="484" t="s">
        <v>2234</v>
      </c>
      <c r="I103" s="484" t="s">
        <v>17939</v>
      </c>
      <c r="J103" s="550" t="str">
        <f>HYPERLINK("https://maps.google.com/?q=Cascata%20de%20Garganta%20Funda%20Madeira","📍 Cascata de Garganta Funda")</f>
        <v>📍 Cascata de Garganta Funda</v>
      </c>
      <c r="K103" s="550" t="str">
        <f>HYPERLINK("https://maps.google.com/?q=Estacionamento%20Cascata%20de%20Garganta%20Funda%20Madeira","🅿️ Cascata de Garganta Funda")</f>
        <v>🅿️ Cascata de Garganta Funda</v>
      </c>
    </row>
    <row r="104" spans="1:11" ht="55" customHeight="1" x14ac:dyDescent="0.35">
      <c r="A104" s="503">
        <v>3</v>
      </c>
      <c r="B104" s="513" t="s">
        <v>15210</v>
      </c>
      <c r="C104" s="483" t="s">
        <v>524</v>
      </c>
      <c r="D104" s="483" t="s">
        <v>524</v>
      </c>
      <c r="E104" s="493" t="s">
        <v>15211</v>
      </c>
      <c r="F104" s="534" t="s">
        <v>2303</v>
      </c>
      <c r="G104" s="493" t="s">
        <v>2595</v>
      </c>
      <c r="H104" s="483" t="s">
        <v>15212</v>
      </c>
      <c r="I104" s="483" t="s">
        <v>17940</v>
      </c>
      <c r="J104" s="549" t="str">
        <f>HYPERLINK("https://www.google.com/maps/search/Cascata%20do%20Risco/@32.7700,-17.0100,17z","📍 Cascata do Risco")</f>
        <v>📍 Cascata do Risco</v>
      </c>
      <c r="K104" s="549" t="str">
        <f>HYPERLINK("https://maps.google.com/?q=Estacionamento%20Cascata%20do%20Risco%20Madeira","🅿️ Cascata do Risco")</f>
        <v>🅿️ Cascata do Risco</v>
      </c>
    </row>
    <row r="105" spans="1:11" ht="55" customHeight="1" x14ac:dyDescent="0.35">
      <c r="A105" s="504">
        <v>4</v>
      </c>
      <c r="B105" s="514" t="s">
        <v>15213</v>
      </c>
      <c r="C105" s="484" t="s">
        <v>524</v>
      </c>
      <c r="D105" s="484" t="s">
        <v>524</v>
      </c>
      <c r="E105" s="494" t="s">
        <v>15084</v>
      </c>
      <c r="F105" s="533" t="s">
        <v>2303</v>
      </c>
      <c r="G105" s="494" t="s">
        <v>2595</v>
      </c>
      <c r="H105" s="484" t="s">
        <v>15214</v>
      </c>
      <c r="I105" s="484" t="s">
        <v>17941</v>
      </c>
      <c r="J105" s="550" t="str">
        <f>HYPERLINK("https://maps.google.com/?q=25%20Fontes%20Madeira","📍 25 Fontes")</f>
        <v>📍 25 Fontes</v>
      </c>
      <c r="K105" s="550" t="str">
        <f>HYPERLINK("https://maps.google.com/?q=Estacionamento%2025%20Fontes%20Madeira","🅿️ 25 Fontes")</f>
        <v>🅿️ 25 Fontes</v>
      </c>
    </row>
    <row r="106" spans="1:11" ht="55" customHeight="1" x14ac:dyDescent="0.35">
      <c r="A106" s="503">
        <v>5</v>
      </c>
      <c r="B106" s="513" t="s">
        <v>15220</v>
      </c>
      <c r="C106" s="483" t="s">
        <v>524</v>
      </c>
      <c r="D106" s="483" t="s">
        <v>524</v>
      </c>
      <c r="E106" s="493" t="s">
        <v>15089</v>
      </c>
      <c r="F106" s="534" t="s">
        <v>2303</v>
      </c>
      <c r="G106" s="493" t="s">
        <v>15090</v>
      </c>
      <c r="H106" s="483" t="s">
        <v>5988</v>
      </c>
      <c r="I106" s="483" t="s">
        <v>17942</v>
      </c>
      <c r="J106" s="549" t="str">
        <f>HYPERLINK("https://maps.google.com/?q=Cascata%20do%20Caldeir%C3%A3o%20Madeira","📍 Cascata do Caldeirão")</f>
        <v>📍 Cascata do Caldeirão</v>
      </c>
      <c r="K106" s="549" t="str">
        <f>HYPERLINK("https://maps.google.com/?q=Estacionamento%20Cascata%20do%20Caldeir%C3%A3o%20Madeira","🅿️ Cascata do Caldeirão")</f>
        <v>🅿️ Cascata do Caldeirão</v>
      </c>
    </row>
    <row r="107" spans="1:11" ht="55" customHeight="1" x14ac:dyDescent="0.35">
      <c r="A107" s="504">
        <v>6</v>
      </c>
      <c r="B107" s="514" t="s">
        <v>15241</v>
      </c>
      <c r="C107" s="484" t="s">
        <v>524</v>
      </c>
      <c r="D107" s="484" t="s">
        <v>524</v>
      </c>
      <c r="E107" s="494" t="s">
        <v>15108</v>
      </c>
      <c r="F107" s="535" t="s">
        <v>2297</v>
      </c>
      <c r="G107" s="494" t="s">
        <v>2595</v>
      </c>
      <c r="H107" s="484" t="s">
        <v>8728</v>
      </c>
      <c r="I107" s="484" t="s">
        <v>17943</v>
      </c>
      <c r="J107" s="550" t="str">
        <f>HYPERLINK("https://maps.google.com/?q=Cascata%20de%20S%C3%A3o%20Vicente%20Madeira","📍 Cascata de São Vicente")</f>
        <v>📍 Cascata de São Vicente</v>
      </c>
      <c r="K107" s="550" t="str">
        <f>HYPERLINK("https://maps.google.com/?q=Estacionamento%20Cascata%20de%20S%C3%A3o%20Vicente%20Madeira","🅿️ Cascata de São Vicente")</f>
        <v>🅿️ Cascata de São Vicente</v>
      </c>
    </row>
    <row r="108" spans="1:11" ht="55" customHeight="1" x14ac:dyDescent="0.35">
      <c r="A108" s="503">
        <v>7</v>
      </c>
      <c r="B108" s="513" t="s">
        <v>15234</v>
      </c>
      <c r="C108" s="483" t="s">
        <v>524</v>
      </c>
      <c r="D108" s="483" t="s">
        <v>524</v>
      </c>
      <c r="E108" s="493" t="s">
        <v>3096</v>
      </c>
      <c r="F108" s="536" t="s">
        <v>2269</v>
      </c>
      <c r="G108" s="493" t="s">
        <v>2595</v>
      </c>
      <c r="H108" s="483" t="s">
        <v>5988</v>
      </c>
      <c r="I108" s="483" t="s">
        <v>17944</v>
      </c>
      <c r="J108" s="549" t="str">
        <f>HYPERLINK("https://maps.google.com/?q=Po%C3%A7o%20das%20Pulgas%20Madeira","📍 Poço das Pulgas")</f>
        <v>📍 Poço das Pulgas</v>
      </c>
      <c r="K108" s="549" t="str">
        <f>HYPERLINK("https://maps.google.com/?q=Estacionamento%20Po%C3%A7o%20das%20Pulgas%20Madeira","🅿️ Poço das Pulgas")</f>
        <v>🅿️ Poço das Pulgas</v>
      </c>
    </row>
    <row r="109" spans="1:11" ht="55" customHeight="1" x14ac:dyDescent="0.35">
      <c r="A109" s="504">
        <v>8</v>
      </c>
      <c r="B109" s="514" t="s">
        <v>15235</v>
      </c>
      <c r="C109" s="484" t="s">
        <v>524</v>
      </c>
      <c r="D109" s="484" t="s">
        <v>524</v>
      </c>
      <c r="E109" s="494" t="s">
        <v>15167</v>
      </c>
      <c r="F109" s="535" t="s">
        <v>2297</v>
      </c>
      <c r="G109" s="494" t="s">
        <v>2595</v>
      </c>
      <c r="H109" s="484" t="s">
        <v>8648</v>
      </c>
      <c r="I109" s="484" t="s">
        <v>17945</v>
      </c>
      <c r="J109" s="550" t="str">
        <f>HYPERLINK("https://maps.google.com/?q=Cascata%20V%C3%A9u%20da%20Noiva%20Madeira","📍 Cascata Véu da Noiva")</f>
        <v>📍 Cascata Véu da Noiva</v>
      </c>
      <c r="K109" s="550" t="str">
        <f>HYPERLINK("https://maps.google.com/?q=Estacionamento%20Cascata%20V%C3%A9u%20da%20Noiva%20Madeira","🅿️ Cascata Véu da Noiva")</f>
        <v>🅿️ Cascata Véu da Noiva</v>
      </c>
    </row>
    <row r="110" spans="1:11" ht="55" customHeight="1" x14ac:dyDescent="0.35">
      <c r="A110" s="503">
        <v>9</v>
      </c>
      <c r="B110" s="513" t="s">
        <v>15236</v>
      </c>
      <c r="C110" s="483" t="s">
        <v>524</v>
      </c>
      <c r="D110" s="483" t="s">
        <v>524</v>
      </c>
      <c r="E110" s="493" t="s">
        <v>15073</v>
      </c>
      <c r="F110" s="534" t="s">
        <v>2303</v>
      </c>
      <c r="G110" s="493" t="s">
        <v>2595</v>
      </c>
      <c r="H110" s="483" t="s">
        <v>2219</v>
      </c>
      <c r="I110" s="483" t="s">
        <v>17946</v>
      </c>
      <c r="J110" s="549" t="str">
        <f>HYPERLINK("https://maps.google.com/?q=Cascata%20da%20Levada%20Nova%20Madeira","📍 Cascata da Levada Nova")</f>
        <v>📍 Cascata da Levada Nova</v>
      </c>
      <c r="K110" s="549" t="str">
        <f>HYPERLINK("https://maps.google.com/?q=Estacionamento%20Cascata%20da%20Levada%20Nova%20Madeira","🅿️ Cascata da Levada Nova")</f>
        <v>🅿️ Cascata da Levada Nova</v>
      </c>
    </row>
    <row r="111" spans="1:11" ht="24" customHeight="1" x14ac:dyDescent="0.35">
      <c r="A111" s="1304" t="s">
        <v>17947</v>
      </c>
      <c r="B111" s="1304"/>
      <c r="C111" s="1304"/>
      <c r="D111" s="1304"/>
      <c r="E111" s="1304"/>
      <c r="F111" s="1304"/>
      <c r="G111" s="1304"/>
      <c r="H111" s="1304"/>
      <c r="I111" s="1304"/>
      <c r="J111" s="1304"/>
      <c r="K111" s="1304"/>
    </row>
    <row r="112" spans="1:11" ht="85" customHeight="1" x14ac:dyDescent="0.35"/>
    <row r="113" ht="22" customHeight="1" x14ac:dyDescent="0.35"/>
    <row r="114" ht="85" customHeight="1" x14ac:dyDescent="0.35"/>
    <row r="115" ht="85" customHeight="1" x14ac:dyDescent="0.35"/>
    <row r="116" ht="85" customHeight="1" x14ac:dyDescent="0.35"/>
    <row r="117" ht="22" customHeight="1" x14ac:dyDescent="0.35"/>
    <row r="118" ht="85" customHeight="1" x14ac:dyDescent="0.35"/>
    <row r="119" ht="85" customHeight="1" x14ac:dyDescent="0.35"/>
    <row r="120" ht="22" customHeight="1" x14ac:dyDescent="0.35"/>
    <row r="121" ht="85" customHeight="1" x14ac:dyDescent="0.35"/>
    <row r="122" ht="22" customHeight="1" x14ac:dyDescent="0.35"/>
    <row r="123" ht="85" customHeight="1" x14ac:dyDescent="0.35"/>
    <row r="124" ht="22" customHeight="1" x14ac:dyDescent="0.35"/>
    <row r="125" ht="85" customHeight="1" x14ac:dyDescent="0.35"/>
    <row r="126" ht="22" customHeight="1" x14ac:dyDescent="0.35"/>
    <row r="127" ht="85" customHeight="1" x14ac:dyDescent="0.35"/>
  </sheetData>
  <mergeCells count="10">
    <mergeCell ref="A71:K71"/>
    <mergeCell ref="A77:K77"/>
    <mergeCell ref="A101:K101"/>
    <mergeCell ref="A111:K111"/>
    <mergeCell ref="A1:K1"/>
    <mergeCell ref="A2:K2"/>
    <mergeCell ref="A4:K4"/>
    <mergeCell ref="A35:K35"/>
    <mergeCell ref="A67:K67"/>
    <mergeCell ref="A69:K69"/>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91"/>
  <sheetViews>
    <sheetView workbookViewId="0">
      <pane ySplit="3" topLeftCell="A69" activePane="bottomLeft" state="frozen"/>
      <selection pane="bottomLeft" activeCell="D74" sqref="D74"/>
    </sheetView>
  </sheetViews>
  <sheetFormatPr defaultRowHeight="14.5" x14ac:dyDescent="0.35"/>
  <cols>
    <col min="1" max="1" width="4" customWidth="1"/>
    <col min="2" max="2" width="36" customWidth="1"/>
    <col min="3" max="3" width="12" customWidth="1"/>
    <col min="4" max="4" width="34" customWidth="1"/>
    <col min="5" max="5" width="16" customWidth="1"/>
    <col min="6" max="6" width="26" customWidth="1"/>
    <col min="7" max="7" width="14" customWidth="1"/>
    <col min="8" max="8" width="24" customWidth="1"/>
    <col min="9" max="9" width="52" customWidth="1"/>
    <col min="10" max="10" width="58" customWidth="1"/>
    <col min="11" max="11" width="26.36328125" customWidth="1"/>
  </cols>
  <sheetData>
    <row r="1" spans="1:11" ht="32" customHeight="1" x14ac:dyDescent="0.45">
      <c r="A1" s="1476" t="s">
        <v>15243</v>
      </c>
      <c r="B1" s="1313"/>
      <c r="C1" s="1313"/>
      <c r="D1" s="1313"/>
      <c r="E1" s="1313"/>
      <c r="F1" s="1313"/>
      <c r="G1" s="1313"/>
      <c r="H1" s="1313"/>
      <c r="I1" s="1313"/>
      <c r="K1" s="676"/>
    </row>
    <row r="2" spans="1:11" ht="16" customHeight="1" x14ac:dyDescent="0.45">
      <c r="A2" s="1365" t="s">
        <v>15244</v>
      </c>
      <c r="B2" s="1313"/>
      <c r="C2" s="1313"/>
      <c r="D2" s="1313"/>
      <c r="E2" s="1313"/>
      <c r="F2" s="1313"/>
      <c r="G2" s="1313"/>
      <c r="H2" s="1313"/>
      <c r="I2" s="1313"/>
      <c r="K2" s="676"/>
    </row>
    <row r="3" spans="1:11" ht="24" customHeight="1" x14ac:dyDescent="0.35">
      <c r="A3" s="238" t="s">
        <v>141</v>
      </c>
      <c r="B3" s="238" t="s">
        <v>785</v>
      </c>
      <c r="C3" s="238" t="s">
        <v>619</v>
      </c>
      <c r="D3" s="238" t="s">
        <v>906</v>
      </c>
      <c r="E3" s="238" t="s">
        <v>15245</v>
      </c>
      <c r="F3" s="238" t="s">
        <v>908</v>
      </c>
      <c r="G3" s="238" t="s">
        <v>909</v>
      </c>
      <c r="H3" s="238" t="s">
        <v>788</v>
      </c>
      <c r="I3" s="303" t="s">
        <v>8</v>
      </c>
      <c r="J3" s="238" t="s">
        <v>539</v>
      </c>
      <c r="K3" s="713" t="s">
        <v>16558</v>
      </c>
    </row>
    <row r="4" spans="1:11" ht="22" customHeight="1" x14ac:dyDescent="0.45">
      <c r="A4" s="1479" t="s">
        <v>6740</v>
      </c>
      <c r="B4" s="1313"/>
      <c r="C4" s="1313"/>
      <c r="D4" s="1313"/>
      <c r="E4" s="1313"/>
      <c r="F4" s="1313"/>
      <c r="G4" s="1313"/>
      <c r="H4" s="1313"/>
      <c r="I4" s="1313"/>
      <c r="K4" s="676"/>
    </row>
    <row r="5" spans="1:11" ht="110" customHeight="1" x14ac:dyDescent="0.35">
      <c r="A5" s="338">
        <v>1</v>
      </c>
      <c r="B5" s="239" t="s">
        <v>1964</v>
      </c>
      <c r="C5" s="240" t="s">
        <v>792</v>
      </c>
      <c r="D5" s="239" t="s">
        <v>19696</v>
      </c>
      <c r="E5" s="239" t="s">
        <v>15246</v>
      </c>
      <c r="F5" s="239" t="s">
        <v>15247</v>
      </c>
      <c r="G5" s="239" t="s">
        <v>15248</v>
      </c>
      <c r="H5" s="239" t="s">
        <v>15249</v>
      </c>
      <c r="I5" s="304" t="s">
        <v>15250</v>
      </c>
      <c r="J5" s="257" t="str">
        <f>HYPERLINK("https://termasdechaves.pt","termasdechaves.pt")</f>
        <v>termasdechaves.pt</v>
      </c>
      <c r="K5" s="685" t="str">
        <f>HYPERLINK("https://www.google.com/maps/search/Termas%20de%20Chaves%20Largo%20do%20Tabolado%20Chaves%20Portugal","📍 Termas de Chaves Largo do Tabolado Chaves")</f>
        <v>📍 Termas de Chaves Largo do Tabolado Chaves</v>
      </c>
    </row>
    <row r="6" spans="1:11" ht="110" customHeight="1" x14ac:dyDescent="0.35">
      <c r="A6" s="336">
        <v>2</v>
      </c>
      <c r="B6" s="242" t="s">
        <v>6967</v>
      </c>
      <c r="C6" s="243" t="s">
        <v>792</v>
      </c>
      <c r="D6" s="242" t="s">
        <v>19697</v>
      </c>
      <c r="E6" s="242" t="s">
        <v>15251</v>
      </c>
      <c r="F6" s="242" t="s">
        <v>15252</v>
      </c>
      <c r="G6" s="242" t="s">
        <v>15253</v>
      </c>
      <c r="H6" s="242" t="s">
        <v>15254</v>
      </c>
      <c r="I6" s="305" t="s">
        <v>15255</v>
      </c>
      <c r="J6" s="258" t="str">
        <f>HYPERLINK("https://vidagopalace.com","vidagopalace.com")</f>
        <v>vidagopalace.com</v>
      </c>
      <c r="K6" s="692" t="str">
        <f>HYPERLINK("https://www.google.com/maps/search/Vidago%20Palace%20Termas%20Vidago%20Portugal","📍 Vidago Palace Termas Vidago")</f>
        <v>📍 Vidago Palace Termas Vidago</v>
      </c>
    </row>
    <row r="7" spans="1:11" ht="110" customHeight="1" x14ac:dyDescent="0.35">
      <c r="A7" s="338">
        <v>3</v>
      </c>
      <c r="B7" s="239" t="s">
        <v>15256</v>
      </c>
      <c r="C7" s="240" t="s">
        <v>792</v>
      </c>
      <c r="D7" s="239" t="s">
        <v>19698</v>
      </c>
      <c r="E7" s="239" t="s">
        <v>15257</v>
      </c>
      <c r="F7" s="239" t="s">
        <v>15258</v>
      </c>
      <c r="G7" s="239" t="s">
        <v>15259</v>
      </c>
      <c r="H7" s="239" t="s">
        <v>15260</v>
      </c>
      <c r="I7" s="304" t="s">
        <v>15261</v>
      </c>
      <c r="J7" s="257" t="str">
        <f>HYPERLINK("https://pedrassalgadas.pt","pedrassalgadas.pt")</f>
        <v>pedrassalgadas.pt</v>
      </c>
      <c r="K7" s="685" t="str">
        <f>HYPERLINK("https://www.google.com/maps/search/Spa%20Pedras%20Salgadas%20Boticas%20Portugal","📍 Spa Pedras Salgadas Boticas")</f>
        <v>📍 Spa Pedras Salgadas Boticas</v>
      </c>
    </row>
    <row r="8" spans="1:11" ht="110" customHeight="1" x14ac:dyDescent="0.35">
      <c r="A8" s="336">
        <v>4</v>
      </c>
      <c r="B8" s="242" t="s">
        <v>9798</v>
      </c>
      <c r="C8" s="243" t="s">
        <v>792</v>
      </c>
      <c r="D8" s="242" t="s">
        <v>19699</v>
      </c>
      <c r="E8" s="242" t="s">
        <v>15262</v>
      </c>
      <c r="F8" s="242" t="s">
        <v>15263</v>
      </c>
      <c r="G8" s="242" t="s">
        <v>15264</v>
      </c>
      <c r="H8" s="242" t="s">
        <v>15265</v>
      </c>
      <c r="I8" s="305" t="s">
        <v>15266</v>
      </c>
      <c r="J8" s="258" t="str">
        <f>HYPERLINK("https://termtour.pt","termtour.pt")</f>
        <v>termtour.pt</v>
      </c>
      <c r="K8" s="692" t="str">
        <f>HYPERLINK("https://www.google.com/maps/search/Termas%20Ger%C3%AAs%20Av%20Manuel%20Francisco%20Costa%20Portugal","📍 Termas Gerês Av Manuel Francisco Costa")</f>
        <v>📍 Termas Gerês Av Manuel Francisco Costa</v>
      </c>
    </row>
    <row r="9" spans="1:11" ht="110" customHeight="1" x14ac:dyDescent="0.35">
      <c r="A9" s="338">
        <v>5</v>
      </c>
      <c r="B9" s="239" t="s">
        <v>5857</v>
      </c>
      <c r="C9" s="240" t="s">
        <v>792</v>
      </c>
      <c r="D9" s="239" t="s">
        <v>19700</v>
      </c>
      <c r="E9" s="239" t="s">
        <v>15267</v>
      </c>
      <c r="F9" s="239" t="s">
        <v>15268</v>
      </c>
      <c r="G9" s="239" t="s">
        <v>15269</v>
      </c>
      <c r="H9" s="239" t="s">
        <v>15270</v>
      </c>
      <c r="I9" s="304" t="s">
        <v>15271</v>
      </c>
      <c r="J9" s="257" t="str">
        <f>HYPERLINK("https://termasmelgaco.pt","termasmelgaco.pt")</f>
        <v>termasmelgaco.pt</v>
      </c>
      <c r="K9" s="685" t="str">
        <f>HYPERLINK("https://www.google.com/maps/search/Termas%20Melga%C3%A7o%20Parque%20do%20Peso%20Portugal","📍 Termas Melgaço Parque do Peso")</f>
        <v>📍 Termas Melgaço Parque do Peso</v>
      </c>
    </row>
    <row r="10" spans="1:11" ht="110" customHeight="1" x14ac:dyDescent="0.35">
      <c r="A10" s="336">
        <v>6</v>
      </c>
      <c r="B10" s="242" t="s">
        <v>4548</v>
      </c>
      <c r="C10" s="243" t="s">
        <v>792</v>
      </c>
      <c r="D10" s="242" t="s">
        <v>19701</v>
      </c>
      <c r="E10" s="242" t="s">
        <v>15272</v>
      </c>
      <c r="F10" s="242" t="s">
        <v>15273</v>
      </c>
      <c r="G10" s="242" t="s">
        <v>15274</v>
      </c>
      <c r="H10" s="242" t="s">
        <v>15275</v>
      </c>
      <c r="I10" s="305" t="s">
        <v>15276</v>
      </c>
      <c r="J10" s="258" t="str">
        <f>HYPERLINK("https://termasdevizela.pt","termasdevizela.pt")</f>
        <v>termasdevizela.pt</v>
      </c>
      <c r="K10" s="692" t="str">
        <f>HYPERLINK("https://www.google.com/maps/search/Termas%20Vizela%20Rua%20Dr%20Abilio%20Torres%20Portugal","📍 Termas Vizela Rua Dr Abilio Torres")</f>
        <v>📍 Termas Vizela Rua Dr Abilio Torres</v>
      </c>
    </row>
    <row r="11" spans="1:11" ht="110" customHeight="1" x14ac:dyDescent="0.35">
      <c r="A11" s="338">
        <v>7</v>
      </c>
      <c r="B11" s="239" t="s">
        <v>5479</v>
      </c>
      <c r="C11" s="240" t="s">
        <v>792</v>
      </c>
      <c r="D11" s="239" t="s">
        <v>19702</v>
      </c>
      <c r="E11" s="239" t="s">
        <v>15277</v>
      </c>
      <c r="F11" s="239" t="s">
        <v>15278</v>
      </c>
      <c r="G11" s="239" t="s">
        <v>15279</v>
      </c>
      <c r="H11" s="239" t="s">
        <v>15280</v>
      </c>
      <c r="I11" s="304" t="s">
        <v>15281</v>
      </c>
      <c r="J11" s="257" t="str">
        <f>HYPERLINK("https://termasmoncao.com","termasmoncao.com")</f>
        <v>termasmoncao.com</v>
      </c>
      <c r="K11" s="685" t="str">
        <f>HYPERLINK("https://www.google.com/maps/search/Termas%20Mon%C3%A7%C3%A3o%20Avenida%20das%20Termas%20Portugal","📍 Termas Monção Avenida das Termas")</f>
        <v>📍 Termas Monção Avenida das Termas</v>
      </c>
    </row>
    <row r="12" spans="1:11" ht="110" customHeight="1" x14ac:dyDescent="0.35">
      <c r="A12" s="336">
        <v>8</v>
      </c>
      <c r="B12" s="242" t="s">
        <v>15282</v>
      </c>
      <c r="C12" s="243" t="s">
        <v>792</v>
      </c>
      <c r="D12" s="242" t="s">
        <v>19703</v>
      </c>
      <c r="E12" s="242" t="s">
        <v>15283</v>
      </c>
      <c r="F12" s="242" t="s">
        <v>15284</v>
      </c>
      <c r="G12" s="242" t="s">
        <v>15285</v>
      </c>
      <c r="H12" s="242" t="s">
        <v>7576</v>
      </c>
      <c r="I12" s="305" t="s">
        <v>15286</v>
      </c>
      <c r="J12" s="242" t="s">
        <v>3096</v>
      </c>
      <c r="K12" s="691" t="str">
        <f>HYPERLINK("https://www.google.com/maps/search/Termas%20Caldas%20de%20Moledo%20Peso%20da%20Regua%20Portugal","📍 Termas Caldas de Moledo Peso da Regua")</f>
        <v>📍 Termas Caldas de Moledo Peso da Regua</v>
      </c>
    </row>
    <row r="13" spans="1:11" ht="110" customHeight="1" x14ac:dyDescent="0.35">
      <c r="A13" s="338">
        <v>9</v>
      </c>
      <c r="B13" s="239" t="s">
        <v>15287</v>
      </c>
      <c r="C13" s="240" t="s">
        <v>792</v>
      </c>
      <c r="D13" s="239" t="s">
        <v>19704</v>
      </c>
      <c r="E13" s="239" t="s">
        <v>15288</v>
      </c>
      <c r="F13" s="239" t="s">
        <v>15289</v>
      </c>
      <c r="G13" s="239" t="s">
        <v>2825</v>
      </c>
      <c r="H13" s="239" t="s">
        <v>15290</v>
      </c>
      <c r="I13" s="304" t="s">
        <v>15291</v>
      </c>
      <c r="J13" s="257" t="str">
        <f>HYPERLINK("https://termascarvalhelhos.pt","termascarvalhelhos.pt")</f>
        <v>termascarvalhelhos.pt</v>
      </c>
      <c r="K13" s="685" t="str">
        <f>HYPERLINK("https://www.google.com/maps/search/Termas%20Carvalhelhos%20Boticas%20Portugal","📍 Termas Carvalhelhos Boticas")</f>
        <v>📍 Termas Carvalhelhos Boticas</v>
      </c>
    </row>
    <row r="14" spans="1:11" ht="110" customHeight="1" x14ac:dyDescent="0.35">
      <c r="A14" s="336">
        <v>10</v>
      </c>
      <c r="B14" s="242" t="s">
        <v>15292</v>
      </c>
      <c r="C14" s="243" t="s">
        <v>792</v>
      </c>
      <c r="D14" s="242" t="s">
        <v>19705</v>
      </c>
      <c r="E14" s="242" t="s">
        <v>15293</v>
      </c>
      <c r="F14" s="242" t="s">
        <v>15294</v>
      </c>
      <c r="G14" s="242" t="s">
        <v>15264</v>
      </c>
      <c r="H14" s="242" t="s">
        <v>15295</v>
      </c>
      <c r="I14" s="305" t="s">
        <v>15296</v>
      </c>
      <c r="J14" s="242" t="s">
        <v>3096</v>
      </c>
      <c r="K14" s="691" t="str">
        <f>HYPERLINK("https://www.google.com/maps/search/Termas%20S%C3%A3o%20Vicente%20Penafiel%20Portugal","📍 Termas São Vicente Penafiel")</f>
        <v>📍 Termas São Vicente Penafiel</v>
      </c>
    </row>
    <row r="15" spans="1:11" ht="110" customHeight="1" x14ac:dyDescent="0.35">
      <c r="A15" s="338">
        <v>11</v>
      </c>
      <c r="B15" s="239" t="s">
        <v>15297</v>
      </c>
      <c r="C15" s="240" t="s">
        <v>792</v>
      </c>
      <c r="D15" s="239" t="s">
        <v>19706</v>
      </c>
      <c r="E15" s="239" t="s">
        <v>15298</v>
      </c>
      <c r="F15" s="239" t="s">
        <v>15299</v>
      </c>
      <c r="G15" s="239" t="s">
        <v>15300</v>
      </c>
      <c r="H15" s="239" t="s">
        <v>15301</v>
      </c>
      <c r="I15" s="304" t="s">
        <v>15302</v>
      </c>
      <c r="J15" s="257" t="str">
        <f>HYPERLINK("https://termasdetaipas.pt","termasdetaipas.pt")</f>
        <v>termasdetaipas.pt</v>
      </c>
      <c r="K15" s="685" t="str">
        <f>HYPERLINK("https://www.google.com/maps/search/Termas%20Taipas%20Caldas%20Taipas%20Guimar%C3%A3es%20Portugal","📍 Termas Taipas Caldas Taipas Guimarães")</f>
        <v>📍 Termas Taipas Caldas Taipas Guimarães</v>
      </c>
    </row>
    <row r="16" spans="1:11" ht="110" customHeight="1" x14ac:dyDescent="0.35">
      <c r="A16" s="336">
        <v>12</v>
      </c>
      <c r="B16" s="242" t="s">
        <v>1184</v>
      </c>
      <c r="C16" s="243" t="s">
        <v>792</v>
      </c>
      <c r="D16" s="242" t="s">
        <v>19707</v>
      </c>
      <c r="E16" s="242" t="s">
        <v>15303</v>
      </c>
      <c r="F16" s="242" t="s">
        <v>15304</v>
      </c>
      <c r="G16" s="242" t="s">
        <v>15248</v>
      </c>
      <c r="H16" s="242" t="s">
        <v>15305</v>
      </c>
      <c r="I16" s="305" t="s">
        <v>15306</v>
      </c>
      <c r="J16" s="258" t="str">
        <f>HYPERLINK("https://termasamarante.pt","termasamarante.pt")</f>
        <v>termasamarante.pt</v>
      </c>
      <c r="K16" s="692" t="str">
        <f>HYPERLINK("https://www.google.com/maps/search/Termas%20Amarante%20Rua%20das%20Termas%20Portugal","📍 Termas Amarante Rua das Termas")</f>
        <v>📍 Termas Amarante Rua das Termas</v>
      </c>
    </row>
    <row r="17" spans="1:11" ht="110" customHeight="1" x14ac:dyDescent="0.35">
      <c r="A17" s="338">
        <v>13</v>
      </c>
      <c r="B17" s="239" t="s">
        <v>15307</v>
      </c>
      <c r="C17" s="240" t="s">
        <v>792</v>
      </c>
      <c r="D17" s="239" t="s">
        <v>19708</v>
      </c>
      <c r="E17" s="239" t="s">
        <v>15308</v>
      </c>
      <c r="F17" s="239" t="s">
        <v>15309</v>
      </c>
      <c r="G17" s="239" t="s">
        <v>15310</v>
      </c>
      <c r="H17" s="239" t="s">
        <v>7576</v>
      </c>
      <c r="I17" s="304" t="s">
        <v>15311</v>
      </c>
      <c r="J17" s="257" t="str">
        <f>HYPERLINK("https://termasdecaldelas.pt","termasdecaldelas.pt")</f>
        <v>termasdecaldelas.pt</v>
      </c>
      <c r="K17" s="685" t="str">
        <f>HYPERLINK("https://www.google.com/maps/search/Termas%20Caldelas%20Amares%20Portugal","📍 Termas Caldelas Amares")</f>
        <v>📍 Termas Caldelas Amares</v>
      </c>
    </row>
    <row r="18" spans="1:11" ht="110" customHeight="1" x14ac:dyDescent="0.35">
      <c r="A18" s="336">
        <v>14</v>
      </c>
      <c r="B18" s="242" t="s">
        <v>15312</v>
      </c>
      <c r="C18" s="243" t="s">
        <v>792</v>
      </c>
      <c r="D18" s="242" t="s">
        <v>19709</v>
      </c>
      <c r="E18" s="242" t="s">
        <v>15313</v>
      </c>
      <c r="F18" s="242" t="s">
        <v>15314</v>
      </c>
      <c r="G18" s="242" t="s">
        <v>15269</v>
      </c>
      <c r="H18" s="242" t="s">
        <v>15315</v>
      </c>
      <c r="I18" s="305" t="s">
        <v>15316</v>
      </c>
      <c r="J18" s="242" t="s">
        <v>3096</v>
      </c>
      <c r="K18" s="691" t="str">
        <f>HYPERLINK("https://www.google.com/maps/search/Termas%20Carl%C3%A3o%20Alij%C3%B3%20Douro%20Portugal","📍 Termas Carlão Alijó Douro")</f>
        <v>📍 Termas Carlão Alijó Douro</v>
      </c>
    </row>
    <row r="19" spans="1:11" ht="110" customHeight="1" x14ac:dyDescent="0.35">
      <c r="A19" s="338">
        <v>15</v>
      </c>
      <c r="B19" s="239" t="s">
        <v>15317</v>
      </c>
      <c r="C19" s="240" t="s">
        <v>792</v>
      </c>
      <c r="D19" s="239" t="s">
        <v>19710</v>
      </c>
      <c r="E19" s="239" t="s">
        <v>15318</v>
      </c>
      <c r="F19" s="239" t="s">
        <v>15319</v>
      </c>
      <c r="G19" s="239" t="s">
        <v>15285</v>
      </c>
      <c r="H19" s="239" t="s">
        <v>1136</v>
      </c>
      <c r="I19" s="304" t="s">
        <v>15320</v>
      </c>
      <c r="J19" s="239" t="s">
        <v>3096</v>
      </c>
      <c r="K19" s="684" t="str">
        <f>HYPERLINK("https://www.google.com/maps/search/Termas%20Eirogo%20Barcelos%20Portugal","📍 Termas Eirogo Barcelos")</f>
        <v>📍 Termas Eirogo Barcelos</v>
      </c>
    </row>
    <row r="20" spans="1:11" ht="110" customHeight="1" x14ac:dyDescent="0.35">
      <c r="A20" s="336">
        <v>16</v>
      </c>
      <c r="B20" s="242" t="s">
        <v>15321</v>
      </c>
      <c r="C20" s="243" t="s">
        <v>792</v>
      </c>
      <c r="D20" s="242" t="s">
        <v>19711</v>
      </c>
      <c r="E20" s="242" t="s">
        <v>15322</v>
      </c>
      <c r="F20" s="242" t="s">
        <v>15284</v>
      </c>
      <c r="G20" s="242" t="s">
        <v>15248</v>
      </c>
      <c r="H20" s="242" t="s">
        <v>1075</v>
      </c>
      <c r="I20" s="305" t="s">
        <v>15323</v>
      </c>
      <c r="J20" s="242" t="s">
        <v>3096</v>
      </c>
      <c r="K20" s="691" t="str">
        <f>HYPERLINK("https://www.google.com/maps/search/Termas%20Entre-os-Rios%20Penafiel%20Portugal","📍 Termas Entre-os-Rios Penafiel")</f>
        <v>📍 Termas Entre-os-Rios Penafiel</v>
      </c>
    </row>
    <row r="21" spans="1:11" ht="110" customHeight="1" x14ac:dyDescent="0.35">
      <c r="A21" s="338">
        <v>17</v>
      </c>
      <c r="B21" s="239" t="s">
        <v>15324</v>
      </c>
      <c r="C21" s="240" t="s">
        <v>792</v>
      </c>
      <c r="D21" s="239" t="s">
        <v>19712</v>
      </c>
      <c r="E21" s="239" t="s">
        <v>15325</v>
      </c>
      <c r="F21" s="239" t="s">
        <v>15326</v>
      </c>
      <c r="G21" s="239" t="s">
        <v>15274</v>
      </c>
      <c r="H21" s="239" t="s">
        <v>15327</v>
      </c>
      <c r="I21" s="304" t="s">
        <v>15328</v>
      </c>
      <c r="J21" s="239" t="s">
        <v>3096</v>
      </c>
      <c r="K21" s="684" t="str">
        <f>HYPERLINK("https://www.google.com/maps/search/Termas%20Caldas%20Sa%C3%BAde%20Santo%20Tirso%20Portugal","📍 Termas Caldas Saúde Santo Tirso")</f>
        <v>📍 Termas Caldas Saúde Santo Tirso</v>
      </c>
    </row>
    <row r="22" spans="1:11" ht="110" customHeight="1" x14ac:dyDescent="0.35">
      <c r="A22" s="336">
        <v>18</v>
      </c>
      <c r="B22" s="242" t="s">
        <v>15329</v>
      </c>
      <c r="C22" s="243" t="s">
        <v>792</v>
      </c>
      <c r="D22" s="242" t="s">
        <v>19713</v>
      </c>
      <c r="E22" s="242" t="s">
        <v>15330</v>
      </c>
      <c r="F22" s="242" t="s">
        <v>15284</v>
      </c>
      <c r="G22" s="242" t="s">
        <v>15285</v>
      </c>
      <c r="H22" s="242" t="s">
        <v>1075</v>
      </c>
      <c r="I22" s="305" t="s">
        <v>15331</v>
      </c>
      <c r="J22" s="242" t="s">
        <v>3096</v>
      </c>
      <c r="K22" s="691" t="str">
        <f>HYPERLINK("https://www.google.com/maps/search/Termas%20Canavezes%20Marco%20de%20Canaveses%20Portugal","📍 Termas Canavezes Marco de Canaveses")</f>
        <v>📍 Termas Canavezes Marco de Canaveses</v>
      </c>
    </row>
    <row r="23" spans="1:11" ht="110" customHeight="1" x14ac:dyDescent="0.35">
      <c r="A23" s="338">
        <v>19</v>
      </c>
      <c r="B23" s="239" t="s">
        <v>15332</v>
      </c>
      <c r="C23" s="240" t="s">
        <v>792</v>
      </c>
      <c r="D23" s="239" t="s">
        <v>19714</v>
      </c>
      <c r="E23" s="239" t="s">
        <v>15333</v>
      </c>
      <c r="F23" s="239" t="s">
        <v>15268</v>
      </c>
      <c r="G23" s="239" t="s">
        <v>7858</v>
      </c>
      <c r="H23" s="239" t="s">
        <v>6742</v>
      </c>
      <c r="I23" s="304" t="s">
        <v>15334</v>
      </c>
      <c r="J23" s="239" t="s">
        <v>3096</v>
      </c>
      <c r="K23" s="684" t="str">
        <f>HYPERLINK("https://www.google.com/maps/search/Termas%20Fonte%20Vila%20Mogadouro%20Portugal","📍 Termas Fonte Vila Mogadouro")</f>
        <v>📍 Termas Fonte Vila Mogadouro</v>
      </c>
    </row>
    <row r="24" spans="1:11" ht="110" customHeight="1" x14ac:dyDescent="0.35">
      <c r="A24" s="336">
        <v>20</v>
      </c>
      <c r="B24" s="242" t="s">
        <v>15335</v>
      </c>
      <c r="C24" s="243" t="s">
        <v>792</v>
      </c>
      <c r="D24" s="242" t="s">
        <v>19715</v>
      </c>
      <c r="E24" s="242" t="s">
        <v>15336</v>
      </c>
      <c r="F24" s="242" t="s">
        <v>15284</v>
      </c>
      <c r="G24" s="242" t="s">
        <v>2825</v>
      </c>
      <c r="H24" s="242" t="s">
        <v>1136</v>
      </c>
      <c r="I24" s="305" t="s">
        <v>15337</v>
      </c>
      <c r="J24" s="242" t="s">
        <v>3096</v>
      </c>
      <c r="K24" s="691" t="str">
        <f>HYPERLINK("https://www.google.com/maps/search/Termas%20S%C3%A3o%20Louren%C3%A7o%20Ansi%C3%A3es%20Carrazeda%20Portugal","📍 Termas São Lourenço Ansiães Carrazeda")</f>
        <v>📍 Termas São Lourenço Ansiães Carrazeda</v>
      </c>
    </row>
    <row r="25" spans="1:11" ht="110" customHeight="1" x14ac:dyDescent="0.35">
      <c r="A25" s="338">
        <v>21</v>
      </c>
      <c r="B25" s="239" t="s">
        <v>15338</v>
      </c>
      <c r="C25" s="240" t="s">
        <v>792</v>
      </c>
      <c r="D25" s="239" t="s">
        <v>19716</v>
      </c>
      <c r="E25" s="239" t="s">
        <v>15339</v>
      </c>
      <c r="F25" s="239" t="s">
        <v>15340</v>
      </c>
      <c r="G25" s="239" t="s">
        <v>15279</v>
      </c>
      <c r="H25" s="239" t="s">
        <v>15280</v>
      </c>
      <c r="I25" s="304" t="s">
        <v>15341</v>
      </c>
      <c r="J25" s="239" t="s">
        <v>3096</v>
      </c>
      <c r="K25" s="684" t="str">
        <f>HYPERLINK("https://www.google.com/maps/search/Termas%20Longroiva%20Meda%20Portugal","📍 Termas Longroiva Meda")</f>
        <v>📍 Termas Longroiva Meda</v>
      </c>
    </row>
    <row r="26" spans="1:11" ht="110" customHeight="1" x14ac:dyDescent="0.35">
      <c r="A26" s="336">
        <v>22</v>
      </c>
      <c r="B26" s="242" t="s">
        <v>5850</v>
      </c>
      <c r="C26" s="243" t="s">
        <v>792</v>
      </c>
      <c r="D26" s="242" t="s">
        <v>19717</v>
      </c>
      <c r="E26" s="242" t="s">
        <v>15342</v>
      </c>
      <c r="F26" s="242" t="s">
        <v>15343</v>
      </c>
      <c r="G26" s="242" t="s">
        <v>15269</v>
      </c>
      <c r="H26" s="242" t="s">
        <v>1063</v>
      </c>
      <c r="I26" s="305" t="s">
        <v>15344</v>
      </c>
      <c r="J26" s="242" t="s">
        <v>3096</v>
      </c>
      <c r="K26" s="691" t="str">
        <f>HYPERLINK("https://www.google.com/maps/search/Termas%20Terras%20de%20Bouro%20Moimenta%20Portugal","📍 Termas Terras de Bouro Moimenta")</f>
        <v>📍 Termas Terras de Bouro Moimenta</v>
      </c>
    </row>
    <row r="27" spans="1:11" ht="110" customHeight="1" x14ac:dyDescent="0.35">
      <c r="A27" s="338">
        <v>23</v>
      </c>
      <c r="B27" s="239" t="s">
        <v>15345</v>
      </c>
      <c r="C27" s="240" t="s">
        <v>792</v>
      </c>
      <c r="D27" s="239" t="s">
        <v>19718</v>
      </c>
      <c r="E27" s="239" t="s">
        <v>15346</v>
      </c>
      <c r="F27" s="239" t="s">
        <v>15284</v>
      </c>
      <c r="G27" s="239" t="s">
        <v>15285</v>
      </c>
      <c r="H27" s="239" t="s">
        <v>1136</v>
      </c>
      <c r="I27" s="304" t="s">
        <v>15347</v>
      </c>
      <c r="J27" s="239" t="s">
        <v>3096</v>
      </c>
      <c r="K27" s="684" t="str">
        <f>HYPERLINK("https://www.google.com/maps/search/Termas%20Presegueda%20Regua%20Portugal","📍 Termas Presegueda Regua")</f>
        <v>📍 Termas Presegueda Regua</v>
      </c>
    </row>
    <row r="28" spans="1:11" ht="110" customHeight="1" x14ac:dyDescent="0.35">
      <c r="A28" s="336">
        <v>24</v>
      </c>
      <c r="B28" s="242" t="s">
        <v>15348</v>
      </c>
      <c r="C28" s="243" t="s">
        <v>792</v>
      </c>
      <c r="D28" s="242" t="s">
        <v>19719</v>
      </c>
      <c r="E28" s="242" t="s">
        <v>15349</v>
      </c>
      <c r="F28" s="242" t="s">
        <v>15350</v>
      </c>
      <c r="G28" s="242" t="s">
        <v>15264</v>
      </c>
      <c r="H28" s="242" t="s">
        <v>15351</v>
      </c>
      <c r="I28" s="305" t="s">
        <v>15352</v>
      </c>
      <c r="J28" s="258" t="str">
        <f>HYPERLINK("https://termtour.pt","termtour.pt")</f>
        <v>termtour.pt</v>
      </c>
      <c r="K28" s="692" t="str">
        <f>HYPERLINK("https://www.google.com/maps/search/Nascente%20Termal%20Geres%20Parque%20Nacional%20Portugal","📍 Nascente Termal Geres Parque Nacional")</f>
        <v>📍 Nascente Termal Geres Parque Nacional</v>
      </c>
    </row>
    <row r="29" spans="1:11" ht="110" customHeight="1" x14ac:dyDescent="0.35">
      <c r="A29" s="338">
        <v>25</v>
      </c>
      <c r="B29" s="239" t="s">
        <v>15353</v>
      </c>
      <c r="C29" s="240" t="s">
        <v>792</v>
      </c>
      <c r="D29" s="239" t="s">
        <v>19720</v>
      </c>
      <c r="E29" s="239" t="s">
        <v>10459</v>
      </c>
      <c r="F29" s="239" t="s">
        <v>15284</v>
      </c>
      <c r="G29" s="239" t="s">
        <v>15269</v>
      </c>
      <c r="H29" s="239" t="s">
        <v>1075</v>
      </c>
      <c r="I29" s="304" t="s">
        <v>15354</v>
      </c>
      <c r="J29" s="239" t="s">
        <v>3096</v>
      </c>
      <c r="K29" s="684" t="str">
        <f>HYPERLINK("https://www.google.com/maps/search/Caldas%20de%20Moledo%20Regua%20Portugal","📍 Caldas de Moledo Regua")</f>
        <v>📍 Caldas de Moledo Regua</v>
      </c>
    </row>
    <row r="30" spans="1:11" ht="22" customHeight="1" x14ac:dyDescent="0.45">
      <c r="A30" s="1475" t="s">
        <v>7280</v>
      </c>
      <c r="B30" s="1313"/>
      <c r="C30" s="1313"/>
      <c r="D30" s="1313"/>
      <c r="E30" s="1313"/>
      <c r="F30" s="1313"/>
      <c r="G30" s="1313"/>
      <c r="H30" s="1313"/>
      <c r="I30" s="1313"/>
      <c r="K30" s="676"/>
    </row>
    <row r="31" spans="1:11" ht="110" customHeight="1" x14ac:dyDescent="0.35">
      <c r="A31" s="358">
        <v>1</v>
      </c>
      <c r="B31" s="259" t="s">
        <v>15355</v>
      </c>
      <c r="C31" s="260" t="s">
        <v>836</v>
      </c>
      <c r="D31" s="259" t="s">
        <v>19721</v>
      </c>
      <c r="E31" s="259" t="s">
        <v>15246</v>
      </c>
      <c r="F31" s="259" t="s">
        <v>15356</v>
      </c>
      <c r="G31" s="259" t="s">
        <v>15357</v>
      </c>
      <c r="H31" s="259" t="s">
        <v>15358</v>
      </c>
      <c r="I31" s="305" t="s">
        <v>15359</v>
      </c>
      <c r="J31" s="286" t="str">
        <f>HYPERLINK("https://termaspedrosul.pt","termaspedrosul.pt")</f>
        <v>termaspedrosul.pt</v>
      </c>
      <c r="K31" s="699" t="str">
        <f>HYPERLINK("https://www.google.com/maps/search/Termas%20S%C3%A3o%20Pedro%20do%20Sul%20Varzea%20Portugal","📍 Termas São Pedro do Sul Varzea")</f>
        <v>📍 Termas São Pedro do Sul Varzea</v>
      </c>
    </row>
    <row r="32" spans="1:11" ht="110" customHeight="1" x14ac:dyDescent="0.35">
      <c r="A32" s="352">
        <v>2</v>
      </c>
      <c r="B32" s="262" t="s">
        <v>7682</v>
      </c>
      <c r="C32" s="263" t="s">
        <v>836</v>
      </c>
      <c r="D32" s="262" t="s">
        <v>19722</v>
      </c>
      <c r="E32" s="262" t="s">
        <v>15360</v>
      </c>
      <c r="F32" s="262" t="s">
        <v>15361</v>
      </c>
      <c r="G32" s="262" t="s">
        <v>15248</v>
      </c>
      <c r="H32" s="262" t="s">
        <v>15260</v>
      </c>
      <c r="I32" s="304" t="s">
        <v>15362</v>
      </c>
      <c r="J32" s="287" t="str">
        <f>HYPERLINK("https://termasdeluso.pt","termasdeluso.pt")</f>
        <v>termasdeluso.pt</v>
      </c>
      <c r="K32" s="706" t="str">
        <f>HYPERLINK("https://www.google.com/maps/search/Termas%20Luso%20Rua%20Dr%20Jose%20Cid%20Oliveira%20Portugal","📍 Termas Luso Rua Dr Jose Cid Oliveira")</f>
        <v>📍 Termas Luso Rua Dr Jose Cid Oliveira</v>
      </c>
    </row>
    <row r="33" spans="1:11" ht="110" customHeight="1" x14ac:dyDescent="0.35">
      <c r="A33" s="358">
        <v>3</v>
      </c>
      <c r="B33" s="259" t="s">
        <v>15363</v>
      </c>
      <c r="C33" s="260" t="s">
        <v>836</v>
      </c>
      <c r="D33" s="259" t="s">
        <v>19723</v>
      </c>
      <c r="E33" s="259" t="s">
        <v>15364</v>
      </c>
      <c r="F33" s="259" t="s">
        <v>15365</v>
      </c>
      <c r="G33" s="259" t="s">
        <v>15269</v>
      </c>
      <c r="H33" s="259" t="s">
        <v>15366</v>
      </c>
      <c r="I33" s="305" t="s">
        <v>15367</v>
      </c>
      <c r="J33" s="286" t="str">
        <f>HYPERLINK("https://termasmonfortinho.pt","termasmonfortinho.pt")</f>
        <v>termasmonfortinho.pt</v>
      </c>
      <c r="K33" s="699" t="str">
        <f>HYPERLINK("https://www.google.com/maps/search/Termas%20Monfortinho%20Idanha-a-Nova%20Portugal","📍 Termas Monfortinho Idanha-a-Nova")</f>
        <v>📍 Termas Monfortinho Idanha-a-Nova</v>
      </c>
    </row>
    <row r="34" spans="1:11" ht="110" customHeight="1" x14ac:dyDescent="0.35">
      <c r="A34" s="352">
        <v>4</v>
      </c>
      <c r="B34" s="262" t="s">
        <v>15368</v>
      </c>
      <c r="C34" s="263" t="s">
        <v>836</v>
      </c>
      <c r="D34" s="262" t="s">
        <v>19724</v>
      </c>
      <c r="E34" s="262" t="s">
        <v>15369</v>
      </c>
      <c r="F34" s="262" t="s">
        <v>15370</v>
      </c>
      <c r="G34" s="262" t="s">
        <v>15248</v>
      </c>
      <c r="H34" s="262" t="s">
        <v>1063</v>
      </c>
      <c r="I34" s="304" t="s">
        <v>15371</v>
      </c>
      <c r="J34" s="287" t="str">
        <f>HYPERLINK("https://thermalhotels.pt","thermalhotels.pt")</f>
        <v>thermalhotels.pt</v>
      </c>
      <c r="K34" s="706" t="str">
        <f>HYPERLINK("https://www.google.com/maps/search/Termas%20Curia%20Anadia%20Portugal","📍 Termas Curia Anadia")</f>
        <v>📍 Termas Curia Anadia</v>
      </c>
    </row>
    <row r="35" spans="1:11" ht="110" customHeight="1" x14ac:dyDescent="0.35">
      <c r="A35" s="358">
        <v>5</v>
      </c>
      <c r="B35" s="259" t="s">
        <v>15372</v>
      </c>
      <c r="C35" s="260" t="s">
        <v>836</v>
      </c>
      <c r="D35" s="259" t="s">
        <v>19725</v>
      </c>
      <c r="E35" s="259" t="s">
        <v>15373</v>
      </c>
      <c r="F35" s="259" t="s">
        <v>15374</v>
      </c>
      <c r="G35" s="259" t="s">
        <v>15375</v>
      </c>
      <c r="H35" s="259" t="s">
        <v>15376</v>
      </c>
      <c r="I35" s="305" t="s">
        <v>15377</v>
      </c>
      <c r="J35" s="286" t="str">
        <f>HYPERLINK("https://h2otel.pt","h2otel.pt")</f>
        <v>h2otel.pt</v>
      </c>
      <c r="K35" s="699" t="str">
        <f>HYPERLINK("https://www.google.com/maps/search/H2otel%20Unhais%20da%20Serra%20Covilh%C3%A3%20Portugal","📍 H2otel Unhais da Serra Covilhã")</f>
        <v>📍 H2otel Unhais da Serra Covilhã</v>
      </c>
    </row>
    <row r="36" spans="1:11" ht="110" customHeight="1" x14ac:dyDescent="0.35">
      <c r="A36" s="352">
        <v>6</v>
      </c>
      <c r="B36" s="262" t="s">
        <v>15378</v>
      </c>
      <c r="C36" s="263" t="s">
        <v>836</v>
      </c>
      <c r="D36" s="262" t="s">
        <v>19726</v>
      </c>
      <c r="E36" s="262" t="s">
        <v>15379</v>
      </c>
      <c r="F36" s="262" t="s">
        <v>15284</v>
      </c>
      <c r="G36" s="262" t="s">
        <v>15264</v>
      </c>
      <c r="H36" s="262" t="s">
        <v>1136</v>
      </c>
      <c r="I36" s="304" t="s">
        <v>15380</v>
      </c>
      <c r="J36" s="287" t="str">
        <f>HYPERLINK("https://termasalcafache.pt","termasalcafache.pt")</f>
        <v>termasalcafache.pt</v>
      </c>
      <c r="K36" s="706" t="str">
        <f>HYPERLINK("https://www.google.com/maps/search/Termas%20Alcafache%20Viseu%20Portugal","📍 Termas Alcafache Viseu")</f>
        <v>📍 Termas Alcafache Viseu</v>
      </c>
    </row>
    <row r="37" spans="1:11" ht="110" customHeight="1" x14ac:dyDescent="0.35">
      <c r="A37" s="358">
        <v>7</v>
      </c>
      <c r="B37" s="259" t="s">
        <v>15381</v>
      </c>
      <c r="C37" s="260" t="s">
        <v>836</v>
      </c>
      <c r="D37" s="259" t="s">
        <v>19727</v>
      </c>
      <c r="E37" s="259" t="s">
        <v>15382</v>
      </c>
      <c r="F37" s="259" t="s">
        <v>15383</v>
      </c>
      <c r="G37" s="259" t="s">
        <v>15384</v>
      </c>
      <c r="H37" s="259" t="s">
        <v>15385</v>
      </c>
      <c r="I37" s="305" t="s">
        <v>15386</v>
      </c>
      <c r="J37" s="259" t="s">
        <v>3096</v>
      </c>
      <c r="K37" s="698" t="str">
        <f>HYPERLINK("https://www.google.com/maps/search/Termas%20S%C3%A3o%20Jorge%20Feira%20Portugal","📍 Termas São Jorge Feira")</f>
        <v>📍 Termas São Jorge Feira</v>
      </c>
    </row>
    <row r="38" spans="1:11" ht="110" customHeight="1" x14ac:dyDescent="0.35">
      <c r="A38" s="352">
        <v>8</v>
      </c>
      <c r="B38" s="262" t="s">
        <v>5892</v>
      </c>
      <c r="C38" s="263" t="s">
        <v>836</v>
      </c>
      <c r="D38" s="262" t="s">
        <v>19728</v>
      </c>
      <c r="E38" s="262" t="s">
        <v>15387</v>
      </c>
      <c r="F38" s="262" t="s">
        <v>15388</v>
      </c>
      <c r="G38" s="262" t="s">
        <v>15269</v>
      </c>
      <c r="H38" s="262" t="s">
        <v>1075</v>
      </c>
      <c r="I38" s="304" t="s">
        <v>15389</v>
      </c>
      <c r="J38" s="287" t="str">
        <f>HYPERLINK("https://balizas.pt","balizas.pt")</f>
        <v>balizas.pt</v>
      </c>
      <c r="K38" s="706" t="str">
        <f>HYPERLINK("https://www.google.com/maps/search/Termas%20Manteigas%20Serra%20da%20Estrela%20Portugal","📍 Termas Manteigas Serra da Estrela")</f>
        <v>📍 Termas Manteigas Serra da Estrela</v>
      </c>
    </row>
    <row r="39" spans="1:11" ht="110" customHeight="1" x14ac:dyDescent="0.35">
      <c r="A39" s="358">
        <v>9</v>
      </c>
      <c r="B39" s="259" t="s">
        <v>15390</v>
      </c>
      <c r="C39" s="260" t="s">
        <v>836</v>
      </c>
      <c r="D39" s="259" t="s">
        <v>19729</v>
      </c>
      <c r="E39" s="259" t="s">
        <v>15391</v>
      </c>
      <c r="F39" s="259" t="s">
        <v>15284</v>
      </c>
      <c r="G39" s="259" t="s">
        <v>15248</v>
      </c>
      <c r="H39" s="259" t="s">
        <v>15327</v>
      </c>
      <c r="I39" s="305" t="s">
        <v>15392</v>
      </c>
      <c r="J39" s="259" t="s">
        <v>3096</v>
      </c>
      <c r="K39" s="698" t="str">
        <f>HYPERLINK("https://www.google.com/maps/search/Termas%20Ladeira%20Envendos%20Ma%C3%A7%C3%A3o%20Portugal","📍 Termas Ladeira Envendos Mação")</f>
        <v>📍 Termas Ladeira Envendos Mação</v>
      </c>
    </row>
    <row r="40" spans="1:11" ht="110" customHeight="1" x14ac:dyDescent="0.35">
      <c r="A40" s="352">
        <v>10</v>
      </c>
      <c r="B40" s="262" t="s">
        <v>15393</v>
      </c>
      <c r="C40" s="263" t="s">
        <v>836</v>
      </c>
      <c r="D40" s="262" t="s">
        <v>19730</v>
      </c>
      <c r="E40" s="262" t="s">
        <v>15394</v>
      </c>
      <c r="F40" s="262" t="s">
        <v>15284</v>
      </c>
      <c r="G40" s="262" t="s">
        <v>15274</v>
      </c>
      <c r="H40" s="262" t="s">
        <v>1075</v>
      </c>
      <c r="I40" s="304" t="s">
        <v>15395</v>
      </c>
      <c r="J40" s="262" t="s">
        <v>3096</v>
      </c>
      <c r="K40" s="705" t="str">
        <f>HYPERLINK("https://www.google.com/maps/search/Termas%20Sangemil%20Tondela%20Portugal","📍 Termas Sangemil Tondela")</f>
        <v>📍 Termas Sangemil Tondela</v>
      </c>
    </row>
    <row r="41" spans="1:11" ht="110" customHeight="1" x14ac:dyDescent="0.35">
      <c r="A41" s="358">
        <v>11</v>
      </c>
      <c r="B41" s="259" t="s">
        <v>15396</v>
      </c>
      <c r="C41" s="260" t="s">
        <v>836</v>
      </c>
      <c r="D41" s="259" t="s">
        <v>19731</v>
      </c>
      <c r="E41" s="259" t="s">
        <v>15397</v>
      </c>
      <c r="F41" s="259" t="s">
        <v>15284</v>
      </c>
      <c r="G41" s="259" t="s">
        <v>15248</v>
      </c>
      <c r="H41" s="259" t="s">
        <v>15398</v>
      </c>
      <c r="I41" s="305" t="s">
        <v>15399</v>
      </c>
      <c r="J41" s="259" t="s">
        <v>3096</v>
      </c>
      <c r="K41" s="698" t="str">
        <f>HYPERLINK("https://www.google.com/maps/search/Termas%20Bicanho%20Soure%20Portugal","📍 Termas Bicanho Soure")</f>
        <v>📍 Termas Bicanho Soure</v>
      </c>
    </row>
    <row r="42" spans="1:11" ht="110" customHeight="1" x14ac:dyDescent="0.35">
      <c r="A42" s="352">
        <v>12</v>
      </c>
      <c r="B42" s="262" t="s">
        <v>15400</v>
      </c>
      <c r="C42" s="263" t="s">
        <v>836</v>
      </c>
      <c r="D42" s="262" t="s">
        <v>19732</v>
      </c>
      <c r="E42" s="262" t="s">
        <v>15401</v>
      </c>
      <c r="F42" s="262" t="s">
        <v>15284</v>
      </c>
      <c r="G42" s="262" t="s">
        <v>15384</v>
      </c>
      <c r="H42" s="262" t="s">
        <v>15402</v>
      </c>
      <c r="I42" s="304" t="s">
        <v>15403</v>
      </c>
      <c r="J42" s="262" t="s">
        <v>3096</v>
      </c>
      <c r="K42" s="705" t="str">
        <f>HYPERLINK("https://www.google.com/maps/search/Termas%20Amieira%20Soure%20Portugal","📍 Termas Amieira Soure")</f>
        <v>📍 Termas Amieira Soure</v>
      </c>
    </row>
    <row r="43" spans="1:11" ht="110" customHeight="1" x14ac:dyDescent="0.35">
      <c r="A43" s="358">
        <v>13</v>
      </c>
      <c r="B43" s="259" t="s">
        <v>15404</v>
      </c>
      <c r="C43" s="260" t="s">
        <v>836</v>
      </c>
      <c r="D43" s="259" t="s">
        <v>19733</v>
      </c>
      <c r="E43" s="259" t="s">
        <v>15272</v>
      </c>
      <c r="F43" s="259" t="s">
        <v>15284</v>
      </c>
      <c r="G43" s="259" t="s">
        <v>15248</v>
      </c>
      <c r="H43" s="259" t="s">
        <v>1075</v>
      </c>
      <c r="I43" s="305" t="s">
        <v>15405</v>
      </c>
      <c r="J43" s="259" t="s">
        <v>3096</v>
      </c>
      <c r="K43" s="698" t="str">
        <f>HYPERLINK("https://www.google.com/maps/search/Termas%20Felgueira%20Nelas%20Portugal","📍 Termas Felgueira Nelas")</f>
        <v>📍 Termas Felgueira Nelas</v>
      </c>
    </row>
    <row r="44" spans="1:11" ht="110" customHeight="1" x14ac:dyDescent="0.35">
      <c r="A44" s="352">
        <v>14</v>
      </c>
      <c r="B44" s="262" t="s">
        <v>15406</v>
      </c>
      <c r="C44" s="263" t="s">
        <v>836</v>
      </c>
      <c r="D44" s="262" t="s">
        <v>19734</v>
      </c>
      <c r="E44" s="262" t="s">
        <v>15407</v>
      </c>
      <c r="F44" s="262" t="s">
        <v>15408</v>
      </c>
      <c r="G44" s="262" t="s">
        <v>15264</v>
      </c>
      <c r="H44" s="262" t="s">
        <v>998</v>
      </c>
      <c r="I44" s="304" t="s">
        <v>15409</v>
      </c>
      <c r="J44" s="287" t="str">
        <f>HYPERLINK("https://monterealtermhotel.com","monterealtermhotel.com")</f>
        <v>monterealtermhotel.com</v>
      </c>
      <c r="K44" s="706" t="str">
        <f>HYPERLINK("https://www.google.com/maps/search/Termas%20Monte%20Real%20Leiria%20Portugal","📍 Termas Monte Real Leiria")</f>
        <v>📍 Termas Monte Real Leiria</v>
      </c>
    </row>
    <row r="45" spans="1:11" ht="110" customHeight="1" x14ac:dyDescent="0.35">
      <c r="A45" s="358">
        <v>15</v>
      </c>
      <c r="B45" s="259" t="s">
        <v>15410</v>
      </c>
      <c r="C45" s="260" t="s">
        <v>836</v>
      </c>
      <c r="D45" s="259" t="s">
        <v>19735</v>
      </c>
      <c r="E45" s="259" t="s">
        <v>15411</v>
      </c>
      <c r="F45" s="259" t="s">
        <v>15284</v>
      </c>
      <c r="G45" s="259" t="s">
        <v>15279</v>
      </c>
      <c r="H45" s="259" t="s">
        <v>1063</v>
      </c>
      <c r="I45" s="305" t="s">
        <v>15412</v>
      </c>
      <c r="J45" s="259" t="s">
        <v>3096</v>
      </c>
      <c r="K45" s="698" t="str">
        <f>HYPERLINK("https://www.google.com/maps/search/Termas%20Cro%20Sabugal%20Portugal","📍 Termas Cro Sabugal")</f>
        <v>📍 Termas Cro Sabugal</v>
      </c>
    </row>
    <row r="46" spans="1:11" ht="110" customHeight="1" x14ac:dyDescent="0.35">
      <c r="A46" s="352">
        <v>16</v>
      </c>
      <c r="B46" s="262" t="s">
        <v>15413</v>
      </c>
      <c r="C46" s="263" t="s">
        <v>836</v>
      </c>
      <c r="D46" s="262" t="s">
        <v>19736</v>
      </c>
      <c r="E46" s="262" t="s">
        <v>15414</v>
      </c>
      <c r="F46" s="262" t="s">
        <v>15284</v>
      </c>
      <c r="G46" s="262" t="s">
        <v>15285</v>
      </c>
      <c r="H46" s="262" t="s">
        <v>1075</v>
      </c>
      <c r="I46" s="304" t="s">
        <v>15415</v>
      </c>
      <c r="J46" s="262" t="s">
        <v>3096</v>
      </c>
      <c r="K46" s="705" t="str">
        <f>HYPERLINK("https://www.google.com/maps/search/Termas%20Azenha%20An%C3%A7os%20Soure%20Portugal","📍 Termas Azenha Anços Soure")</f>
        <v>📍 Termas Azenha Anços Soure</v>
      </c>
    </row>
    <row r="47" spans="1:11" ht="110" customHeight="1" x14ac:dyDescent="0.35">
      <c r="A47" s="358">
        <v>17</v>
      </c>
      <c r="B47" s="259" t="s">
        <v>15416</v>
      </c>
      <c r="C47" s="260" t="s">
        <v>836</v>
      </c>
      <c r="D47" s="259" t="s">
        <v>19737</v>
      </c>
      <c r="E47" s="259" t="s">
        <v>10459</v>
      </c>
      <c r="F47" s="259" t="s">
        <v>15284</v>
      </c>
      <c r="G47" s="259" t="s">
        <v>2825</v>
      </c>
      <c r="H47" s="259" t="s">
        <v>1136</v>
      </c>
      <c r="I47" s="305" t="s">
        <v>15417</v>
      </c>
      <c r="J47" s="259" t="s">
        <v>3096</v>
      </c>
      <c r="K47" s="698" t="str">
        <f>HYPERLINK("https://www.google.com/maps/search/Termas%20S%C3%A3o%20Paulo%20Oliveira%20do%20Hospital%20Portugal","📍 Termas São Paulo Oliveira do Hospital")</f>
        <v>📍 Termas São Paulo Oliveira do Hospital</v>
      </c>
    </row>
    <row r="48" spans="1:11" ht="110" customHeight="1" x14ac:dyDescent="0.35">
      <c r="A48" s="352">
        <v>18</v>
      </c>
      <c r="B48" s="262" t="s">
        <v>15418</v>
      </c>
      <c r="C48" s="263" t="s">
        <v>836</v>
      </c>
      <c r="D48" s="262" t="s">
        <v>19738</v>
      </c>
      <c r="E48" s="262" t="s">
        <v>15419</v>
      </c>
      <c r="F48" s="262" t="s">
        <v>15284</v>
      </c>
      <c r="G48" s="262" t="s">
        <v>15248</v>
      </c>
      <c r="H48" s="262" t="s">
        <v>1075</v>
      </c>
      <c r="I48" s="304" t="s">
        <v>15420</v>
      </c>
      <c r="J48" s="262" t="s">
        <v>3096</v>
      </c>
      <c r="K48" s="705" t="str">
        <f>HYPERLINK("https://www.google.com/maps/search/Termas%20Piedade%20Alcoba%C3%A7a%20Portugal","📍 Termas Piedade Alcobaça")</f>
        <v>📍 Termas Piedade Alcobaça</v>
      </c>
    </row>
    <row r="49" spans="1:11" ht="110" customHeight="1" x14ac:dyDescent="0.35">
      <c r="A49" s="358">
        <v>19</v>
      </c>
      <c r="B49" s="259" t="s">
        <v>15421</v>
      </c>
      <c r="C49" s="260" t="s">
        <v>836</v>
      </c>
      <c r="D49" s="259" t="s">
        <v>19739</v>
      </c>
      <c r="E49" s="259" t="s">
        <v>15322</v>
      </c>
      <c r="F49" s="259" t="s">
        <v>15350</v>
      </c>
      <c r="G49" s="259" t="s">
        <v>15285</v>
      </c>
      <c r="H49" s="259" t="s">
        <v>15327</v>
      </c>
      <c r="I49" s="305" t="s">
        <v>15422</v>
      </c>
      <c r="J49" s="259" t="s">
        <v>3096</v>
      </c>
      <c r="K49" s="698" t="str">
        <f>HYPERLINK("https://www.google.com/maps/search/Termas%20Fonte%20Santa%20Almeida%20Portugal","📍 Termas Fonte Santa Almeida")</f>
        <v>📍 Termas Fonte Santa Almeida</v>
      </c>
    </row>
    <row r="50" spans="1:11" ht="110" customHeight="1" x14ac:dyDescent="0.35">
      <c r="A50" s="352">
        <v>20</v>
      </c>
      <c r="B50" s="262" t="s">
        <v>7964</v>
      </c>
      <c r="C50" s="263" t="s">
        <v>836</v>
      </c>
      <c r="D50" s="262" t="s">
        <v>19740</v>
      </c>
      <c r="E50" s="262" t="s">
        <v>15423</v>
      </c>
      <c r="F50" s="262" t="s">
        <v>15289</v>
      </c>
      <c r="G50" s="262" t="s">
        <v>15269</v>
      </c>
      <c r="H50" s="262" t="s">
        <v>981</v>
      </c>
      <c r="I50" s="304" t="s">
        <v>15424</v>
      </c>
      <c r="J50" s="262" t="s">
        <v>3096</v>
      </c>
      <c r="K50" s="705" t="str">
        <f>HYPERLINK("https://www.google.com/maps/search/Termas%20Castelo%20de%20Vide%20Portalegre%20Portugal","📍 Termas Castelo de Vide Portalegre")</f>
        <v>📍 Termas Castelo de Vide Portalegre</v>
      </c>
    </row>
    <row r="51" spans="1:11" ht="110" customHeight="1" x14ac:dyDescent="0.35">
      <c r="A51" s="358">
        <v>21</v>
      </c>
      <c r="B51" s="259" t="s">
        <v>15425</v>
      </c>
      <c r="C51" s="260" t="s">
        <v>836</v>
      </c>
      <c r="D51" s="259" t="s">
        <v>19741</v>
      </c>
      <c r="E51" s="259" t="s">
        <v>15426</v>
      </c>
      <c r="F51" s="259" t="s">
        <v>15284</v>
      </c>
      <c r="G51" s="259" t="s">
        <v>15259</v>
      </c>
      <c r="H51" s="259" t="s">
        <v>1075</v>
      </c>
      <c r="I51" s="305" t="s">
        <v>15427</v>
      </c>
      <c r="J51" s="259" t="s">
        <v>3096</v>
      </c>
      <c r="K51" s="698" t="str">
        <f>HYPERLINK("https://www.google.com/maps/search/Termas%20Vale%20Cavalos%20Golega%20Portugal","📍 Termas Vale Cavalos Golega")</f>
        <v>📍 Termas Vale Cavalos Golega</v>
      </c>
    </row>
    <row r="52" spans="1:11" ht="110" customHeight="1" x14ac:dyDescent="0.35">
      <c r="A52" s="352">
        <v>22</v>
      </c>
      <c r="B52" s="262" t="s">
        <v>15428</v>
      </c>
      <c r="C52" s="263" t="s">
        <v>836</v>
      </c>
      <c r="D52" s="262" t="s">
        <v>19742</v>
      </c>
      <c r="E52" s="262" t="s">
        <v>15429</v>
      </c>
      <c r="F52" s="262" t="s">
        <v>15105</v>
      </c>
      <c r="G52" s="262" t="s">
        <v>7858</v>
      </c>
      <c r="H52" s="262" t="s">
        <v>6742</v>
      </c>
      <c r="I52" s="304" t="s">
        <v>15430</v>
      </c>
      <c r="J52" s="262" t="s">
        <v>3096</v>
      </c>
      <c r="K52" s="705" t="str">
        <f>HYPERLINK("https://www.google.com/maps/search/Termas%20Alviela%20Alcanena%20Portugal","📍 Termas Alviela Alcanena")</f>
        <v>📍 Termas Alviela Alcanena</v>
      </c>
    </row>
    <row r="53" spans="1:11" ht="110" customHeight="1" x14ac:dyDescent="0.35">
      <c r="A53" s="358">
        <v>23</v>
      </c>
      <c r="B53" s="259" t="s">
        <v>15431</v>
      </c>
      <c r="C53" s="260" t="s">
        <v>836</v>
      </c>
      <c r="D53" s="259" t="s">
        <v>19743</v>
      </c>
      <c r="E53" s="259" t="s">
        <v>15322</v>
      </c>
      <c r="F53" s="259" t="s">
        <v>15284</v>
      </c>
      <c r="G53" s="259" t="s">
        <v>15269</v>
      </c>
      <c r="H53" s="259" t="s">
        <v>15327</v>
      </c>
      <c r="I53" s="305" t="s">
        <v>15432</v>
      </c>
      <c r="J53" s="286" t="str">
        <f>HYPERLINK("https://termasnisa.pt","termasnisa.pt")</f>
        <v>termasnisa.pt</v>
      </c>
      <c r="K53" s="699" t="str">
        <f>HYPERLINK("https://www.google.com/maps/search/Termas%20Fadagosa%20Nisa%20Alto%20Alentejo%20Portugal","📍 Termas Fadagosa Nisa Alto Alentejo")</f>
        <v>📍 Termas Fadagosa Nisa Alto Alentejo</v>
      </c>
    </row>
    <row r="54" spans="1:11" ht="110" customHeight="1" x14ac:dyDescent="0.35">
      <c r="A54" s="352">
        <v>24</v>
      </c>
      <c r="B54" s="262" t="s">
        <v>15433</v>
      </c>
      <c r="C54" s="263" t="s">
        <v>836</v>
      </c>
      <c r="D54" s="262" t="s">
        <v>19744</v>
      </c>
      <c r="E54" s="262" t="s">
        <v>15313</v>
      </c>
      <c r="F54" s="262" t="s">
        <v>15284</v>
      </c>
      <c r="G54" s="262" t="s">
        <v>15285</v>
      </c>
      <c r="H54" s="262" t="s">
        <v>1136</v>
      </c>
      <c r="I54" s="304" t="s">
        <v>15434</v>
      </c>
      <c r="J54" s="262" t="s">
        <v>3096</v>
      </c>
      <c r="K54" s="705" t="str">
        <f>HYPERLINK("https://www.google.com/maps/search/Termas%20Juncat%C3%A3o%20Fornos%20de%20Algodres%20Portugal","📍 Termas Juncatão Fornos de Algodres")</f>
        <v>📍 Termas Juncatão Fornos de Algodres</v>
      </c>
    </row>
    <row r="55" spans="1:11" ht="110" customHeight="1" x14ac:dyDescent="0.35">
      <c r="A55" s="358">
        <v>25</v>
      </c>
      <c r="B55" s="259" t="s">
        <v>9841</v>
      </c>
      <c r="C55" s="260" t="s">
        <v>836</v>
      </c>
      <c r="D55" s="259" t="s">
        <v>19745</v>
      </c>
      <c r="E55" s="259" t="s">
        <v>15349</v>
      </c>
      <c r="F55" s="259" t="s">
        <v>15268</v>
      </c>
      <c r="G55" s="259" t="s">
        <v>7858</v>
      </c>
      <c r="H55" s="259" t="s">
        <v>6742</v>
      </c>
      <c r="I55" s="305" t="s">
        <v>15435</v>
      </c>
      <c r="J55" s="259" t="s">
        <v>3096</v>
      </c>
      <c r="K55" s="698" t="str">
        <f>HYPERLINK("https://www.google.com/maps/search/Termas%20Alcongosta%20Fund%C3%A3o%20Portugal","📍 Termas Alcongosta Fundão")</f>
        <v>📍 Termas Alcongosta Fundão</v>
      </c>
    </row>
    <row r="56" spans="1:11" ht="110" customHeight="1" x14ac:dyDescent="0.35">
      <c r="A56" s="352">
        <v>26</v>
      </c>
      <c r="B56" s="262" t="s">
        <v>15436</v>
      </c>
      <c r="C56" s="263" t="s">
        <v>836</v>
      </c>
      <c r="D56" s="262" t="s">
        <v>19746</v>
      </c>
      <c r="E56" s="262" t="s">
        <v>15318</v>
      </c>
      <c r="F56" s="262" t="s">
        <v>15284</v>
      </c>
      <c r="G56" s="262" t="s">
        <v>15269</v>
      </c>
      <c r="H56" s="262" t="s">
        <v>1136</v>
      </c>
      <c r="I56" s="304" t="s">
        <v>15437</v>
      </c>
      <c r="J56" s="262" t="s">
        <v>3096</v>
      </c>
      <c r="K56" s="705" t="str">
        <f>HYPERLINK("https://www.google.com/maps/search/Termas%20Cavaca%20Aguiar%20da%20Beira%20Portugal","📍 Termas Cavaca Aguiar da Beira")</f>
        <v>📍 Termas Cavaca Aguiar da Beira</v>
      </c>
    </row>
    <row r="57" spans="1:11" ht="110" customHeight="1" x14ac:dyDescent="0.35">
      <c r="A57" s="358">
        <v>27</v>
      </c>
      <c r="B57" s="259" t="s">
        <v>15438</v>
      </c>
      <c r="C57" s="260" t="s">
        <v>836</v>
      </c>
      <c r="D57" s="259" t="s">
        <v>19747</v>
      </c>
      <c r="E57" s="259" t="s">
        <v>1114</v>
      </c>
      <c r="F57" s="259" t="s">
        <v>15439</v>
      </c>
      <c r="G57" s="259" t="s">
        <v>7188</v>
      </c>
      <c r="H57" s="259" t="s">
        <v>6742</v>
      </c>
      <c r="I57" s="305" t="s">
        <v>15440</v>
      </c>
      <c r="J57" s="259" t="s">
        <v>3096</v>
      </c>
      <c r="K57" s="698" t="str">
        <f>HYPERLINK("https://www.google.com/maps/search/Termas%20Radium%20Sortelha%20Sabugal%20Portugal","📍 Termas Radium Sortelha Sabugal")</f>
        <v>📍 Termas Radium Sortelha Sabugal</v>
      </c>
    </row>
    <row r="58" spans="1:11" ht="110" customHeight="1" x14ac:dyDescent="0.35">
      <c r="A58" s="352">
        <v>28</v>
      </c>
      <c r="B58" s="262" t="s">
        <v>15441</v>
      </c>
      <c r="C58" s="263" t="s">
        <v>836</v>
      </c>
      <c r="D58" s="262" t="s">
        <v>19748</v>
      </c>
      <c r="E58" s="262" t="s">
        <v>15442</v>
      </c>
      <c r="F58" s="262" t="s">
        <v>15284</v>
      </c>
      <c r="G58" s="262" t="s">
        <v>15285</v>
      </c>
      <c r="H58" s="262" t="s">
        <v>1136</v>
      </c>
      <c r="I58" s="304" t="s">
        <v>15443</v>
      </c>
      <c r="J58" s="262" t="s">
        <v>3096</v>
      </c>
      <c r="K58" s="705" t="str">
        <f>HYPERLINK("https://www.google.com/maps/search/Termas%20Ega%20Condeixa%20Portugal","📍 Termas Ega Condeixa")</f>
        <v>📍 Termas Ega Condeixa</v>
      </c>
    </row>
    <row r="59" spans="1:11" ht="110" customHeight="1" x14ac:dyDescent="0.35">
      <c r="A59" s="358">
        <v>29</v>
      </c>
      <c r="B59" s="259" t="s">
        <v>15444</v>
      </c>
      <c r="C59" s="260" t="s">
        <v>836</v>
      </c>
      <c r="D59" s="259" t="s">
        <v>19749</v>
      </c>
      <c r="E59" s="259" t="s">
        <v>15445</v>
      </c>
      <c r="F59" s="259" t="s">
        <v>15268</v>
      </c>
      <c r="G59" s="259" t="s">
        <v>7858</v>
      </c>
      <c r="H59" s="259" t="s">
        <v>6742</v>
      </c>
      <c r="I59" s="305" t="s">
        <v>15446</v>
      </c>
      <c r="J59" s="259" t="s">
        <v>3096</v>
      </c>
      <c r="K59" s="698" t="str">
        <f>HYPERLINK("https://www.google.com/maps/search/Termas%20Galega%20Chamusca%20Ribatejo%20Portugal","📍 Termas Galega Chamusca Ribatejo")</f>
        <v>📍 Termas Galega Chamusca Ribatejo</v>
      </c>
    </row>
    <row r="60" spans="1:11" ht="22" customHeight="1" x14ac:dyDescent="0.45">
      <c r="A60" s="1480" t="s">
        <v>15447</v>
      </c>
      <c r="B60" s="1313"/>
      <c r="C60" s="1313"/>
      <c r="D60" s="1313"/>
      <c r="E60" s="1313"/>
      <c r="F60" s="1313"/>
      <c r="G60" s="1313"/>
      <c r="H60" s="1313"/>
      <c r="I60" s="1313"/>
      <c r="K60" s="676"/>
    </row>
    <row r="61" spans="1:11" ht="110" customHeight="1" x14ac:dyDescent="0.35">
      <c r="A61" s="360">
        <v>1</v>
      </c>
      <c r="B61" s="245" t="s">
        <v>7006</v>
      </c>
      <c r="C61" s="246" t="s">
        <v>913</v>
      </c>
      <c r="D61" s="245" t="s">
        <v>19750</v>
      </c>
      <c r="E61" s="245" t="s">
        <v>15313</v>
      </c>
      <c r="F61" s="245" t="s">
        <v>15309</v>
      </c>
      <c r="G61" s="245" t="s">
        <v>15448</v>
      </c>
      <c r="H61" s="245" t="s">
        <v>1075</v>
      </c>
      <c r="I61" s="304" t="s">
        <v>15449</v>
      </c>
      <c r="J61" s="265" t="str">
        <f>HYPERLINK("https://caldassaude.pt","caldassaude.pt")</f>
        <v>caldassaude.pt</v>
      </c>
      <c r="K61" s="717" t="str">
        <f>HYPERLINK("https://www.google.com/maps/search/Termas%20Caldas%20da%20Rainha%20Largo%20Rainha%20D%20Leonor%20Portugal","📍 Termas Caldas da Rainha Largo Rainha D Leo")</f>
        <v>📍 Termas Caldas da Rainha Largo Rainha D Leo</v>
      </c>
    </row>
    <row r="62" spans="1:11" ht="110" customHeight="1" x14ac:dyDescent="0.35">
      <c r="A62" s="340">
        <v>2</v>
      </c>
      <c r="B62" s="248" t="s">
        <v>15450</v>
      </c>
      <c r="C62" s="249" t="s">
        <v>913</v>
      </c>
      <c r="D62" s="248" t="s">
        <v>19751</v>
      </c>
      <c r="E62" s="248" t="s">
        <v>15288</v>
      </c>
      <c r="F62" s="248" t="s">
        <v>15284</v>
      </c>
      <c r="G62" s="248" t="s">
        <v>15269</v>
      </c>
      <c r="H62" s="248" t="s">
        <v>1136</v>
      </c>
      <c r="I62" s="305" t="s">
        <v>15451</v>
      </c>
      <c r="J62" s="266" t="str">
        <f>HYPERLINK("https://hotelvimeiro.pt","hotelvimeiro.pt")</f>
        <v>hotelvimeiro.pt</v>
      </c>
      <c r="K62" s="718" t="str">
        <f>HYPERLINK("https://www.google.com/maps/search/Termas%20Vimeiro%20Torres%20Vedras%20Portugal","📍 Termas Vimeiro Torres Vedras")</f>
        <v>📍 Termas Vimeiro Torres Vedras</v>
      </c>
    </row>
    <row r="63" spans="1:11" ht="110" customHeight="1" x14ac:dyDescent="0.35">
      <c r="A63" s="360">
        <v>3</v>
      </c>
      <c r="B63" s="245" t="s">
        <v>15452</v>
      </c>
      <c r="C63" s="246" t="s">
        <v>913</v>
      </c>
      <c r="D63" s="245" t="s">
        <v>19752</v>
      </c>
      <c r="E63" s="245" t="s">
        <v>15453</v>
      </c>
      <c r="F63" s="245" t="s">
        <v>15454</v>
      </c>
      <c r="G63" s="245" t="s">
        <v>15279</v>
      </c>
      <c r="H63" s="245" t="s">
        <v>15455</v>
      </c>
      <c r="I63" s="304" t="s">
        <v>15456</v>
      </c>
      <c r="J63" s="265" t="str">
        <f>HYPERLINK("https://estorilcoast.pt","estorilcoast.pt")</f>
        <v>estorilcoast.pt</v>
      </c>
      <c r="K63" s="717" t="str">
        <f>HYPERLINK("https://www.google.com/maps/search/Estoril%20Wellness%20Center%20Cascais%20Portugal","📍 Estoril Wellness Center Cascais")</f>
        <v>📍 Estoril Wellness Center Cascais</v>
      </c>
    </row>
    <row r="64" spans="1:11" ht="110" customHeight="1" x14ac:dyDescent="0.35">
      <c r="A64" s="340">
        <v>4</v>
      </c>
      <c r="B64" s="248" t="s">
        <v>15457</v>
      </c>
      <c r="C64" s="249" t="s">
        <v>913</v>
      </c>
      <c r="D64" s="248" t="s">
        <v>19753</v>
      </c>
      <c r="E64" s="248" t="s">
        <v>15458</v>
      </c>
      <c r="F64" s="248" t="s">
        <v>15439</v>
      </c>
      <c r="G64" s="248" t="s">
        <v>7188</v>
      </c>
      <c r="H64" s="248" t="s">
        <v>6742</v>
      </c>
      <c r="I64" s="305" t="s">
        <v>15459</v>
      </c>
      <c r="J64" s="248" t="s">
        <v>3096</v>
      </c>
      <c r="K64" s="719" t="str">
        <f>HYPERLINK("https://www.google.com/maps/search/Fonte%20Termal%20Alfama%20Lisboa%20Portugal","📍 Fonte Termal Alfama Lisboa")</f>
        <v>📍 Fonte Termal Alfama Lisboa</v>
      </c>
    </row>
    <row r="65" spans="1:11" ht="110" customHeight="1" x14ac:dyDescent="0.35">
      <c r="A65" s="360">
        <v>5</v>
      </c>
      <c r="B65" s="245" t="s">
        <v>15460</v>
      </c>
      <c r="C65" s="246" t="s">
        <v>913</v>
      </c>
      <c r="D65" s="245" t="s">
        <v>19754</v>
      </c>
      <c r="E65" s="245" t="s">
        <v>15461</v>
      </c>
      <c r="F65" s="245" t="s">
        <v>15268</v>
      </c>
      <c r="G65" s="245" t="s">
        <v>7858</v>
      </c>
      <c r="H65" s="245" t="s">
        <v>6742</v>
      </c>
      <c r="I65" s="304" t="s">
        <v>15462</v>
      </c>
      <c r="J65" s="245" t="s">
        <v>3096</v>
      </c>
      <c r="K65" s="720" t="str">
        <f>HYPERLINK("https://www.google.com/maps/search/Termas%20Cane%C3%A7as%20Odivelas%20Portugal","📍 Termas Caneças Odivelas")</f>
        <v>📍 Termas Caneças Odivelas</v>
      </c>
    </row>
    <row r="66" spans="1:11" ht="110" customHeight="1" x14ac:dyDescent="0.35">
      <c r="A66" s="340">
        <v>6</v>
      </c>
      <c r="B66" s="248" t="s">
        <v>15463</v>
      </c>
      <c r="C66" s="249" t="s">
        <v>913</v>
      </c>
      <c r="D66" s="248" t="s">
        <v>19755</v>
      </c>
      <c r="E66" s="248" t="s">
        <v>15313</v>
      </c>
      <c r="F66" s="248" t="s">
        <v>15284</v>
      </c>
      <c r="G66" s="248" t="s">
        <v>15285</v>
      </c>
      <c r="H66" s="248" t="s">
        <v>1136</v>
      </c>
      <c r="I66" s="305" t="s">
        <v>15464</v>
      </c>
      <c r="J66" s="248" t="s">
        <v>3096</v>
      </c>
      <c r="K66" s="719" t="str">
        <f>HYPERLINK("https://www.google.com/maps/search/Termas%20Cucas%20Torres%20Vedras%20Portugal","📍 Termas Cucas Torres Vedras")</f>
        <v>📍 Termas Cucas Torres Vedras</v>
      </c>
    </row>
    <row r="67" spans="1:11" ht="22" customHeight="1" x14ac:dyDescent="0.45">
      <c r="A67" s="1478" t="s">
        <v>15465</v>
      </c>
      <c r="B67" s="1313"/>
      <c r="C67" s="1313"/>
      <c r="D67" s="1313"/>
      <c r="E67" s="1313"/>
      <c r="F67" s="1313"/>
      <c r="G67" s="1313"/>
      <c r="H67" s="1313"/>
      <c r="I67" s="1313"/>
      <c r="K67" s="676"/>
    </row>
    <row r="68" spans="1:11" ht="110" customHeight="1" x14ac:dyDescent="0.35">
      <c r="A68" s="346">
        <v>1</v>
      </c>
      <c r="B68" s="267" t="s">
        <v>6412</v>
      </c>
      <c r="C68" s="268" t="s">
        <v>853</v>
      </c>
      <c r="D68" s="267" t="s">
        <v>19756</v>
      </c>
      <c r="E68" s="267" t="s">
        <v>15466</v>
      </c>
      <c r="F68" s="267" t="s">
        <v>15467</v>
      </c>
      <c r="G68" s="267" t="s">
        <v>15384</v>
      </c>
      <c r="H68" s="267" t="s">
        <v>15327</v>
      </c>
      <c r="I68" s="304" t="s">
        <v>15468</v>
      </c>
      <c r="J68" s="288" t="str">
        <f>HYPERLINK("https://termasdecabecovide.pt","termasdecabecovide.pt")</f>
        <v>termasdecabecovide.pt</v>
      </c>
      <c r="K68" s="721" t="str">
        <f>HYPERLINK("https://www.google.com/maps/search/Termas%20Cabe%C3%A7o%20de%20Vide%20Fronteira%20Alentejo%20Portugal","📍 Termas Cabeço de Vide Fronteira Alentejo")</f>
        <v>📍 Termas Cabeço de Vide Fronteira Alentejo</v>
      </c>
    </row>
    <row r="69" spans="1:11" ht="110" customHeight="1" x14ac:dyDescent="0.35">
      <c r="A69" s="362">
        <v>2</v>
      </c>
      <c r="B69" s="270" t="s">
        <v>7968</v>
      </c>
      <c r="C69" s="271" t="s">
        <v>853</v>
      </c>
      <c r="D69" s="270" t="s">
        <v>19757</v>
      </c>
      <c r="E69" s="270" t="s">
        <v>15469</v>
      </c>
      <c r="F69" s="270" t="s">
        <v>15284</v>
      </c>
      <c r="G69" s="270" t="s">
        <v>15269</v>
      </c>
      <c r="H69" s="270" t="s">
        <v>15327</v>
      </c>
      <c r="I69" s="305" t="s">
        <v>15470</v>
      </c>
      <c r="J69" s="289" t="str">
        <f>HYPERLINK("https://termasnisa.pt","termasnisa.pt")</f>
        <v>termasnisa.pt</v>
      </c>
      <c r="K69" s="722" t="str">
        <f>HYPERLINK("https://www.google.com/maps/search/Termas%20Nisa%20Alto%20Alentejo%20Portugal","📍 Termas Nisa Alto Alentejo")</f>
        <v>📍 Termas Nisa Alto Alentejo</v>
      </c>
    </row>
    <row r="70" spans="1:11" ht="22" customHeight="1" x14ac:dyDescent="0.45">
      <c r="A70" s="1477" t="s">
        <v>15471</v>
      </c>
      <c r="B70" s="1313"/>
      <c r="C70" s="1313"/>
      <c r="D70" s="1313"/>
      <c r="E70" s="1313"/>
      <c r="F70" s="1313"/>
      <c r="G70" s="1313"/>
      <c r="H70" s="1313"/>
      <c r="I70" s="1313"/>
      <c r="K70" s="676"/>
    </row>
    <row r="71" spans="1:11" ht="110" customHeight="1" x14ac:dyDescent="0.35">
      <c r="A71" s="348">
        <v>1</v>
      </c>
      <c r="B71" s="273" t="s">
        <v>2164</v>
      </c>
      <c r="C71" s="274" t="s">
        <v>767</v>
      </c>
      <c r="D71" s="273" t="s">
        <v>19758</v>
      </c>
      <c r="E71" s="273" t="s">
        <v>15272</v>
      </c>
      <c r="F71" s="273" t="s">
        <v>15472</v>
      </c>
      <c r="G71" s="273" t="s">
        <v>15259</v>
      </c>
      <c r="H71" s="273" t="s">
        <v>1075</v>
      </c>
      <c r="I71" s="304" t="s">
        <v>15473</v>
      </c>
      <c r="J71" s="275" t="str">
        <f>HYPERLINK("https://termasmonchique.com","termasmonchique.com")</f>
        <v>termasmonchique.com</v>
      </c>
      <c r="K71" s="723" t="str">
        <f>HYPERLINK("https://www.google.com/maps/search/Termas%20Monchique%20Caldas%20de%20Monchique%20Portugal","📍 Termas Monchique Caldas de Monchique")</f>
        <v>📍 Termas Monchique Caldas de Monchique</v>
      </c>
    </row>
    <row r="72" spans="1:11" ht="110" customHeight="1" x14ac:dyDescent="0.35">
      <c r="A72" s="354">
        <v>2</v>
      </c>
      <c r="B72" s="277" t="s">
        <v>15474</v>
      </c>
      <c r="C72" s="278" t="s">
        <v>767</v>
      </c>
      <c r="D72" s="277" t="s">
        <v>19759</v>
      </c>
      <c r="E72" s="277" t="s">
        <v>15475</v>
      </c>
      <c r="F72" s="277" t="s">
        <v>15476</v>
      </c>
      <c r="G72" s="277" t="s">
        <v>15477</v>
      </c>
      <c r="H72" s="277" t="s">
        <v>6742</v>
      </c>
      <c r="I72" s="305" t="s">
        <v>15478</v>
      </c>
      <c r="J72" s="277" t="s">
        <v>3096</v>
      </c>
      <c r="K72" s="724" t="str">
        <f>HYPERLINK("https://www.google.com/maps/search/Nascente%20Termal%20Olhos%20de%20Agua%20Albufeira%20Portugal","📍 Nascente Termal Olhos de Agua Albufeira")</f>
        <v>📍 Nascente Termal Olhos de Agua Albufeira</v>
      </c>
    </row>
    <row r="73" spans="1:11" ht="22" customHeight="1" x14ac:dyDescent="0.45">
      <c r="A73" s="1369" t="s">
        <v>7112</v>
      </c>
      <c r="B73" s="1313"/>
      <c r="C73" s="1313"/>
      <c r="D73" s="1313"/>
      <c r="E73" s="1313"/>
      <c r="F73" s="1313"/>
      <c r="G73" s="1313"/>
      <c r="H73" s="1313"/>
      <c r="I73" s="1313"/>
      <c r="K73" s="676"/>
    </row>
    <row r="74" spans="1:11" ht="110" customHeight="1" x14ac:dyDescent="0.35">
      <c r="A74" s="344">
        <v>1</v>
      </c>
      <c r="B74" s="281" t="s">
        <v>15479</v>
      </c>
      <c r="C74" s="282" t="s">
        <v>522</v>
      </c>
      <c r="D74" s="281" t="s">
        <v>19760</v>
      </c>
      <c r="E74" s="281" t="s">
        <v>15480</v>
      </c>
      <c r="F74" s="281" t="s">
        <v>15481</v>
      </c>
      <c r="G74" s="281" t="s">
        <v>15482</v>
      </c>
      <c r="H74" s="281" t="s">
        <v>981</v>
      </c>
      <c r="I74" s="304" t="s">
        <v>15483</v>
      </c>
      <c r="J74" s="290" t="str">
        <f>HYPERLINK("https://terranostragarden.com","terranostragarden.com")</f>
        <v>terranostragarden.com</v>
      </c>
      <c r="K74" s="725" t="str">
        <f>HYPERLINK("https://www.google.com/maps/search/Parque%20Terra%20Nostra%20Furnas%20S%C3%A3o%20Miguel%20A%C3%A7ores","📍 Parque Terra Nostra Furnas São Miguel Açor")</f>
        <v>📍 Parque Terra Nostra Furnas São Miguel Açor</v>
      </c>
    </row>
    <row r="75" spans="1:11" ht="110" customHeight="1" x14ac:dyDescent="0.35">
      <c r="A75" s="342">
        <v>2</v>
      </c>
      <c r="B75" s="284" t="s">
        <v>15484</v>
      </c>
      <c r="C75" s="367" t="s">
        <v>522</v>
      </c>
      <c r="D75" s="284" t="s">
        <v>19761</v>
      </c>
      <c r="E75" s="284" t="s">
        <v>15426</v>
      </c>
      <c r="F75" s="284" t="s">
        <v>15485</v>
      </c>
      <c r="G75" s="284" t="s">
        <v>15486</v>
      </c>
      <c r="H75" s="284" t="s">
        <v>14005</v>
      </c>
      <c r="I75" s="305" t="s">
        <v>15487</v>
      </c>
      <c r="J75" s="364" t="str">
        <f>HYPERLINK("https://donabeijathermal.com","donabeijathermal.com")</f>
        <v>donabeijathermal.com</v>
      </c>
      <c r="K75" s="726" t="str">
        <f>HYPERLINK("https://www.google.com/maps/search/Termas%20Dona%20Beija%20Furnas%20S%C3%A3o%20Miguel%20A%C3%A7ores","📍 Termas Dona Beija Furnas São Miguel Açores")</f>
        <v>📍 Termas Dona Beija Furnas São Miguel Açores</v>
      </c>
    </row>
    <row r="76" spans="1:11" ht="110" customHeight="1" x14ac:dyDescent="0.35">
      <c r="A76" s="344">
        <v>3</v>
      </c>
      <c r="B76" s="281" t="s">
        <v>15488</v>
      </c>
      <c r="C76" s="282" t="s">
        <v>522</v>
      </c>
      <c r="D76" s="281" t="s">
        <v>19762</v>
      </c>
      <c r="E76" s="281" t="s">
        <v>15489</v>
      </c>
      <c r="F76" s="281" t="s">
        <v>15490</v>
      </c>
      <c r="G76" s="281" t="s">
        <v>15477</v>
      </c>
      <c r="H76" s="281" t="s">
        <v>6742</v>
      </c>
      <c r="I76" s="304" t="s">
        <v>15491</v>
      </c>
      <c r="J76" s="290" t="str">
        <f>HYPERLINK("https://piscinaferraria.pt","piscinaferraria.pt")</f>
        <v>piscinaferraria.pt</v>
      </c>
      <c r="K76" s="725" t="str">
        <f>HYPERLINK("https://www.google.com/maps/search/Ferraria%20Termas%20Ginetes%20S%C3%A3o%20Miguel%20A%C3%A7ores","📍 Ferraria Termas Ginetes São Miguel Açores")</f>
        <v>📍 Ferraria Termas Ginetes São Miguel Açores</v>
      </c>
    </row>
    <row r="77" spans="1:11" ht="110" customHeight="1" x14ac:dyDescent="0.35">
      <c r="A77" s="342">
        <v>4</v>
      </c>
      <c r="B77" s="284" t="s">
        <v>6611</v>
      </c>
      <c r="C77" s="367" t="s">
        <v>522</v>
      </c>
      <c r="D77" s="284" t="s">
        <v>19763</v>
      </c>
      <c r="E77" s="284" t="s">
        <v>15492</v>
      </c>
      <c r="F77" s="284" t="s">
        <v>15493</v>
      </c>
      <c r="G77" s="284" t="s">
        <v>15494</v>
      </c>
      <c r="H77" s="284" t="s">
        <v>14005</v>
      </c>
      <c r="I77" s="305" t="s">
        <v>15495</v>
      </c>
      <c r="J77" s="364" t="str">
        <f>HYPERLINK("https://azores.com","azores.com")</f>
        <v>azores.com</v>
      </c>
      <c r="K77" s="726" t="str">
        <f>HYPERLINK("https://www.google.com/maps/search/Caldeira%20Velha%20Ribeira%20Grande%20S%C3%A3o%20Miguel%20A%C3%A7ores","📍 Caldeira Velha Ribeira Grande São Miguel A")</f>
        <v>📍 Caldeira Velha Ribeira Grande São Miguel A</v>
      </c>
    </row>
    <row r="78" spans="1:11" ht="110" customHeight="1" x14ac:dyDescent="0.35">
      <c r="A78" s="344">
        <v>5</v>
      </c>
      <c r="B78" s="281" t="s">
        <v>15496</v>
      </c>
      <c r="C78" s="282" t="s">
        <v>522</v>
      </c>
      <c r="D78" s="281" t="s">
        <v>19764</v>
      </c>
      <c r="E78" s="281" t="s">
        <v>15497</v>
      </c>
      <c r="F78" s="281" t="s">
        <v>15498</v>
      </c>
      <c r="G78" s="281" t="s">
        <v>15279</v>
      </c>
      <c r="H78" s="281" t="s">
        <v>955</v>
      </c>
      <c r="I78" s="304" t="s">
        <v>15499</v>
      </c>
      <c r="J78" s="281" t="s">
        <v>3096</v>
      </c>
      <c r="K78" s="727" t="str">
        <f>HYPERLINK("https://www.google.com/maps/search/Caldeiras%20Ribeira%20Grande%20S%C3%A3o%20Miguel%20A%C3%A7ores","📍 Caldeiras Ribeira Grande São Miguel Açores")</f>
        <v>📍 Caldeiras Ribeira Grande São Miguel Açores</v>
      </c>
    </row>
    <row r="79" spans="1:11" ht="110" customHeight="1" x14ac:dyDescent="0.35">
      <c r="A79" s="342">
        <v>6</v>
      </c>
      <c r="B79" s="284" t="s">
        <v>15500</v>
      </c>
      <c r="C79" s="367" t="s">
        <v>522</v>
      </c>
      <c r="D79" s="284" t="s">
        <v>19765</v>
      </c>
      <c r="E79" s="284" t="s">
        <v>15294</v>
      </c>
      <c r="F79" s="284" t="s">
        <v>15501</v>
      </c>
      <c r="G79" s="284" t="s">
        <v>15274</v>
      </c>
      <c r="H79" s="284" t="s">
        <v>981</v>
      </c>
      <c r="I79" s="305" t="s">
        <v>15502</v>
      </c>
      <c r="J79" s="284" t="s">
        <v>3096</v>
      </c>
      <c r="K79" s="728" t="str">
        <f>HYPERLINK("https://www.google.com/maps/search/Caldeiras%20Furnas%20S%C3%A3o%20Miguel%20A%C3%A7ores","📍 Caldeiras Furnas São Miguel Açores")</f>
        <v>📍 Caldeiras Furnas São Miguel Açores</v>
      </c>
    </row>
    <row r="80" spans="1:11" ht="110" customHeight="1" x14ac:dyDescent="0.35">
      <c r="A80" s="344">
        <v>7</v>
      </c>
      <c r="B80" s="281" t="s">
        <v>15503</v>
      </c>
      <c r="C80" s="282" t="s">
        <v>522</v>
      </c>
      <c r="D80" s="281" t="s">
        <v>19766</v>
      </c>
      <c r="E80" s="281" t="s">
        <v>15504</v>
      </c>
      <c r="F80" s="281" t="s">
        <v>15268</v>
      </c>
      <c r="G80" s="281" t="s">
        <v>7858</v>
      </c>
      <c r="H80" s="281" t="s">
        <v>6742</v>
      </c>
      <c r="I80" s="304" t="s">
        <v>15505</v>
      </c>
      <c r="J80" s="281" t="s">
        <v>3096</v>
      </c>
      <c r="K80" s="727" t="str">
        <f>HYPERLINK("https://www.google.com/maps/search/Termas%20Lombadas%20S%C3%A3o%20Miguel%20A%C3%A7ores","📍 Termas Lombadas São Miguel Açores")</f>
        <v>📍 Termas Lombadas São Miguel Açores</v>
      </c>
    </row>
    <row r="81" spans="1:11" ht="110" customHeight="1" x14ac:dyDescent="0.35">
      <c r="A81" s="342">
        <v>8</v>
      </c>
      <c r="B81" s="284" t="s">
        <v>15506</v>
      </c>
      <c r="C81" s="367" t="s">
        <v>522</v>
      </c>
      <c r="D81" s="284" t="s">
        <v>19767</v>
      </c>
      <c r="E81" s="284" t="s">
        <v>15507</v>
      </c>
      <c r="F81" s="284" t="s">
        <v>15508</v>
      </c>
      <c r="G81" s="284" t="s">
        <v>15285</v>
      </c>
      <c r="H81" s="284" t="s">
        <v>1136</v>
      </c>
      <c r="I81" s="305" t="s">
        <v>15509</v>
      </c>
      <c r="J81" s="284" t="s">
        <v>3096</v>
      </c>
      <c r="K81" s="728" t="str">
        <f>HYPERLINK("https://www.google.com/maps/search/Piscinas%20Varadouro%20Faial%20A%C3%A7ores%20Portugal","📍 Piscinas Varadouro Faial Açores")</f>
        <v>📍 Piscinas Varadouro Faial Açores</v>
      </c>
    </row>
    <row r="82" spans="1:11" ht="110" customHeight="1" x14ac:dyDescent="0.35">
      <c r="A82" s="344">
        <v>9</v>
      </c>
      <c r="B82" s="281" t="s">
        <v>15510</v>
      </c>
      <c r="C82" s="282" t="s">
        <v>522</v>
      </c>
      <c r="D82" s="281" t="s">
        <v>19768</v>
      </c>
      <c r="E82" s="281" t="s">
        <v>15313</v>
      </c>
      <c r="F82" s="281" t="s">
        <v>15284</v>
      </c>
      <c r="G82" s="281" t="s">
        <v>15259</v>
      </c>
      <c r="H82" s="281" t="s">
        <v>1075</v>
      </c>
      <c r="I82" s="304" t="s">
        <v>15511</v>
      </c>
      <c r="J82" s="290" t="str">
        <f>HYPERLINK("https://termascarapacho.com","termascarapacho.com")</f>
        <v>termascarapacho.com</v>
      </c>
      <c r="K82" s="725" t="str">
        <f>HYPERLINK("https://www.google.com/maps/search/Termas%20Carapacho%20Graciosa%20A%C3%A7ores%20Portugal","📍 Termas Carapacho Graciosa Açores")</f>
        <v>📍 Termas Carapacho Graciosa Açores</v>
      </c>
    </row>
    <row r="83" spans="1:11" ht="110" customHeight="1" x14ac:dyDescent="0.35">
      <c r="A83" s="342">
        <v>10</v>
      </c>
      <c r="B83" s="284" t="s">
        <v>15512</v>
      </c>
      <c r="C83" s="367" t="s">
        <v>522</v>
      </c>
      <c r="D83" s="284" t="s">
        <v>19769</v>
      </c>
      <c r="E83" s="284" t="s">
        <v>15513</v>
      </c>
      <c r="F83" s="284" t="s">
        <v>15514</v>
      </c>
      <c r="G83" s="284" t="s">
        <v>15482</v>
      </c>
      <c r="H83" s="284" t="s">
        <v>1012</v>
      </c>
      <c r="I83" s="305" t="s">
        <v>15515</v>
      </c>
      <c r="J83" s="364" t="str">
        <f>HYPERLINK("https://graciosa.com","graciosa.com")</f>
        <v>graciosa.com</v>
      </c>
      <c r="K83" s="726" t="str">
        <f>HYPERLINK("https://www.google.com/maps/search/Furna%20do%20Enxofre%20Graciosa%20A%C3%A7ores%20Portugal","📍 Furna do Enxofre Graciosa Açores")</f>
        <v>📍 Furna do Enxofre Graciosa Açores</v>
      </c>
    </row>
    <row r="84" spans="1:11" ht="110" customHeight="1" x14ac:dyDescent="0.35">
      <c r="A84" s="344">
        <v>11</v>
      </c>
      <c r="B84" s="281" t="s">
        <v>15516</v>
      </c>
      <c r="C84" s="282" t="s">
        <v>522</v>
      </c>
      <c r="D84" s="281" t="s">
        <v>19770</v>
      </c>
      <c r="E84" s="281" t="s">
        <v>15426</v>
      </c>
      <c r="F84" s="281" t="s">
        <v>15350</v>
      </c>
      <c r="G84" s="281" t="s">
        <v>7858</v>
      </c>
      <c r="H84" s="281" t="s">
        <v>6742</v>
      </c>
      <c r="I84" s="304" t="s">
        <v>15517</v>
      </c>
      <c r="J84" s="281" t="s">
        <v>3096</v>
      </c>
      <c r="K84" s="727" t="str">
        <f>HYPERLINK("https://www.google.com/maps/search/Caldeiras%20do%20Pico%20S%C3%A3o%20Roque%20A%C3%A7ores%20Portugal","📍 Caldeiras do Pico São Roque Açores")</f>
        <v>📍 Caldeiras do Pico São Roque Açores</v>
      </c>
    </row>
    <row r="85" spans="1:11" ht="110" customHeight="1" x14ac:dyDescent="0.35">
      <c r="A85" s="342">
        <v>12</v>
      </c>
      <c r="B85" s="284" t="s">
        <v>15518</v>
      </c>
      <c r="C85" s="367" t="s">
        <v>522</v>
      </c>
      <c r="D85" s="284" t="s">
        <v>19771</v>
      </c>
      <c r="E85" s="284" t="s">
        <v>10459</v>
      </c>
      <c r="F85" s="284" t="s">
        <v>15284</v>
      </c>
      <c r="G85" s="284" t="s">
        <v>15285</v>
      </c>
      <c r="H85" s="284" t="s">
        <v>981</v>
      </c>
      <c r="I85" s="305" t="s">
        <v>15519</v>
      </c>
      <c r="J85" s="284" t="s">
        <v>3096</v>
      </c>
      <c r="K85" s="728" t="str">
        <f>HYPERLINK("https://www.google.com/maps/search/Termas%20S%C3%A3o%20Vicente%20Ferreira%20S%C3%A3o%20Miguel%20A%C3%A7ores","📍 Termas São Vicente Ferreira São Miguel Aço")</f>
        <v>📍 Termas São Vicente Ferreira São Miguel Aço</v>
      </c>
    </row>
    <row r="86" spans="1:11" ht="22" customHeight="1" x14ac:dyDescent="0.45">
      <c r="A86" s="1370" t="s">
        <v>871</v>
      </c>
      <c r="B86" s="1313"/>
      <c r="C86" s="1313"/>
      <c r="D86" s="1313"/>
      <c r="E86" s="1313"/>
      <c r="F86" s="1313"/>
      <c r="G86" s="1313"/>
      <c r="H86" s="1313"/>
      <c r="I86" s="1313"/>
      <c r="K86" s="676"/>
    </row>
    <row r="87" spans="1:11" ht="110" customHeight="1" x14ac:dyDescent="0.35">
      <c r="A87" s="350">
        <v>1</v>
      </c>
      <c r="B87" s="251" t="s">
        <v>7530</v>
      </c>
      <c r="C87" s="252" t="s">
        <v>524</v>
      </c>
      <c r="D87" s="251" t="s">
        <v>19772</v>
      </c>
      <c r="E87" s="251" t="s">
        <v>15520</v>
      </c>
      <c r="F87" s="251" t="s">
        <v>15521</v>
      </c>
      <c r="G87" s="251" t="s">
        <v>15248</v>
      </c>
      <c r="H87" s="251" t="s">
        <v>1036</v>
      </c>
      <c r="I87" s="304" t="s">
        <v>15522</v>
      </c>
      <c r="J87" s="291" t="str">
        <f>HYPERLINK("https://portosantohotels.com","portosantohotels.com")</f>
        <v>portosantohotels.com</v>
      </c>
      <c r="K87" s="729" t="str">
        <f>HYPERLINK("https://www.google.com/maps/search/Thalassoterapia%20Porto%20Santo%20Madeira%20Portugal","📍 Thalassoterapia Porto Santo Madeira")</f>
        <v>📍 Thalassoterapia Porto Santo Madeira</v>
      </c>
    </row>
    <row r="88" spans="1:11" ht="110" customHeight="1" x14ac:dyDescent="0.35">
      <c r="A88" s="356">
        <v>2</v>
      </c>
      <c r="B88" s="254" t="s">
        <v>15523</v>
      </c>
      <c r="C88" s="255" t="s">
        <v>524</v>
      </c>
      <c r="D88" s="254" t="s">
        <v>19773</v>
      </c>
      <c r="E88" s="254" t="s">
        <v>15524</v>
      </c>
      <c r="F88" s="254" t="s">
        <v>15268</v>
      </c>
      <c r="G88" s="254" t="s">
        <v>7858</v>
      </c>
      <c r="H88" s="254" t="s">
        <v>6742</v>
      </c>
      <c r="I88" s="305" t="s">
        <v>15525</v>
      </c>
      <c r="J88" s="254" t="s">
        <v>3096</v>
      </c>
      <c r="K88" s="730" t="str">
        <f>HYPERLINK("https://www.google.com/maps/search/Fonte%20Areia%20Porto%20Santo%20Madeira%20Portugal","📍 Fonte Areia Porto Santo Madeira")</f>
        <v>📍 Fonte Areia Porto Santo Madeira</v>
      </c>
    </row>
    <row r="89" spans="1:11" ht="110" customHeight="1" x14ac:dyDescent="0.35">
      <c r="A89" s="350">
        <v>3</v>
      </c>
      <c r="B89" s="251" t="s">
        <v>15526</v>
      </c>
      <c r="C89" s="252" t="s">
        <v>524</v>
      </c>
      <c r="D89" s="251" t="s">
        <v>19774</v>
      </c>
      <c r="E89" s="251" t="s">
        <v>15527</v>
      </c>
      <c r="F89" s="251" t="s">
        <v>15528</v>
      </c>
      <c r="G89" s="251" t="s">
        <v>7858</v>
      </c>
      <c r="H89" s="251" t="s">
        <v>6742</v>
      </c>
      <c r="I89" s="304" t="s">
        <v>15529</v>
      </c>
      <c r="J89" s="251" t="s">
        <v>3096</v>
      </c>
      <c r="K89" s="731" t="str">
        <f>HYPERLINK("https://www.google.com/maps/search/Poco%20do%20Bacalhau%20Faj%C3%A3%20da%20Ovelha%20Madeira%20Portugal","📍 Poco do Bacalhau Fajã da Ovelha Madeira")</f>
        <v>📍 Poco do Bacalhau Fajã da Ovelha Madeira</v>
      </c>
    </row>
    <row r="91" spans="1:11" ht="16.5" x14ac:dyDescent="0.45">
      <c r="A91" s="1353" t="s">
        <v>15530</v>
      </c>
      <c r="B91" s="1354"/>
      <c r="C91" s="1354"/>
      <c r="D91" s="1354"/>
      <c r="E91" s="1354"/>
      <c r="F91" s="1354"/>
      <c r="G91" s="1354"/>
      <c r="H91" s="1354"/>
      <c r="I91" s="1354"/>
      <c r="K91" s="676"/>
    </row>
  </sheetData>
  <mergeCells count="10">
    <mergeCell ref="A2:I2"/>
    <mergeCell ref="A60:I60"/>
    <mergeCell ref="A1:I1"/>
    <mergeCell ref="A70:I70"/>
    <mergeCell ref="A67:I67"/>
    <mergeCell ref="A91:I91"/>
    <mergeCell ref="A4:I4"/>
    <mergeCell ref="A30:I30"/>
    <mergeCell ref="A86:I86"/>
    <mergeCell ref="A73:I73"/>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50CB-256C-4EE5-8AD9-2B06F45C31B2}">
  <dimension ref="A1:K52"/>
  <sheetViews>
    <sheetView workbookViewId="0">
      <pane ySplit="3" topLeftCell="A4" activePane="bottomLeft" state="frozen"/>
      <selection pane="bottomLeft" activeCell="K6" sqref="K6"/>
    </sheetView>
  </sheetViews>
  <sheetFormatPr defaultRowHeight="14.5" x14ac:dyDescent="0.35"/>
  <cols>
    <col min="1" max="1" width="5.453125" customWidth="1"/>
    <col min="2" max="2" width="47.26953125" customWidth="1"/>
    <col min="3" max="3" width="30.90625" customWidth="1"/>
    <col min="4" max="4" width="12.7265625" customWidth="1"/>
    <col min="5" max="5" width="23.6328125" customWidth="1"/>
    <col min="6" max="6" width="72.7265625" customWidth="1"/>
    <col min="7" max="8" width="18.1796875" customWidth="1"/>
    <col min="9" max="9" width="29.08984375" customWidth="1"/>
    <col min="10" max="10" width="16.36328125" customWidth="1"/>
    <col min="11" max="11" width="23.6328125" customWidth="1"/>
  </cols>
  <sheetData>
    <row r="1" spans="1:11" ht="21" x14ac:dyDescent="0.5">
      <c r="A1" s="368" t="s">
        <v>16484</v>
      </c>
      <c r="B1" s="369"/>
      <c r="C1" s="369"/>
      <c r="D1" s="369"/>
      <c r="E1" s="369"/>
      <c r="F1" s="369"/>
      <c r="G1" s="369"/>
      <c r="H1" s="369"/>
      <c r="I1" s="369"/>
      <c r="J1" s="369"/>
      <c r="K1" s="369"/>
    </row>
    <row r="2" spans="1:11" x14ac:dyDescent="0.35">
      <c r="A2" s="370" t="s">
        <v>16429</v>
      </c>
    </row>
    <row r="3" spans="1:11" x14ac:dyDescent="0.35">
      <c r="A3" s="372" t="s">
        <v>141</v>
      </c>
      <c r="B3" s="371" t="s">
        <v>6270</v>
      </c>
      <c r="C3" s="371" t="s">
        <v>1324</v>
      </c>
      <c r="D3" s="372" t="s">
        <v>619</v>
      </c>
      <c r="E3" s="371" t="s">
        <v>13178</v>
      </c>
      <c r="F3" s="371" t="s">
        <v>16430</v>
      </c>
      <c r="G3" s="372" t="s">
        <v>2264</v>
      </c>
      <c r="H3" s="372" t="s">
        <v>2262</v>
      </c>
      <c r="I3" s="372" t="s">
        <v>16431</v>
      </c>
      <c r="J3" s="372" t="s">
        <v>16432</v>
      </c>
      <c r="K3" s="372" t="s">
        <v>16558</v>
      </c>
    </row>
    <row r="4" spans="1:11" x14ac:dyDescent="0.35">
      <c r="A4" s="373" t="s">
        <v>16485</v>
      </c>
      <c r="B4" s="374"/>
      <c r="C4" s="374"/>
      <c r="D4" s="374"/>
      <c r="E4" s="374"/>
      <c r="F4" s="374"/>
      <c r="G4" s="374"/>
      <c r="H4" s="374"/>
      <c r="I4" s="374"/>
      <c r="J4" s="374"/>
      <c r="K4" s="374"/>
    </row>
    <row r="5" spans="1:11" x14ac:dyDescent="0.35">
      <c r="A5">
        <v>1</v>
      </c>
      <c r="B5" t="s">
        <v>16433</v>
      </c>
      <c r="C5" t="s">
        <v>16434</v>
      </c>
      <c r="D5" t="s">
        <v>792</v>
      </c>
      <c r="E5" t="s">
        <v>15071</v>
      </c>
      <c r="F5" t="s">
        <v>16435</v>
      </c>
      <c r="G5" t="s">
        <v>5914</v>
      </c>
      <c r="H5" t="s">
        <v>2269</v>
      </c>
      <c r="I5" t="s">
        <v>16395</v>
      </c>
      <c r="J5" t="s">
        <v>16436</v>
      </c>
      <c r="K5" s="375" t="str">
        <f>HYPERLINK("https://maps.google.com/?q=Lagoa%20dos%20Druidas%20(Peneda-Ger%C3%AAs)%20Peneda-Ger%C3%AAs%20Portugal","💎 Lagoa dos Druidas (Peneda-Ge")</f>
        <v>💎 Lagoa dos Druidas (Peneda-Ge</v>
      </c>
    </row>
    <row r="6" spans="1:11" x14ac:dyDescent="0.35">
      <c r="A6">
        <v>2</v>
      </c>
      <c r="B6" t="s">
        <v>16437</v>
      </c>
      <c r="C6" t="s">
        <v>16438</v>
      </c>
      <c r="D6" t="s">
        <v>792</v>
      </c>
      <c r="E6" t="s">
        <v>1908</v>
      </c>
      <c r="F6" t="s">
        <v>16439</v>
      </c>
      <c r="G6" t="s">
        <v>2595</v>
      </c>
      <c r="H6" t="s">
        <v>2297</v>
      </c>
      <c r="I6" t="s">
        <v>9790</v>
      </c>
      <c r="J6" t="s">
        <v>16436</v>
      </c>
      <c r="K6" s="375" t="str">
        <f>HYPERLINK("https://maps.google.com/?q=Pedras%20Parideiras%20de%20Arouca%20Arouca%20Portugal","💎 Pedras Parideiras de Arouca")</f>
        <v>💎 Pedras Parideiras de Arouca</v>
      </c>
    </row>
    <row r="7" spans="1:11" x14ac:dyDescent="0.35">
      <c r="A7">
        <v>3</v>
      </c>
      <c r="B7" t="s">
        <v>16440</v>
      </c>
      <c r="C7" t="s">
        <v>16441</v>
      </c>
      <c r="D7" t="s">
        <v>792</v>
      </c>
      <c r="E7" t="s">
        <v>1872</v>
      </c>
      <c r="F7" t="s">
        <v>16442</v>
      </c>
      <c r="G7" t="s">
        <v>2595</v>
      </c>
      <c r="H7" t="s">
        <v>15163</v>
      </c>
      <c r="I7" t="s">
        <v>16395</v>
      </c>
      <c r="J7" t="s">
        <v>16436</v>
      </c>
      <c r="K7" s="375" t="str">
        <f>HYPERLINK("https://maps.google.com/?q=Fisgas%20de%20Ermelo%20(200m)%20Mondim%20de%20Basto%20Portugal","💎 Fisgas de Ermelo (200m)")</f>
        <v>💎 Fisgas de Ermelo (200m)</v>
      </c>
    </row>
    <row r="8" spans="1:11" x14ac:dyDescent="0.35">
      <c r="A8">
        <v>4</v>
      </c>
      <c r="B8" t="s">
        <v>10060</v>
      </c>
      <c r="C8" t="s">
        <v>16443</v>
      </c>
      <c r="D8" t="s">
        <v>792</v>
      </c>
      <c r="E8" t="s">
        <v>5578</v>
      </c>
      <c r="F8" t="s">
        <v>16444</v>
      </c>
      <c r="G8" t="s">
        <v>2595</v>
      </c>
      <c r="H8" t="s">
        <v>2297</v>
      </c>
      <c r="I8" t="s">
        <v>9790</v>
      </c>
      <c r="J8" t="s">
        <v>16445</v>
      </c>
      <c r="K8" s="375" t="str">
        <f>HYPERLINK("https://maps.google.com/?q=Santu%C3%A1rio%20de%20Pan%C3%B3ias%20Vila%20Real%20Portugal","💎 Santuário de Panóias")</f>
        <v>💎 Santuário de Panóias</v>
      </c>
    </row>
    <row r="9" spans="1:11" x14ac:dyDescent="0.35">
      <c r="A9">
        <v>5</v>
      </c>
      <c r="B9" t="s">
        <v>10039</v>
      </c>
      <c r="C9" t="s">
        <v>16446</v>
      </c>
      <c r="D9" t="s">
        <v>792</v>
      </c>
      <c r="E9" t="s">
        <v>10040</v>
      </c>
      <c r="F9" t="s">
        <v>16447</v>
      </c>
      <c r="G9" t="s">
        <v>2595</v>
      </c>
      <c r="H9" t="s">
        <v>2297</v>
      </c>
      <c r="I9" t="s">
        <v>9790</v>
      </c>
      <c r="J9" t="s">
        <v>16436</v>
      </c>
      <c r="K9" s="375" t="str">
        <f>HYPERLINK("https://maps.google.com/?q=Minas%20de%20Ouro%20de%20Tresminas%20Vila%20Pouca%20de%20Aguiar%20Portugal","💎 Minas de Ouro de Tresminas")</f>
        <v>💎 Minas de Ouro de Tresminas</v>
      </c>
    </row>
    <row r="10" spans="1:11" x14ac:dyDescent="0.35">
      <c r="A10">
        <v>6</v>
      </c>
      <c r="B10" t="s">
        <v>16486</v>
      </c>
      <c r="C10" t="s">
        <v>16487</v>
      </c>
      <c r="D10" t="s">
        <v>792</v>
      </c>
      <c r="E10" t="s">
        <v>15071</v>
      </c>
      <c r="F10" t="s">
        <v>16488</v>
      </c>
      <c r="G10" t="s">
        <v>5914</v>
      </c>
      <c r="H10" t="s">
        <v>2269</v>
      </c>
      <c r="I10" t="s">
        <v>16395</v>
      </c>
      <c r="J10" t="s">
        <v>16436</v>
      </c>
      <c r="K10" s="375" t="str">
        <f>HYPERLINK("https://maps.google.com/?q=Po%C3%A7o%20Azul%20(Peneda-Ger%C3%AAs)%20Peneda-Ger%C3%AAs%20Portugal","💎 Poço Azul (Peneda-Gerês)")</f>
        <v>💎 Poço Azul (Peneda-Gerês)</v>
      </c>
    </row>
    <row r="11" spans="1:11" x14ac:dyDescent="0.35">
      <c r="A11">
        <v>7</v>
      </c>
      <c r="B11" t="s">
        <v>16489</v>
      </c>
      <c r="C11" t="s">
        <v>16490</v>
      </c>
      <c r="D11" t="s">
        <v>792</v>
      </c>
      <c r="E11" t="s">
        <v>15071</v>
      </c>
      <c r="F11" t="s">
        <v>16491</v>
      </c>
      <c r="G11" t="s">
        <v>5914</v>
      </c>
      <c r="H11" t="s">
        <v>2269</v>
      </c>
      <c r="I11" t="s">
        <v>16395</v>
      </c>
      <c r="J11" t="s">
        <v>16436</v>
      </c>
      <c r="K11" s="375" t="str">
        <f>HYPERLINK("https://maps.google.com/?q=7%20Lagoas%20de%20Ger%C3%AAs%20Peneda-Ger%C3%AAs%20Portugal","💎 7 Lagoas de Gerês")</f>
        <v>💎 7 Lagoas de Gerês</v>
      </c>
    </row>
    <row r="12" spans="1:11" x14ac:dyDescent="0.35">
      <c r="A12">
        <v>8</v>
      </c>
      <c r="B12" t="s">
        <v>13145</v>
      </c>
      <c r="C12" t="s">
        <v>16492</v>
      </c>
      <c r="D12" t="s">
        <v>792</v>
      </c>
      <c r="E12" t="s">
        <v>1149</v>
      </c>
      <c r="F12" t="s">
        <v>16493</v>
      </c>
      <c r="G12" t="s">
        <v>16494</v>
      </c>
      <c r="H12" t="s">
        <v>2297</v>
      </c>
      <c r="I12" t="s">
        <v>16388</v>
      </c>
      <c r="J12" t="s">
        <v>16445</v>
      </c>
      <c r="K12" s="375" t="str">
        <f>HYPERLINK("https://maps.google.com/?q=Moinhos%20de%20Montedor%20Viana%20do%20Castelo%20Portugal","💎 Moinhos de Montedor")</f>
        <v>💎 Moinhos de Montedor</v>
      </c>
    </row>
    <row r="13" spans="1:11" x14ac:dyDescent="0.35">
      <c r="A13">
        <v>9</v>
      </c>
      <c r="B13" t="s">
        <v>16495</v>
      </c>
      <c r="C13" t="s">
        <v>16496</v>
      </c>
      <c r="D13" t="s">
        <v>792</v>
      </c>
      <c r="E13" t="s">
        <v>16497</v>
      </c>
      <c r="F13" t="s">
        <v>16498</v>
      </c>
      <c r="G13" t="s">
        <v>2595</v>
      </c>
      <c r="H13" t="s">
        <v>2297</v>
      </c>
      <c r="I13" t="s">
        <v>16391</v>
      </c>
      <c r="J13" t="s">
        <v>16445</v>
      </c>
      <c r="K13" s="375" t="str">
        <f>HYPERLINK("https://maps.google.com/?q=Ponte%20Maria%20Pia%20(Eiffel%2C%201877)%20Porto%20%2F%20Gaia%20Portugal","💎 Ponte Maria Pia (Eiffel, 187")</f>
        <v>💎 Ponte Maria Pia (Eiffel, 187</v>
      </c>
    </row>
    <row r="14" spans="1:11" x14ac:dyDescent="0.35">
      <c r="A14">
        <v>10</v>
      </c>
      <c r="B14" t="s">
        <v>16499</v>
      </c>
      <c r="C14" t="s">
        <v>16500</v>
      </c>
      <c r="D14" t="s">
        <v>792</v>
      </c>
      <c r="E14" t="s">
        <v>8019</v>
      </c>
      <c r="F14" t="s">
        <v>16501</v>
      </c>
      <c r="G14" t="s">
        <v>2595</v>
      </c>
      <c r="H14" t="s">
        <v>2297</v>
      </c>
      <c r="I14" t="s">
        <v>16502</v>
      </c>
      <c r="J14" t="s">
        <v>16436</v>
      </c>
      <c r="K14" s="375" t="str">
        <f>HYPERLINK("https://maps.google.com/?q=Termas%20de%20Longroiva%20%2B%20Castelo%20Medieval%20M%C3%AAda%20Portugal","💎 Termas de Longroiva + Castel")</f>
        <v>💎 Termas de Longroiva + Castel</v>
      </c>
    </row>
    <row r="15" spans="1:11" x14ac:dyDescent="0.35">
      <c r="A15" s="376" t="s">
        <v>16503</v>
      </c>
      <c r="B15" s="377"/>
      <c r="C15" s="377"/>
      <c r="D15" s="377"/>
      <c r="E15" s="377"/>
      <c r="F15" s="377"/>
      <c r="G15" s="377"/>
      <c r="H15" s="377"/>
      <c r="I15" s="377"/>
      <c r="J15" s="377"/>
      <c r="K15" s="377"/>
    </row>
    <row r="16" spans="1:11" x14ac:dyDescent="0.35">
      <c r="A16">
        <v>11</v>
      </c>
      <c r="B16" t="s">
        <v>16448</v>
      </c>
      <c r="C16" t="s">
        <v>16449</v>
      </c>
      <c r="D16" t="s">
        <v>836</v>
      </c>
      <c r="E16" t="s">
        <v>933</v>
      </c>
      <c r="F16" t="s">
        <v>16450</v>
      </c>
      <c r="G16" t="s">
        <v>2595</v>
      </c>
      <c r="H16" t="s">
        <v>2303</v>
      </c>
      <c r="I16" t="s">
        <v>16389</v>
      </c>
      <c r="J16" t="s">
        <v>16436</v>
      </c>
      <c r="K16" s="375" t="str">
        <f>HYPERLINK("https://maps.google.com/?q=Monsanto%20%E2%80%94%20Aldeia%20entre%20Penedos%20Idanha-a-Nova%20Portugal","💎 Monsanto — Aldeia entre Pene")</f>
        <v>💎 Monsanto — Aldeia entre Pene</v>
      </c>
    </row>
    <row r="17" spans="1:11" x14ac:dyDescent="0.35">
      <c r="A17">
        <v>12</v>
      </c>
      <c r="B17" t="s">
        <v>16451</v>
      </c>
      <c r="C17" t="s">
        <v>16441</v>
      </c>
      <c r="D17" t="s">
        <v>836</v>
      </c>
      <c r="E17" t="s">
        <v>16452</v>
      </c>
      <c r="F17" t="s">
        <v>16453</v>
      </c>
      <c r="G17" t="s">
        <v>2611</v>
      </c>
      <c r="H17" t="s">
        <v>2297</v>
      </c>
      <c r="I17" t="s">
        <v>16395</v>
      </c>
      <c r="J17" t="s">
        <v>16436</v>
      </c>
      <c r="K17" s="375" t="str">
        <f>HYPERLINK("https://maps.google.com/?q=Mizarela%20%E2%80%94%20Cascata%20de%2075m%20(Serra%20do%20A%C3%A7or)%20Arouca%20%2F%20Serra%20do%20A%C3%A7or%20Portugal","💎 Mizarela — Cascata de 75m (S")</f>
        <v>💎 Mizarela — Cascata de 75m (S</v>
      </c>
    </row>
    <row r="18" spans="1:11" x14ac:dyDescent="0.35">
      <c r="A18">
        <v>13</v>
      </c>
      <c r="B18" t="s">
        <v>16454</v>
      </c>
      <c r="C18" t="s">
        <v>16455</v>
      </c>
      <c r="D18" t="s">
        <v>836</v>
      </c>
      <c r="E18" t="s">
        <v>5922</v>
      </c>
      <c r="F18" t="s">
        <v>16456</v>
      </c>
      <c r="G18" t="s">
        <v>2595</v>
      </c>
      <c r="H18" t="s">
        <v>2297</v>
      </c>
      <c r="I18" t="s">
        <v>9790</v>
      </c>
      <c r="J18" t="s">
        <v>16445</v>
      </c>
      <c r="K18" s="375" t="str">
        <f>HYPERLINK("https://maps.google.com/?q=Centum%20Cellas%20%E2%80%94%20Torre%20Romana%20Enigm%C3%A1tica%20Belmonte%20Portugal","💎 Centum Cellas — Torre Romana")</f>
        <v>💎 Centum Cellas — Torre Romana</v>
      </c>
    </row>
    <row r="19" spans="1:11" x14ac:dyDescent="0.35">
      <c r="A19">
        <v>14</v>
      </c>
      <c r="B19" t="s">
        <v>10085</v>
      </c>
      <c r="C19" t="s">
        <v>16457</v>
      </c>
      <c r="D19" t="s">
        <v>836</v>
      </c>
      <c r="E19" t="s">
        <v>933</v>
      </c>
      <c r="F19" t="s">
        <v>16458</v>
      </c>
      <c r="G19" t="s">
        <v>2595</v>
      </c>
      <c r="H19" t="s">
        <v>2297</v>
      </c>
      <c r="I19" t="s">
        <v>9790</v>
      </c>
      <c r="J19" t="s">
        <v>16436</v>
      </c>
      <c r="K19" s="375" t="str">
        <f>HYPERLINK("https://maps.google.com/?q=Idanha-a-Velha%20(Egit%C3%A2nia)%20Idanha-a-Nova%20Portugal","💎 Idanha-a-Velha (Egitânia)")</f>
        <v>💎 Idanha-a-Velha (Egitânia)</v>
      </c>
    </row>
    <row r="20" spans="1:11" x14ac:dyDescent="0.35">
      <c r="A20">
        <v>15</v>
      </c>
      <c r="B20" t="s">
        <v>16504</v>
      </c>
      <c r="C20" t="s">
        <v>16505</v>
      </c>
      <c r="D20" t="s">
        <v>836</v>
      </c>
      <c r="E20" t="s">
        <v>5892</v>
      </c>
      <c r="F20" t="s">
        <v>16506</v>
      </c>
      <c r="G20" t="s">
        <v>15102</v>
      </c>
      <c r="H20" t="s">
        <v>2297</v>
      </c>
      <c r="I20" t="s">
        <v>16395</v>
      </c>
      <c r="J20" t="s">
        <v>16445</v>
      </c>
      <c r="K20" s="375" t="str">
        <f>HYPERLINK("https://maps.google.com/?q=Po%C3%A7o%20do%20Inferno%20(Serra%20da%20Estrela)%20Manteigas%20Portugal","💎 Poço do Inferno (Serra da Es")</f>
        <v>💎 Poço do Inferno (Serra da Es</v>
      </c>
    </row>
    <row r="21" spans="1:11" x14ac:dyDescent="0.35">
      <c r="A21">
        <v>16</v>
      </c>
      <c r="B21" t="s">
        <v>16507</v>
      </c>
      <c r="C21" t="s">
        <v>16508</v>
      </c>
      <c r="D21" t="s">
        <v>836</v>
      </c>
      <c r="E21" t="s">
        <v>15116</v>
      </c>
      <c r="F21" t="s">
        <v>16509</v>
      </c>
      <c r="G21" t="s">
        <v>15117</v>
      </c>
      <c r="H21" t="s">
        <v>2303</v>
      </c>
      <c r="I21" t="s">
        <v>16395</v>
      </c>
      <c r="J21" t="s">
        <v>16436</v>
      </c>
      <c r="K21" s="375" t="str">
        <f>HYPERLINK("https://maps.google.com/?q=Cascata%20da%20F%C3%B3rnea%20(Anfiteatro%20Calc%C3%A1rio)%20Serra%20de%20Aire%20Portugal","💎 Cascata da Fórnea (Anfiteatr")</f>
        <v>💎 Cascata da Fórnea (Anfiteatr</v>
      </c>
    </row>
    <row r="22" spans="1:11" x14ac:dyDescent="0.35">
      <c r="A22">
        <v>17</v>
      </c>
      <c r="B22" t="s">
        <v>16510</v>
      </c>
      <c r="C22" t="s">
        <v>16511</v>
      </c>
      <c r="D22" t="s">
        <v>836</v>
      </c>
      <c r="E22" t="s">
        <v>8478</v>
      </c>
      <c r="F22" t="s">
        <v>16512</v>
      </c>
      <c r="G22" t="s">
        <v>2595</v>
      </c>
      <c r="H22" t="s">
        <v>2297</v>
      </c>
      <c r="I22" t="s">
        <v>16388</v>
      </c>
      <c r="J22" t="s">
        <v>16445</v>
      </c>
      <c r="K22" s="375" t="str">
        <f>HYPERLINK("https://maps.google.com/?q=Moinhos%20da%20Serra%20da%20Atalhada%20Penacova%20Portugal","💎 Moinhos da Serra da Atalhada")</f>
        <v>💎 Moinhos da Serra da Atalhada</v>
      </c>
    </row>
    <row r="23" spans="1:11" x14ac:dyDescent="0.35">
      <c r="A23">
        <v>18</v>
      </c>
      <c r="B23" t="s">
        <v>16513</v>
      </c>
      <c r="C23" t="s">
        <v>13064</v>
      </c>
      <c r="D23" t="s">
        <v>836</v>
      </c>
      <c r="E23" t="s">
        <v>9870</v>
      </c>
      <c r="F23" t="s">
        <v>16514</v>
      </c>
      <c r="G23" t="s">
        <v>2879</v>
      </c>
      <c r="H23" t="s">
        <v>2303</v>
      </c>
      <c r="I23" t="s">
        <v>16388</v>
      </c>
      <c r="J23" t="s">
        <v>16436</v>
      </c>
      <c r="K23" s="375" t="str">
        <f>HYPERLINK("https://maps.google.com/?q=Nazar%C3%A9%20%E2%80%94%20Canyon%20Marinho%20(Baleias)%20Nazar%C3%A9%20Portugal","💎 Nazaré — Canyon Marinho (Bal")</f>
        <v>💎 Nazaré — Canyon Marinho (Bal</v>
      </c>
    </row>
    <row r="24" spans="1:11" x14ac:dyDescent="0.35">
      <c r="A24" s="378" t="s">
        <v>16515</v>
      </c>
      <c r="B24" s="379"/>
      <c r="C24" s="379"/>
      <c r="D24" s="379"/>
      <c r="E24" s="379"/>
      <c r="F24" s="379"/>
      <c r="G24" s="379"/>
      <c r="H24" s="379"/>
      <c r="I24" s="379"/>
      <c r="J24" s="379"/>
      <c r="K24" s="379"/>
    </row>
    <row r="25" spans="1:11" x14ac:dyDescent="0.35">
      <c r="A25">
        <v>19</v>
      </c>
      <c r="B25" t="s">
        <v>16459</v>
      </c>
      <c r="C25" t="s">
        <v>16460</v>
      </c>
      <c r="D25" t="s">
        <v>913</v>
      </c>
      <c r="E25" t="s">
        <v>2567</v>
      </c>
      <c r="F25" t="s">
        <v>16461</v>
      </c>
      <c r="G25" t="s">
        <v>2611</v>
      </c>
      <c r="H25" t="s">
        <v>2303</v>
      </c>
      <c r="I25" t="s">
        <v>16395</v>
      </c>
      <c r="J25" t="s">
        <v>16445</v>
      </c>
      <c r="K25" s="375" t="str">
        <f>HYPERLINK("https://maps.google.com/?q=Cascata%20Mour%C3%A3o%20%E2%80%94%20Serra%20de%20Sintra%20Sintra%20Portugal","💎 Cascata Mourão — Serra de Si")</f>
        <v>💎 Cascata Mourão — Serra de Si</v>
      </c>
    </row>
    <row r="26" spans="1:11" x14ac:dyDescent="0.35">
      <c r="A26">
        <v>20</v>
      </c>
      <c r="B26" t="s">
        <v>10107</v>
      </c>
      <c r="C26" t="s">
        <v>16516</v>
      </c>
      <c r="D26" t="s">
        <v>913</v>
      </c>
      <c r="E26" t="s">
        <v>16462</v>
      </c>
      <c r="F26" t="s">
        <v>16463</v>
      </c>
      <c r="G26" t="s">
        <v>2595</v>
      </c>
      <c r="H26" t="s">
        <v>2297</v>
      </c>
      <c r="I26" t="s">
        <v>9790</v>
      </c>
      <c r="J26" t="s">
        <v>16436</v>
      </c>
      <c r="K26" s="375" t="str">
        <f>HYPERLINK("https://maps.google.com/?q=N%C3%BAcleo%20Arqueol%C3%B3gico%20da%20Rua%20dos%20Correeiros%20Baixa%20de%20Lisboa%20Portugal","💎 Núcleo Arqueológico da Rua d")</f>
        <v>💎 Núcleo Arqueológico da Rua d</v>
      </c>
    </row>
    <row r="27" spans="1:11" x14ac:dyDescent="0.35">
      <c r="A27">
        <v>21</v>
      </c>
      <c r="B27" t="s">
        <v>16517</v>
      </c>
      <c r="C27" t="s">
        <v>13064</v>
      </c>
      <c r="D27" t="s">
        <v>913</v>
      </c>
      <c r="E27" t="s">
        <v>1347</v>
      </c>
      <c r="F27" t="s">
        <v>16518</v>
      </c>
      <c r="G27" t="s">
        <v>2595</v>
      </c>
      <c r="H27" t="s">
        <v>2297</v>
      </c>
      <c r="I27" t="s">
        <v>16388</v>
      </c>
      <c r="J27" t="s">
        <v>16436</v>
      </c>
      <c r="K27" s="375" t="str">
        <f>HYPERLINK("https://maps.google.com/?q=Estu%C3%A1rio%20do%20Sado%20%E2%80%94%20Golfinhos-Roazes%20Residentes%20Set%C3%BAbal%20Portugal","💎 Estuário do Sado — Golfinhos")</f>
        <v>💎 Estuário do Sado — Golfinhos</v>
      </c>
    </row>
    <row r="28" spans="1:11" x14ac:dyDescent="0.35">
      <c r="A28">
        <v>22</v>
      </c>
      <c r="B28" t="s">
        <v>13141</v>
      </c>
      <c r="C28" t="s">
        <v>16519</v>
      </c>
      <c r="D28" t="s">
        <v>913</v>
      </c>
      <c r="E28" t="s">
        <v>16520</v>
      </c>
      <c r="F28" t="s">
        <v>16521</v>
      </c>
      <c r="G28" t="s">
        <v>16522</v>
      </c>
      <c r="H28" t="s">
        <v>2297</v>
      </c>
      <c r="I28" t="s">
        <v>16388</v>
      </c>
      <c r="J28" t="s">
        <v>16445</v>
      </c>
      <c r="K28" s="375" t="str">
        <f>HYPERLINK("https://maps.google.com/?q=Moinho%20de%20Mar%C3%A9%20de%20Corroios%20Corroios%20%2F%20Seixal%20Portugal","💎 Moinho de Maré de Corroios")</f>
        <v>💎 Moinho de Maré de Corroios</v>
      </c>
    </row>
    <row r="29" spans="1:11" x14ac:dyDescent="0.35">
      <c r="A29" s="380" t="s">
        <v>16523</v>
      </c>
      <c r="B29" s="381"/>
      <c r="C29" s="381"/>
      <c r="D29" s="381"/>
      <c r="E29" s="381"/>
      <c r="F29" s="381"/>
      <c r="G29" s="381"/>
      <c r="H29" s="381"/>
      <c r="I29" s="381"/>
      <c r="J29" s="381"/>
      <c r="K29" s="381"/>
    </row>
    <row r="30" spans="1:11" x14ac:dyDescent="0.35">
      <c r="A30">
        <v>23</v>
      </c>
      <c r="B30" t="s">
        <v>6863</v>
      </c>
      <c r="C30" t="s">
        <v>16524</v>
      </c>
      <c r="D30" t="s">
        <v>853</v>
      </c>
      <c r="E30" t="s">
        <v>1412</v>
      </c>
      <c r="F30" t="s">
        <v>16464</v>
      </c>
      <c r="G30" t="s">
        <v>16525</v>
      </c>
      <c r="H30" t="s">
        <v>2297</v>
      </c>
      <c r="I30" t="s">
        <v>9790</v>
      </c>
      <c r="J30" t="s">
        <v>16436</v>
      </c>
      <c r="K30" s="375" t="str">
        <f>HYPERLINK("https://maps.google.com/?q=Cromeleque%20dos%20Almendres%20%C3%89vora%20Portugal","💎 Cromeleque dos Almendres")</f>
        <v>💎 Cromeleque dos Almendres</v>
      </c>
    </row>
    <row r="31" spans="1:11" x14ac:dyDescent="0.35">
      <c r="A31">
        <v>24</v>
      </c>
      <c r="B31" t="s">
        <v>10116</v>
      </c>
      <c r="C31" t="s">
        <v>16465</v>
      </c>
      <c r="D31" t="s">
        <v>853</v>
      </c>
      <c r="E31" t="s">
        <v>7955</v>
      </c>
      <c r="F31" t="s">
        <v>16466</v>
      </c>
      <c r="G31" t="s">
        <v>2595</v>
      </c>
      <c r="H31" t="s">
        <v>2297</v>
      </c>
      <c r="I31" t="s">
        <v>9790</v>
      </c>
      <c r="J31" t="s">
        <v>16436</v>
      </c>
      <c r="K31" s="375" t="str">
        <f>HYPERLINK("https://maps.google.com/?q=Gruta%20do%20Escoural%20Montemor-o-Novo%20Portugal","💎 Gruta do Escoural")</f>
        <v>💎 Gruta do Escoural</v>
      </c>
    </row>
    <row r="32" spans="1:11" x14ac:dyDescent="0.35">
      <c r="A32">
        <v>25</v>
      </c>
      <c r="B32" t="s">
        <v>10119</v>
      </c>
      <c r="C32" t="s">
        <v>16467</v>
      </c>
      <c r="D32" t="s">
        <v>853</v>
      </c>
      <c r="E32" t="s">
        <v>1412</v>
      </c>
      <c r="F32" t="s">
        <v>16468</v>
      </c>
      <c r="G32" t="s">
        <v>2595</v>
      </c>
      <c r="H32" t="s">
        <v>2297</v>
      </c>
      <c r="I32" t="s">
        <v>9790</v>
      </c>
      <c r="J32" t="s">
        <v>16436</v>
      </c>
      <c r="K32" s="375" t="str">
        <f>HYPERLINK("https://maps.google.com/?q=Anta%20Grande%20do%20Zambujeiro%20%C3%89vora%20Portugal","💎 Anta Grande do Zambujeiro")</f>
        <v>💎 Anta Grande do Zambujeiro</v>
      </c>
    </row>
    <row r="33" spans="1:11" x14ac:dyDescent="0.35">
      <c r="A33">
        <v>26</v>
      </c>
      <c r="B33" t="s">
        <v>16526</v>
      </c>
      <c r="C33" t="s">
        <v>16527</v>
      </c>
      <c r="D33" t="s">
        <v>853</v>
      </c>
      <c r="E33" t="s">
        <v>6081</v>
      </c>
      <c r="F33" t="s">
        <v>16528</v>
      </c>
      <c r="G33" t="s">
        <v>2591</v>
      </c>
      <c r="H33" t="s">
        <v>2297</v>
      </c>
      <c r="I33" t="s">
        <v>16395</v>
      </c>
      <c r="J33" t="s">
        <v>16436</v>
      </c>
      <c r="K33" s="375" t="str">
        <f>HYPERLINK("https://maps.google.com/?q=Pulo%20do%20Lobo%20(Guadiana)%20M%C3%A9rtola%20Portugal","💎 Pulo do Lobo (Guadiana)")</f>
        <v>💎 Pulo do Lobo (Guadiana)</v>
      </c>
    </row>
    <row r="34" spans="1:11" x14ac:dyDescent="0.35">
      <c r="A34">
        <v>27</v>
      </c>
      <c r="B34" t="s">
        <v>16529</v>
      </c>
      <c r="C34" t="s">
        <v>16530</v>
      </c>
      <c r="D34" t="s">
        <v>853</v>
      </c>
      <c r="E34" t="s">
        <v>1412</v>
      </c>
      <c r="F34" t="s">
        <v>16531</v>
      </c>
      <c r="G34" t="s">
        <v>13028</v>
      </c>
      <c r="H34" t="s">
        <v>2297</v>
      </c>
      <c r="I34" t="s">
        <v>16388</v>
      </c>
      <c r="J34" t="s">
        <v>16445</v>
      </c>
      <c r="K34" s="375" t="str">
        <f>HYPERLINK("https://maps.google.com/?q=Herdade%20da%20Mitra%20%E2%80%94%20Polinizadores%20do%20Montado%20%C3%89vora%20Portugal","💎 Herdade da Mitra — Polinizad")</f>
        <v>💎 Herdade da Mitra — Polinizad</v>
      </c>
    </row>
    <row r="35" spans="1:11" x14ac:dyDescent="0.35">
      <c r="A35">
        <v>28</v>
      </c>
      <c r="B35" t="s">
        <v>13161</v>
      </c>
      <c r="C35" t="s">
        <v>16532</v>
      </c>
      <c r="D35" t="s">
        <v>853</v>
      </c>
      <c r="E35" t="s">
        <v>5516</v>
      </c>
      <c r="F35" t="s">
        <v>16533</v>
      </c>
      <c r="G35" t="s">
        <v>2595</v>
      </c>
      <c r="H35" t="s">
        <v>2297</v>
      </c>
      <c r="I35" t="s">
        <v>16388</v>
      </c>
      <c r="J35" t="s">
        <v>16445</v>
      </c>
      <c r="K35" s="375" t="str">
        <f>HYPERLINK("https://maps.google.com/?q=Moinhos%20de%20Mar%C3%A9s%20de%20Alc%C3%A1cer%20do%20Sal%20Alc%C3%A1cer%20do%20Sal%20Portugal","💎 Moinhos de Marés de Alcácer ")</f>
        <v xml:space="preserve">💎 Moinhos de Marés de Alcácer </v>
      </c>
    </row>
    <row r="36" spans="1:11" x14ac:dyDescent="0.35">
      <c r="A36" s="382" t="s">
        <v>16534</v>
      </c>
      <c r="B36" s="383"/>
      <c r="C36" s="383"/>
      <c r="D36" s="383"/>
      <c r="E36" s="383"/>
      <c r="F36" s="383"/>
      <c r="G36" s="383"/>
      <c r="H36" s="383"/>
      <c r="I36" s="383"/>
      <c r="J36" s="383"/>
      <c r="K36" s="383"/>
    </row>
    <row r="37" spans="1:11" x14ac:dyDescent="0.35">
      <c r="A37">
        <v>29</v>
      </c>
      <c r="B37" t="s">
        <v>10144</v>
      </c>
      <c r="C37" t="s">
        <v>16469</v>
      </c>
      <c r="D37" t="s">
        <v>767</v>
      </c>
      <c r="E37" t="s">
        <v>2172</v>
      </c>
      <c r="F37" t="s">
        <v>16470</v>
      </c>
      <c r="G37" t="s">
        <v>2595</v>
      </c>
      <c r="H37" t="s">
        <v>2297</v>
      </c>
      <c r="I37" t="s">
        <v>9790</v>
      </c>
      <c r="J37" t="s">
        <v>16436</v>
      </c>
      <c r="K37" s="375" t="str">
        <f>HYPERLINK("https://maps.google.com/?q=Mina%20de%20Sal%20Gema%20de%20Loul%C3%A9%20Loul%C3%A9%20Portugal","💎 Mina de Sal Gema de Loulé")</f>
        <v>💎 Mina de Sal Gema de Loulé</v>
      </c>
    </row>
    <row r="38" spans="1:11" x14ac:dyDescent="0.35">
      <c r="A38">
        <v>30</v>
      </c>
      <c r="B38" t="s">
        <v>16471</v>
      </c>
      <c r="C38" t="s">
        <v>16472</v>
      </c>
      <c r="D38" t="s">
        <v>767</v>
      </c>
      <c r="E38" t="s">
        <v>2789</v>
      </c>
      <c r="F38" t="s">
        <v>16535</v>
      </c>
      <c r="G38" t="s">
        <v>15117</v>
      </c>
      <c r="H38" t="s">
        <v>2269</v>
      </c>
      <c r="I38" t="s">
        <v>16395</v>
      </c>
      <c r="J38" t="s">
        <v>16436</v>
      </c>
      <c r="K38" s="375" t="str">
        <f>HYPERLINK("https://maps.google.com/?q=Cascata%20da%20Rocha%20da%20Gal%C3%A9%20(Costa%20Vicentina)%20Costa%20Vicentina%20Portugal","💎 Cascata da Rocha da Galé (Co")</f>
        <v>💎 Cascata da Rocha da Galé (Co</v>
      </c>
    </row>
    <row r="39" spans="1:11" x14ac:dyDescent="0.35">
      <c r="A39">
        <v>31</v>
      </c>
      <c r="B39" t="s">
        <v>16536</v>
      </c>
      <c r="C39" t="s">
        <v>13064</v>
      </c>
      <c r="D39" t="s">
        <v>767</v>
      </c>
      <c r="E39" t="s">
        <v>5964</v>
      </c>
      <c r="F39" t="s">
        <v>16537</v>
      </c>
      <c r="G39" t="s">
        <v>2831</v>
      </c>
      <c r="H39" t="s">
        <v>2297</v>
      </c>
      <c r="I39" t="s">
        <v>16388</v>
      </c>
      <c r="J39" t="s">
        <v>16436</v>
      </c>
      <c r="K39" s="375" t="str">
        <f>HYPERLINK("https://maps.google.com/?q=Sagres%20%2F%20Canh%C3%A3o%20de%20S%C3%A3o%20Vicente%20%E2%80%94%20Baleias%20Sagres%20Portugal","💎 Sagres / Canhão de São Vicen")</f>
        <v>💎 Sagres / Canhão de São Vicen</v>
      </c>
    </row>
    <row r="40" spans="1:11" x14ac:dyDescent="0.35">
      <c r="A40">
        <v>32</v>
      </c>
      <c r="B40" t="s">
        <v>16538</v>
      </c>
      <c r="C40" t="s">
        <v>16539</v>
      </c>
      <c r="D40" t="s">
        <v>767</v>
      </c>
      <c r="E40" t="s">
        <v>13156</v>
      </c>
      <c r="F40" t="s">
        <v>16540</v>
      </c>
      <c r="G40" t="s">
        <v>2595</v>
      </c>
      <c r="H40" t="s">
        <v>2297</v>
      </c>
      <c r="I40" t="s">
        <v>16388</v>
      </c>
      <c r="J40" t="s">
        <v>16445</v>
      </c>
      <c r="K40" s="375" t="str">
        <f>HYPERLINK("https://maps.google.com/?q=Azenha%20da%20Cabana%20do%20Castelo%20(Geoparque)%20Geoparque%20Algarvensis%20Portugal","💎 Azenha da Cabana do Castelo ")</f>
        <v xml:space="preserve">💎 Azenha da Cabana do Castelo </v>
      </c>
    </row>
    <row r="41" spans="1:11" x14ac:dyDescent="0.35">
      <c r="A41" s="384" t="s">
        <v>16541</v>
      </c>
      <c r="B41" s="385"/>
      <c r="C41" s="385"/>
      <c r="D41" s="385"/>
      <c r="E41" s="385"/>
      <c r="F41" s="385"/>
      <c r="G41" s="385"/>
      <c r="H41" s="385"/>
      <c r="I41" s="385"/>
      <c r="J41" s="385"/>
      <c r="K41" s="385"/>
    </row>
    <row r="42" spans="1:11" x14ac:dyDescent="0.35">
      <c r="A42">
        <v>33</v>
      </c>
      <c r="B42" t="s">
        <v>16473</v>
      </c>
      <c r="C42" t="s">
        <v>16474</v>
      </c>
      <c r="D42" t="s">
        <v>522</v>
      </c>
      <c r="E42" t="s">
        <v>2841</v>
      </c>
      <c r="F42" t="s">
        <v>16475</v>
      </c>
      <c r="G42" t="s">
        <v>2825</v>
      </c>
      <c r="H42" t="s">
        <v>2297</v>
      </c>
      <c r="I42" t="s">
        <v>9790</v>
      </c>
      <c r="J42" t="s">
        <v>16436</v>
      </c>
      <c r="K42" s="375" t="str">
        <f>HYPERLINK("https://maps.google.com/?q=Algar%20do%20Carv%C3%A3o%20%E2%80%94%20Interior%20de%20um%20Vulc%C3%A3o%20Terceira%20Portugal","💎 Algar do Carvão — Interior d")</f>
        <v>💎 Algar do Carvão — Interior d</v>
      </c>
    </row>
    <row r="43" spans="1:11" x14ac:dyDescent="0.35">
      <c r="A43">
        <v>34</v>
      </c>
      <c r="B43" t="s">
        <v>16476</v>
      </c>
      <c r="C43" t="s">
        <v>16477</v>
      </c>
      <c r="D43" t="s">
        <v>522</v>
      </c>
      <c r="E43" t="s">
        <v>16478</v>
      </c>
      <c r="F43" t="s">
        <v>16479</v>
      </c>
      <c r="G43" t="s">
        <v>2825</v>
      </c>
      <c r="H43" t="s">
        <v>2303</v>
      </c>
      <c r="I43" t="s">
        <v>16388</v>
      </c>
      <c r="J43" t="s">
        <v>16436</v>
      </c>
      <c r="K43" s="375" t="str">
        <f>HYPERLINK("https://maps.google.com/?q=Corvo%20e%20Flores%20%E2%80%94%20Orcas%20e%20Cet%C3%A1ceos%20Raros%20Grupo%20Ocidental%20Portugal","💎 Corvo e Flores — Orcas e Cet")</f>
        <v>💎 Corvo e Flores — Orcas e Cet</v>
      </c>
    </row>
    <row r="44" spans="1:11" x14ac:dyDescent="0.35">
      <c r="A44">
        <v>35</v>
      </c>
      <c r="B44" t="s">
        <v>16542</v>
      </c>
      <c r="C44" t="s">
        <v>16543</v>
      </c>
      <c r="D44" t="s">
        <v>522</v>
      </c>
      <c r="E44" t="s">
        <v>2833</v>
      </c>
      <c r="F44" t="s">
        <v>16544</v>
      </c>
      <c r="G44" t="s">
        <v>2595</v>
      </c>
      <c r="H44" t="s">
        <v>2297</v>
      </c>
      <c r="I44" t="s">
        <v>16395</v>
      </c>
      <c r="J44" t="s">
        <v>16436</v>
      </c>
      <c r="K44" s="375" t="str">
        <f>HYPERLINK("https://maps.google.com/?q=Po%C3%A7o%20Bacalhau%20%E2%80%94%20Cascata%20de%2090m%20(Flores)%20Flores%20Portugal","💎 Poço Bacalhau — Cascata de 9")</f>
        <v>💎 Poço Bacalhau — Cascata de 9</v>
      </c>
    </row>
    <row r="45" spans="1:11" x14ac:dyDescent="0.35">
      <c r="A45">
        <v>36</v>
      </c>
      <c r="B45" t="s">
        <v>16545</v>
      </c>
      <c r="C45" t="s">
        <v>16546</v>
      </c>
      <c r="D45" t="s">
        <v>522</v>
      </c>
      <c r="E45" t="s">
        <v>2815</v>
      </c>
      <c r="F45" t="s">
        <v>16547</v>
      </c>
      <c r="G45" t="s">
        <v>2595</v>
      </c>
      <c r="H45" t="s">
        <v>2297</v>
      </c>
      <c r="I45" t="s">
        <v>16395</v>
      </c>
      <c r="J45" t="s">
        <v>16436</v>
      </c>
      <c r="K45" s="375" t="str">
        <f>HYPERLINK("https://maps.google.com/?q=Caldeira%20Velha%20%E2%80%94%20Cascata%20Termal%20(S%C3%A3o%20Miguel)%20S%C3%A3o%20Miguel%20Portugal","💎 Caldeira Velha — Cascata Ter")</f>
        <v>💎 Caldeira Velha — Cascata Ter</v>
      </c>
    </row>
    <row r="46" spans="1:11" x14ac:dyDescent="0.35">
      <c r="A46" s="386" t="s">
        <v>16548</v>
      </c>
      <c r="B46" s="387"/>
      <c r="C46" s="387"/>
      <c r="D46" s="387"/>
      <c r="E46" s="387"/>
      <c r="F46" s="387"/>
      <c r="G46" s="387"/>
      <c r="H46" s="387"/>
      <c r="I46" s="387"/>
      <c r="J46" s="387"/>
      <c r="K46" s="387"/>
    </row>
    <row r="47" spans="1:11" x14ac:dyDescent="0.35">
      <c r="A47">
        <v>37</v>
      </c>
      <c r="B47" t="s">
        <v>16480</v>
      </c>
      <c r="C47" t="s">
        <v>16481</v>
      </c>
      <c r="D47" t="s">
        <v>524</v>
      </c>
      <c r="E47" t="s">
        <v>5799</v>
      </c>
      <c r="F47" t="s">
        <v>16482</v>
      </c>
      <c r="G47" t="s">
        <v>2595</v>
      </c>
      <c r="H47" t="s">
        <v>2269</v>
      </c>
      <c r="I47" t="s">
        <v>16388</v>
      </c>
      <c r="J47" t="s">
        <v>16436</v>
      </c>
      <c r="K47" s="375" t="str">
        <f>HYPERLINK("https://maps.google.com/?q=Desertas%20%E2%80%94%20Lobo-marinho-do-mediterr%C3%A2neo%20Ilhas%20Desertas%20Portugal","💎 Desertas — Lobo-marinho-do-m")</f>
        <v>💎 Desertas — Lobo-marinho-do-m</v>
      </c>
    </row>
    <row r="48" spans="1:11" x14ac:dyDescent="0.35">
      <c r="A48">
        <v>38</v>
      </c>
      <c r="B48" t="s">
        <v>16483</v>
      </c>
      <c r="C48" t="s">
        <v>16441</v>
      </c>
      <c r="D48" t="s">
        <v>524</v>
      </c>
      <c r="E48" t="s">
        <v>2234</v>
      </c>
      <c r="F48" t="s">
        <v>16549</v>
      </c>
      <c r="G48" t="s">
        <v>2611</v>
      </c>
      <c r="H48" t="s">
        <v>2303</v>
      </c>
      <c r="I48" t="s">
        <v>16395</v>
      </c>
      <c r="J48" t="s">
        <v>16436</v>
      </c>
      <c r="K48" s="375" t="str">
        <f>HYPERLINK("https://maps.google.com/?q=Garganta%20Funda%20%E2%80%94%20Cascata%20de%20140m%20Ribeira%20Brava%20Portugal","💎 Garganta Funda — Cascata de ")</f>
        <v xml:space="preserve">💎 Garganta Funda — Cascata de </v>
      </c>
    </row>
    <row r="49" spans="1:11" x14ac:dyDescent="0.35">
      <c r="A49">
        <v>39</v>
      </c>
      <c r="B49" t="s">
        <v>16550</v>
      </c>
      <c r="C49" t="s">
        <v>16551</v>
      </c>
      <c r="D49" t="s">
        <v>524</v>
      </c>
      <c r="E49" t="s">
        <v>2219</v>
      </c>
      <c r="F49" t="s">
        <v>16552</v>
      </c>
      <c r="G49" t="s">
        <v>2595</v>
      </c>
      <c r="H49" t="s">
        <v>2297</v>
      </c>
      <c r="I49" t="s">
        <v>16388</v>
      </c>
      <c r="J49" t="s">
        <v>16436</v>
      </c>
      <c r="K49" s="375" t="str">
        <f>HYPERLINK("https://maps.google.com/?q=Borboleta-Monarca%20Residente%20(Jardim%20Bot%C3%A2nico)%20Funchal%20Portugal","💎 Borboleta-Monarca Residente ")</f>
        <v xml:space="preserve">💎 Borboleta-Monarca Residente </v>
      </c>
    </row>
    <row r="50" spans="1:11" x14ac:dyDescent="0.35">
      <c r="A50">
        <v>40</v>
      </c>
      <c r="B50" t="s">
        <v>16553</v>
      </c>
      <c r="C50" t="s">
        <v>16554</v>
      </c>
      <c r="D50" t="s">
        <v>524</v>
      </c>
      <c r="E50" t="s">
        <v>5988</v>
      </c>
      <c r="F50" t="s">
        <v>16555</v>
      </c>
      <c r="G50" t="s">
        <v>2595</v>
      </c>
      <c r="H50" t="s">
        <v>2303</v>
      </c>
      <c r="I50" t="s">
        <v>16388</v>
      </c>
      <c r="J50" t="s">
        <v>16445</v>
      </c>
      <c r="K50" s="375" t="str">
        <f>HYPERLINK("https://maps.google.com/?q=Azenha%20do%20Lombo%20dos%20Carros%20(Levada)%20Santana%20Portugal","💎 Azenha do Lombo dos Carros (")</f>
        <v>💎 Azenha do Lombo dos Carros (</v>
      </c>
    </row>
    <row r="52" spans="1:11" x14ac:dyDescent="0.35">
      <c r="A52" s="388" t="s">
        <v>16556</v>
      </c>
      <c r="B52" s="369"/>
      <c r="C52" s="369"/>
      <c r="D52" s="369"/>
      <c r="E52" s="369"/>
      <c r="F52" s="369"/>
      <c r="G52" s="369"/>
      <c r="H52" s="369"/>
      <c r="I52" s="369"/>
      <c r="J52" s="369"/>
      <c r="K52" s="618" t="str">
        <f>HYPERLINK("https://maps.google.com/?q=Portugal","💎 ")</f>
        <v xml:space="preserve">💎 </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E033-6AFC-4E03-A569-FFF3609C7F09}">
  <dimension ref="A1:I55"/>
  <sheetViews>
    <sheetView workbookViewId="0">
      <pane ySplit="3" topLeftCell="A45" activePane="bottomLeft" state="frozen"/>
      <selection pane="bottomLeft" activeCell="I29" sqref="I29"/>
    </sheetView>
  </sheetViews>
  <sheetFormatPr defaultRowHeight="14.5" x14ac:dyDescent="0.35"/>
  <cols>
    <col min="1" max="1" width="6.36328125" customWidth="1"/>
    <col min="2" max="2" width="40" customWidth="1"/>
    <col min="3" max="3" width="20" customWidth="1"/>
    <col min="4" max="4" width="12.7265625" customWidth="1"/>
    <col min="5" max="5" width="36.36328125" customWidth="1"/>
    <col min="6" max="6" width="27.26953125" customWidth="1"/>
    <col min="7" max="7" width="14.54296875" customWidth="1"/>
    <col min="8" max="8" width="50.90625" customWidth="1"/>
    <col min="9" max="9" width="27.26953125" customWidth="1"/>
  </cols>
  <sheetData>
    <row r="1" spans="1:9" ht="22" customHeight="1" x14ac:dyDescent="0.35">
      <c r="A1" s="1544" t="s">
        <v>19956</v>
      </c>
      <c r="B1" s="1544"/>
      <c r="C1" s="1544"/>
      <c r="D1" s="1544"/>
      <c r="E1" s="1544"/>
      <c r="F1" s="1544"/>
      <c r="G1" s="1544"/>
      <c r="H1" s="1544"/>
      <c r="I1" s="1544"/>
    </row>
    <row r="2" spans="1:9" ht="22" customHeight="1" x14ac:dyDescent="0.35">
      <c r="A2" s="1574" t="s">
        <v>18461</v>
      </c>
      <c r="B2" s="1365"/>
      <c r="C2" s="1365"/>
      <c r="D2" s="1365"/>
      <c r="E2" s="1365"/>
      <c r="F2" s="1365"/>
      <c r="G2" s="1365"/>
      <c r="H2" s="1365"/>
      <c r="I2" s="1365"/>
    </row>
    <row r="3" spans="1:9" ht="22" customHeight="1" x14ac:dyDescent="0.35">
      <c r="A3" s="591" t="s">
        <v>141</v>
      </c>
      <c r="B3" s="591" t="s">
        <v>6270</v>
      </c>
      <c r="C3" s="591" t="s">
        <v>620</v>
      </c>
      <c r="D3" s="591" t="s">
        <v>619</v>
      </c>
      <c r="E3" s="591" t="s">
        <v>906</v>
      </c>
      <c r="F3" s="591" t="s">
        <v>2264</v>
      </c>
      <c r="G3" s="591" t="s">
        <v>8764</v>
      </c>
      <c r="H3" s="591" t="s">
        <v>8</v>
      </c>
      <c r="I3" s="591" t="s">
        <v>16558</v>
      </c>
    </row>
    <row r="4" spans="1:9" ht="75" customHeight="1" x14ac:dyDescent="0.35">
      <c r="A4" s="733">
        <v>1</v>
      </c>
      <c r="B4" s="734" t="s">
        <v>13143</v>
      </c>
      <c r="C4" s="734" t="s">
        <v>13142</v>
      </c>
      <c r="D4" s="734" t="s">
        <v>913</v>
      </c>
      <c r="E4" s="734" t="s">
        <v>19775</v>
      </c>
      <c r="F4" s="734" t="s">
        <v>19833</v>
      </c>
      <c r="G4" s="734" t="s">
        <v>3096</v>
      </c>
      <c r="H4" s="732" t="s">
        <v>19804</v>
      </c>
      <c r="I4" s="738" t="str">
        <f>HYPERLINK("https://www.google.com/maps/search/Moinho%20de%20Mar%C3%A9%20do%20Cais%20Montijo%20Portugal","📍 Moinho de Maré do Cais Montijo")</f>
        <v>📍 Moinho de Maré do Cais Montijo</v>
      </c>
    </row>
    <row r="5" spans="1:9" ht="75" customHeight="1" x14ac:dyDescent="0.35">
      <c r="A5" s="736">
        <v>2</v>
      </c>
      <c r="B5" s="737" t="s">
        <v>13144</v>
      </c>
      <c r="C5" s="737" t="s">
        <v>13142</v>
      </c>
      <c r="D5" s="737" t="s">
        <v>913</v>
      </c>
      <c r="E5" s="737" t="s">
        <v>19776</v>
      </c>
      <c r="F5" s="737" t="s">
        <v>19834</v>
      </c>
      <c r="G5" s="737" t="s">
        <v>3096</v>
      </c>
      <c r="H5" s="735" t="s">
        <v>19805</v>
      </c>
      <c r="I5" s="739" t="str">
        <f>HYPERLINK("https://www.google.com/maps/search/Moinho%20de%20Mar%C3%A9%20Alhos%20Vedros%20Moita%20Portugal","📍 Moinho de Maré Alhos Vedros Moita")</f>
        <v>📍 Moinho de Maré Alhos Vedros Moita</v>
      </c>
    </row>
    <row r="6" spans="1:9" ht="75" customHeight="1" x14ac:dyDescent="0.35">
      <c r="A6" s="733">
        <v>3</v>
      </c>
      <c r="B6" s="734" t="s">
        <v>13145</v>
      </c>
      <c r="C6" s="734" t="s">
        <v>11316</v>
      </c>
      <c r="D6" s="734" t="s">
        <v>792</v>
      </c>
      <c r="E6" s="734" t="s">
        <v>19777</v>
      </c>
      <c r="F6" s="734" t="s">
        <v>19835</v>
      </c>
      <c r="G6" s="734" t="s">
        <v>3096</v>
      </c>
      <c r="H6" s="732" t="s">
        <v>19806</v>
      </c>
      <c r="I6" s="738" t="str">
        <f>HYPERLINK("https://www.google.com/maps/search/Moinhos%20de%20Montedor%20Carre%C3%A7o%20Viana%20do%20Castelo%20Portugal","📍 Moinhos de Montedor Carreço Viana do C")</f>
        <v>📍 Moinhos de Montedor Carreço Viana do C</v>
      </c>
    </row>
    <row r="7" spans="1:9" ht="75" customHeight="1" x14ac:dyDescent="0.35">
      <c r="A7" s="736">
        <v>4</v>
      </c>
      <c r="B7" s="737" t="s">
        <v>13146</v>
      </c>
      <c r="C7" s="737" t="s">
        <v>11316</v>
      </c>
      <c r="D7" s="737" t="s">
        <v>836</v>
      </c>
      <c r="E7" s="737" t="s">
        <v>19778</v>
      </c>
      <c r="F7" s="737" t="s">
        <v>19836</v>
      </c>
      <c r="G7" s="737" t="s">
        <v>3096</v>
      </c>
      <c r="H7" s="735" t="s">
        <v>19807</v>
      </c>
      <c r="I7" s="739" t="str">
        <f>HYPERLINK("https://www.google.com/maps/search/Moinhos%20Serra%20da%20Atalhada%20Penacova%20Portugal","📍 Moinhos Serra da Atalhada Penacova")</f>
        <v>📍 Moinhos Serra da Atalhada Penacova</v>
      </c>
    </row>
    <row r="8" spans="1:9" ht="75" customHeight="1" x14ac:dyDescent="0.35">
      <c r="A8" s="733">
        <v>5</v>
      </c>
      <c r="B8" s="734" t="s">
        <v>13147</v>
      </c>
      <c r="C8" s="734" t="s">
        <v>11316</v>
      </c>
      <c r="D8" s="734" t="s">
        <v>913</v>
      </c>
      <c r="E8" s="734" t="s">
        <v>19779</v>
      </c>
      <c r="F8" s="734" t="s">
        <v>19837</v>
      </c>
      <c r="G8" s="734" t="s">
        <v>3096</v>
      </c>
      <c r="H8" s="732" t="s">
        <v>19808</v>
      </c>
      <c r="I8" s="738" t="str">
        <f>HYPERLINK("https://www.google.com/maps/search/Moinho%20de%20Vento%20Alburrica%20Barreiro%20Portugal","📍 Moinho de Vento Alburrica Barreiro")</f>
        <v>📍 Moinho de Vento Alburrica Barreiro</v>
      </c>
    </row>
    <row r="9" spans="1:9" ht="75" customHeight="1" x14ac:dyDescent="0.35">
      <c r="A9" s="736">
        <v>6</v>
      </c>
      <c r="B9" s="737" t="s">
        <v>13148</v>
      </c>
      <c r="C9" s="737" t="s">
        <v>13149</v>
      </c>
      <c r="D9" s="737" t="s">
        <v>836</v>
      </c>
      <c r="E9" s="737" t="s">
        <v>19780</v>
      </c>
      <c r="F9" s="737" t="s">
        <v>19838</v>
      </c>
      <c r="G9" s="737" t="s">
        <v>3096</v>
      </c>
      <c r="H9" s="735" t="s">
        <v>19809</v>
      </c>
      <c r="I9" s="739" t="str">
        <f>HYPERLINK("https://www.google.com/maps/search/Nucleo%20Molinologico%20Moinhos%20da%20Gandara%20Figueira%20da%20Foz%20Portugal","📍 Nucleo Molinologico Moinhos da Gandara")</f>
        <v>📍 Nucleo Molinologico Moinhos da Gandara</v>
      </c>
    </row>
    <row r="10" spans="1:9" ht="75" customHeight="1" x14ac:dyDescent="0.35">
      <c r="A10" s="733">
        <v>7</v>
      </c>
      <c r="B10" s="734" t="s">
        <v>13150</v>
      </c>
      <c r="C10" s="734" t="s">
        <v>13149</v>
      </c>
      <c r="D10" s="734" t="s">
        <v>836</v>
      </c>
      <c r="E10" s="734" t="s">
        <v>19781</v>
      </c>
      <c r="F10" s="734" t="s">
        <v>19839</v>
      </c>
      <c r="G10" s="734" t="s">
        <v>3096</v>
      </c>
      <c r="H10" s="732" t="s">
        <v>19810</v>
      </c>
      <c r="I10" s="738" t="str">
        <f>HYPERLINK("https://www.google.com/maps/search/Moinho%20do%20Pego%20Escuro%20Gois%20Coimbra%20Portugal","📍 Moinho do Pego Escuro Gois Coimbra")</f>
        <v>📍 Moinho do Pego Escuro Gois Coimbra</v>
      </c>
    </row>
    <row r="11" spans="1:9" ht="75" customHeight="1" x14ac:dyDescent="0.35">
      <c r="A11" s="736">
        <v>8</v>
      </c>
      <c r="B11" s="737" t="s">
        <v>13151</v>
      </c>
      <c r="C11" s="737" t="s">
        <v>13152</v>
      </c>
      <c r="D11" s="737" t="s">
        <v>792</v>
      </c>
      <c r="E11" s="737" t="s">
        <v>19782</v>
      </c>
      <c r="F11" s="737" t="s">
        <v>19840</v>
      </c>
      <c r="G11" s="737" t="s">
        <v>3096</v>
      </c>
      <c r="H11" s="735" t="s">
        <v>19811</v>
      </c>
      <c r="I11" s="739" t="str">
        <f>HYPERLINK("https://www.google.com/maps/search/Moinho%20de%20Moimenta%20Vinhais%20Tr%C3%A1s-os-Montes%20Portugal","📍 Moinho de Moimenta Vinhais Trás-os-Mon")</f>
        <v>📍 Moinho de Moimenta Vinhais Trás-os-Mon</v>
      </c>
    </row>
    <row r="12" spans="1:9" ht="75" customHeight="1" x14ac:dyDescent="0.35">
      <c r="A12" s="733">
        <v>9</v>
      </c>
      <c r="B12" s="734" t="s">
        <v>13153</v>
      </c>
      <c r="C12" s="734" t="s">
        <v>11316</v>
      </c>
      <c r="D12" s="734" t="s">
        <v>836</v>
      </c>
      <c r="E12" s="734" t="s">
        <v>19783</v>
      </c>
      <c r="F12" s="734" t="s">
        <v>19841</v>
      </c>
      <c r="G12" s="734" t="s">
        <v>3096</v>
      </c>
      <c r="H12" s="732" t="s">
        <v>19812</v>
      </c>
      <c r="I12" s="738" t="str">
        <f>HYPERLINK("https://www.google.com/maps/search/Moinho%20Serra%20da%20Portela%20Ansi%C3%A3o%20Portugal","📍 Moinho Serra da Portela Ansião")</f>
        <v>📍 Moinho Serra da Portela Ansião</v>
      </c>
    </row>
    <row r="13" spans="1:9" ht="75" customHeight="1" x14ac:dyDescent="0.35">
      <c r="A13" s="736">
        <v>10</v>
      </c>
      <c r="B13" s="737" t="s">
        <v>13154</v>
      </c>
      <c r="C13" s="737" t="s">
        <v>11316</v>
      </c>
      <c r="D13" s="737" t="s">
        <v>853</v>
      </c>
      <c r="E13" s="737" t="s">
        <v>19784</v>
      </c>
      <c r="F13" s="737" t="s">
        <v>19842</v>
      </c>
      <c r="G13" s="737" t="s">
        <v>3096</v>
      </c>
      <c r="H13" s="735" t="s">
        <v>19813</v>
      </c>
      <c r="I13" s="739" t="str">
        <f>HYPERLINK("https://www.google.com/maps/search/Moinho%20de%20Vento%20da%20Quintinha%20Santiago%20do%20Cac%C3%A9m%20Portugal","📍 Moinho de Vento da Quintinha Santiago ")</f>
        <v xml:space="preserve">📍 Moinho de Vento da Quintinha Santiago </v>
      </c>
    </row>
    <row r="14" spans="1:9" ht="75" customHeight="1" x14ac:dyDescent="0.35">
      <c r="A14" s="733">
        <v>11</v>
      </c>
      <c r="B14" s="734" t="s">
        <v>13155</v>
      </c>
      <c r="C14" s="734" t="s">
        <v>13149</v>
      </c>
      <c r="D14" s="734" t="s">
        <v>767</v>
      </c>
      <c r="E14" s="734" t="s">
        <v>19785</v>
      </c>
      <c r="F14" s="734" t="s">
        <v>19843</v>
      </c>
      <c r="G14" s="734" t="s">
        <v>3096</v>
      </c>
      <c r="H14" s="732" t="s">
        <v>19814</v>
      </c>
      <c r="I14" s="738" t="str">
        <f>HYPERLINK("https://www.google.com/maps/search/Azenha%20da%20Cabana%20do%20Castelo%20Alte%20Loul%C3%A9%20Portugal","📍 Azenha da Cabana do Castelo Alte Loulé")</f>
        <v>📍 Azenha da Cabana do Castelo Alte Loulé</v>
      </c>
    </row>
    <row r="15" spans="1:9" ht="75" customHeight="1" x14ac:dyDescent="0.35">
      <c r="A15" s="736">
        <v>12</v>
      </c>
      <c r="B15" s="737" t="s">
        <v>13157</v>
      </c>
      <c r="C15" s="737" t="s">
        <v>11316</v>
      </c>
      <c r="D15" s="737" t="s">
        <v>836</v>
      </c>
      <c r="E15" s="737" t="s">
        <v>19786</v>
      </c>
      <c r="F15" s="737" t="s">
        <v>19844</v>
      </c>
      <c r="G15" s="737" t="s">
        <v>3096</v>
      </c>
      <c r="H15" s="735" t="s">
        <v>19815</v>
      </c>
      <c r="I15" s="739" t="str">
        <f>HYPERLINK("https://www.google.com/maps/search/Moinho%20de%20Vento%20Entrevinhas%20Sardoal%20Portugal","📍 Moinho de Vento Entrevinhas Sardoal")</f>
        <v>📍 Moinho de Vento Entrevinhas Sardoal</v>
      </c>
    </row>
    <row r="16" spans="1:9" ht="75" customHeight="1" x14ac:dyDescent="0.35">
      <c r="A16" s="733">
        <v>13</v>
      </c>
      <c r="B16" s="734" t="s">
        <v>13158</v>
      </c>
      <c r="C16" s="734" t="s">
        <v>11316</v>
      </c>
      <c r="D16" s="734" t="s">
        <v>836</v>
      </c>
      <c r="E16" s="734" t="s">
        <v>19787</v>
      </c>
      <c r="F16" s="734" t="s">
        <v>19845</v>
      </c>
      <c r="G16" s="734" t="s">
        <v>3096</v>
      </c>
      <c r="H16" s="732" t="s">
        <v>19816</v>
      </c>
      <c r="I16" s="738" t="str">
        <f>HYPERLINK("https://www.google.com/maps/search/Moinho%20de%20Vento%20Lograssol%20Mealhada%20Portugal","📍 Moinho de Vento Lograssol Mealhada")</f>
        <v>📍 Moinho de Vento Lograssol Mealhada</v>
      </c>
    </row>
    <row r="17" spans="1:9" ht="75" customHeight="1" x14ac:dyDescent="0.35">
      <c r="A17" s="736">
        <v>14</v>
      </c>
      <c r="B17" s="737" t="s">
        <v>13159</v>
      </c>
      <c r="C17" s="737" t="s">
        <v>11316</v>
      </c>
      <c r="D17" s="737" t="s">
        <v>853</v>
      </c>
      <c r="E17" s="737" t="s">
        <v>19788</v>
      </c>
      <c r="F17" s="737" t="s">
        <v>19846</v>
      </c>
      <c r="G17" s="737" t="s">
        <v>3096</v>
      </c>
      <c r="H17" s="735" t="s">
        <v>19817</v>
      </c>
      <c r="I17" s="739" t="str">
        <f>HYPERLINK("https://www.google.com/maps/search/Moinho%20de%20Vento%20de%20Nisa%20Portugal","📍 Moinho de Vento de Nisa")</f>
        <v>📍 Moinho de Vento de Nisa</v>
      </c>
    </row>
    <row r="18" spans="1:9" ht="75" customHeight="1" x14ac:dyDescent="0.35">
      <c r="A18" s="733">
        <v>15</v>
      </c>
      <c r="B18" s="734" t="s">
        <v>13160</v>
      </c>
      <c r="C18" s="734" t="s">
        <v>13149</v>
      </c>
      <c r="D18" s="734" t="s">
        <v>853</v>
      </c>
      <c r="E18" s="734" t="s">
        <v>19789</v>
      </c>
      <c r="F18" s="734" t="s">
        <v>19847</v>
      </c>
      <c r="G18" s="734" t="s">
        <v>3096</v>
      </c>
      <c r="H18" s="732" t="s">
        <v>19818</v>
      </c>
      <c r="I18" s="738" t="str">
        <f>HYPERLINK("https://www.google.com/maps/search/Moinho%20de%20%C3%81gua%20Monte%20do%20Trigo%20Portel%20Alentejo%20Portugal","📍 Moinho de Água Monte do Trigo Portel A")</f>
        <v>📍 Moinho de Água Monte do Trigo Portel A</v>
      </c>
    </row>
    <row r="19" spans="1:9" ht="75" customHeight="1" x14ac:dyDescent="0.35">
      <c r="A19" s="736">
        <v>16</v>
      </c>
      <c r="B19" s="737" t="s">
        <v>13161</v>
      </c>
      <c r="C19" s="737" t="s">
        <v>13142</v>
      </c>
      <c r="D19" s="737" t="s">
        <v>853</v>
      </c>
      <c r="E19" s="737" t="s">
        <v>19790</v>
      </c>
      <c r="F19" s="737" t="s">
        <v>19848</v>
      </c>
      <c r="G19" s="737" t="s">
        <v>3096</v>
      </c>
      <c r="H19" s="735" t="s">
        <v>19819</v>
      </c>
      <c r="I19" s="739" t="str">
        <f>HYPERLINK("https://www.google.com/maps/search/Moinhos%20de%20Mar%C3%A9s%20Alc%C3%A1cer%20do%20Sal%20Sado%20Portugal","📍 Moinhos de Marés Alcácer do Sal Sado")</f>
        <v>📍 Moinhos de Marés Alcácer do Sal Sado</v>
      </c>
    </row>
    <row r="20" spans="1:9" ht="75" customHeight="1" x14ac:dyDescent="0.35">
      <c r="A20" s="733">
        <v>17</v>
      </c>
      <c r="B20" s="734" t="s">
        <v>13162</v>
      </c>
      <c r="C20" s="734" t="s">
        <v>11316</v>
      </c>
      <c r="D20" s="734" t="s">
        <v>853</v>
      </c>
      <c r="E20" s="734" t="s">
        <v>19791</v>
      </c>
      <c r="F20" s="734" t="s">
        <v>7217</v>
      </c>
      <c r="G20" s="734" t="s">
        <v>3096</v>
      </c>
      <c r="H20" s="732" t="s">
        <v>19820</v>
      </c>
      <c r="I20" s="738" t="str">
        <f>HYPERLINK("https://www.google.com/maps/search/Moinho%20de%20Vento%20Aljustrel%20Alentejo%20Portugal","📍 Moinho de Vento Aljustrel Alentejo")</f>
        <v>📍 Moinho de Vento Aljustrel Alentejo</v>
      </c>
    </row>
    <row r="21" spans="1:9" ht="75" customHeight="1" x14ac:dyDescent="0.35">
      <c r="A21" s="736">
        <v>18</v>
      </c>
      <c r="B21" s="737" t="s">
        <v>13163</v>
      </c>
      <c r="C21" s="737" t="s">
        <v>13149</v>
      </c>
      <c r="D21" s="737" t="s">
        <v>853</v>
      </c>
      <c r="E21" s="737" t="s">
        <v>19792</v>
      </c>
      <c r="F21" s="737" t="s">
        <v>7217</v>
      </c>
      <c r="G21" s="737" t="s">
        <v>3096</v>
      </c>
      <c r="H21" s="735" t="s">
        <v>19821</v>
      </c>
      <c r="I21" s="739" t="str">
        <f>HYPERLINK("https://www.google.com/maps/search/Azenha%20da%20Benaciate%20Gr%C3%A2ndola%20Alentejo%20Portugal","📍 Azenha da Benaciate Grândola Alentejo")</f>
        <v>📍 Azenha da Benaciate Grândola Alentejo</v>
      </c>
    </row>
    <row r="22" spans="1:9" ht="75" customHeight="1" x14ac:dyDescent="0.35">
      <c r="A22" s="733">
        <v>19</v>
      </c>
      <c r="B22" s="734" t="s">
        <v>13164</v>
      </c>
      <c r="C22" s="734" t="s">
        <v>11316</v>
      </c>
      <c r="D22" s="734" t="s">
        <v>792</v>
      </c>
      <c r="E22" s="734" t="s">
        <v>19793</v>
      </c>
      <c r="F22" s="734" t="s">
        <v>7217</v>
      </c>
      <c r="G22" s="734" t="s">
        <v>3096</v>
      </c>
      <c r="H22" s="732" t="s">
        <v>19822</v>
      </c>
      <c r="I22" s="738" t="str">
        <f>HYPERLINK("https://www.google.com/maps/search/Moinho%20de%20Vento%20de%20Barcelos%20Portugal","📍 Moinho de Vento de Barcelos")</f>
        <v>📍 Moinho de Vento de Barcelos</v>
      </c>
    </row>
    <row r="23" spans="1:9" ht="75" customHeight="1" x14ac:dyDescent="0.35">
      <c r="A23" s="736">
        <v>20</v>
      </c>
      <c r="B23" s="737" t="s">
        <v>13165</v>
      </c>
      <c r="C23" s="737" t="s">
        <v>13149</v>
      </c>
      <c r="D23" s="737" t="s">
        <v>792</v>
      </c>
      <c r="E23" s="737" t="s">
        <v>19794</v>
      </c>
      <c r="F23" s="737" t="s">
        <v>19849</v>
      </c>
      <c r="G23" s="737" t="s">
        <v>3096</v>
      </c>
      <c r="H23" s="735" t="s">
        <v>19823</v>
      </c>
      <c r="I23" s="739" t="str">
        <f>HYPERLINK("https://www.google.com/maps/search/Moinhos%20do%20Rio%20Olo%20Parque%20Natural%20Alv%C3%A3o%20Mondim%20de%20Basto%20Portugal","📍 Moinhos do Rio Olo Parque Natural Alvã")</f>
        <v>📍 Moinhos do Rio Olo Parque Natural Alvã</v>
      </c>
    </row>
    <row r="24" spans="1:9" ht="75" customHeight="1" x14ac:dyDescent="0.35">
      <c r="A24" s="733">
        <v>21</v>
      </c>
      <c r="B24" s="734" t="s">
        <v>13166</v>
      </c>
      <c r="C24" s="734" t="s">
        <v>11316</v>
      </c>
      <c r="D24" s="734" t="s">
        <v>792</v>
      </c>
      <c r="E24" s="734" t="s">
        <v>19795</v>
      </c>
      <c r="F24" s="734" t="s">
        <v>7217</v>
      </c>
      <c r="G24" s="734" t="s">
        <v>3096</v>
      </c>
      <c r="H24" s="732" t="s">
        <v>19824</v>
      </c>
      <c r="I24" s="738" t="str">
        <f>HYPERLINK("https://www.google.com/maps/search/Moinho%20de%20Vento%20Aba%C3%A7%C3%A3o%20Guimar%C3%A3es%20Portugal","📍 Moinho de Vento Abação Guimarães")</f>
        <v>📍 Moinho de Vento Abação Guimarães</v>
      </c>
    </row>
    <row r="25" spans="1:9" ht="75" customHeight="1" x14ac:dyDescent="0.35">
      <c r="A25" s="736">
        <v>22</v>
      </c>
      <c r="B25" s="737" t="s">
        <v>13167</v>
      </c>
      <c r="C25" s="737" t="s">
        <v>13149</v>
      </c>
      <c r="D25" s="737" t="s">
        <v>792</v>
      </c>
      <c r="E25" s="737" t="s">
        <v>19796</v>
      </c>
      <c r="F25" s="737" t="s">
        <v>19850</v>
      </c>
      <c r="G25" s="737" t="s">
        <v>3096</v>
      </c>
      <c r="H25" s="735" t="s">
        <v>19825</v>
      </c>
      <c r="I25" s="739" t="str">
        <f>HYPERLINK("https://www.google.com/maps/search/Azenha%20Moinho%20Novo%20Caldas%20do%20Moledo%20Peso%20da%20R%C3%A9gua%20Portugal","📍 Azenha Moinho Novo Caldas do Moledo Pe")</f>
        <v>📍 Azenha Moinho Novo Caldas do Moledo Pe</v>
      </c>
    </row>
    <row r="26" spans="1:9" ht="75" customHeight="1" x14ac:dyDescent="0.35">
      <c r="A26" s="733">
        <v>23</v>
      </c>
      <c r="B26" s="734" t="s">
        <v>13168</v>
      </c>
      <c r="C26" s="734" t="s">
        <v>13142</v>
      </c>
      <c r="D26" s="734" t="s">
        <v>792</v>
      </c>
      <c r="E26" s="734" t="s">
        <v>19797</v>
      </c>
      <c r="F26" s="734" t="s">
        <v>19851</v>
      </c>
      <c r="G26" s="734" t="s">
        <v>3096</v>
      </c>
      <c r="H26" s="732" t="s">
        <v>19826</v>
      </c>
      <c r="I26" s="738" t="str">
        <f>HYPERLINK("https://www.google.com/maps/search/Moinho%20de%20Mar%C3%A9%20Esposende%20Foz%20do%20C%C3%A1vado%20Portugal","📍 Moinho de Maré Esposende Foz do Cávado")</f>
        <v>📍 Moinho de Maré Esposende Foz do Cávado</v>
      </c>
    </row>
    <row r="27" spans="1:9" ht="75" customHeight="1" x14ac:dyDescent="0.35">
      <c r="A27" s="736">
        <v>24</v>
      </c>
      <c r="B27" s="737" t="s">
        <v>13169</v>
      </c>
      <c r="C27" s="737" t="s">
        <v>13149</v>
      </c>
      <c r="D27" s="737" t="s">
        <v>792</v>
      </c>
      <c r="E27" s="737" t="s">
        <v>19798</v>
      </c>
      <c r="F27" s="737" t="s">
        <v>7217</v>
      </c>
      <c r="G27" s="737" t="s">
        <v>3096</v>
      </c>
      <c r="H27" s="735" t="s">
        <v>19827</v>
      </c>
      <c r="I27" s="739" t="str">
        <f>HYPERLINK("https://www.google.com/maps/search/Azenha%20da%20Portela%20Chaves%20Tr%C3%A1s-os-Montes%20Portugal","📍 Azenha da Portela Chaves Trás-os-Monte")</f>
        <v>📍 Azenha da Portela Chaves Trás-os-Monte</v>
      </c>
    </row>
    <row r="28" spans="1:9" ht="75" customHeight="1" x14ac:dyDescent="0.35">
      <c r="A28" s="733">
        <v>25</v>
      </c>
      <c r="B28" s="734" t="s">
        <v>13170</v>
      </c>
      <c r="C28" s="734" t="s">
        <v>13149</v>
      </c>
      <c r="D28" s="734" t="s">
        <v>792</v>
      </c>
      <c r="E28" s="734" t="s">
        <v>19799</v>
      </c>
      <c r="F28" s="734" t="s">
        <v>7217</v>
      </c>
      <c r="G28" s="734" t="s">
        <v>3096</v>
      </c>
      <c r="H28" s="732" t="s">
        <v>19828</v>
      </c>
      <c r="I28" s="738" t="str">
        <f>HYPERLINK("https://www.google.com/maps/search/Moinho%20do%20Espirro%20Vila%20Verde%20Braga%20Portugal","📍 Moinho do Espirro Vila Verde Braga")</f>
        <v>📍 Moinho do Espirro Vila Verde Braga</v>
      </c>
    </row>
    <row r="29" spans="1:9" ht="75" customHeight="1" x14ac:dyDescent="0.35">
      <c r="A29" s="736">
        <v>26</v>
      </c>
      <c r="B29" s="737" t="s">
        <v>13171</v>
      </c>
      <c r="C29" s="737" t="s">
        <v>11316</v>
      </c>
      <c r="D29" s="737" t="s">
        <v>522</v>
      </c>
      <c r="E29" s="737" t="s">
        <v>19800</v>
      </c>
      <c r="F29" s="737" t="s">
        <v>7217</v>
      </c>
      <c r="G29" s="737" t="s">
        <v>3096</v>
      </c>
      <c r="H29" s="735" t="s">
        <v>19829</v>
      </c>
      <c r="I29" s="739" t="str">
        <f>HYPERLINK("https://www.google.com/maps/search/Moinho%20de%20Vento%20Lagoa%20S%C3%A3o%20Miguel%20A%C3%A7ores%20Portugal","📍 Moinho de Vento Lagoa São Miguel Açore")</f>
        <v>📍 Moinho de Vento Lagoa São Miguel Açore</v>
      </c>
    </row>
    <row r="30" spans="1:9" ht="75" customHeight="1" x14ac:dyDescent="0.35">
      <c r="A30" s="733">
        <v>27</v>
      </c>
      <c r="B30" s="734" t="s">
        <v>13172</v>
      </c>
      <c r="C30" s="734" t="s">
        <v>11316</v>
      </c>
      <c r="D30" s="734" t="s">
        <v>522</v>
      </c>
      <c r="E30" s="734" t="s">
        <v>19801</v>
      </c>
      <c r="F30" s="734" t="s">
        <v>7217</v>
      </c>
      <c r="G30" s="734" t="s">
        <v>3096</v>
      </c>
      <c r="H30" s="732" t="s">
        <v>19830</v>
      </c>
      <c r="I30" s="738" t="str">
        <f>HYPERLINK("https://www.google.com/maps/search/Moinho%20de%20Vento%20Feteira%20Faial%20A%C3%A7ores%20Portugal","📍 Moinho de Vento Feteira Faial Açores")</f>
        <v>📍 Moinho de Vento Feteira Faial Açores</v>
      </c>
    </row>
    <row r="31" spans="1:9" ht="75" customHeight="1" x14ac:dyDescent="0.35">
      <c r="A31" s="736">
        <v>28</v>
      </c>
      <c r="B31" s="737" t="s">
        <v>13173</v>
      </c>
      <c r="C31" s="737" t="s">
        <v>13149</v>
      </c>
      <c r="D31" s="737" t="s">
        <v>524</v>
      </c>
      <c r="E31" s="737" t="s">
        <v>19802</v>
      </c>
      <c r="F31" s="737" t="s">
        <v>19852</v>
      </c>
      <c r="G31" s="737" t="s">
        <v>3096</v>
      </c>
      <c r="H31" s="735" t="s">
        <v>19831</v>
      </c>
      <c r="I31" s="739" t="str">
        <f>HYPERLINK("https://www.google.com/maps/search/Azenha%20Lombo%20dos%20Carros%20Santana%20Madeira%20Portugal","📍 Azenha Lombo dos Carros Santana Madeir")</f>
        <v>📍 Azenha Lombo dos Carros Santana Madeir</v>
      </c>
    </row>
    <row r="32" spans="1:9" ht="75" customHeight="1" x14ac:dyDescent="0.35">
      <c r="A32" s="733">
        <v>29</v>
      </c>
      <c r="B32" s="734" t="s">
        <v>13174</v>
      </c>
      <c r="C32" s="734" t="s">
        <v>13149</v>
      </c>
      <c r="D32" s="734" t="s">
        <v>524</v>
      </c>
      <c r="E32" s="734" t="s">
        <v>19803</v>
      </c>
      <c r="F32" s="734" t="s">
        <v>7217</v>
      </c>
      <c r="G32" s="734" t="s">
        <v>3096</v>
      </c>
      <c r="H32" s="732" t="s">
        <v>19832</v>
      </c>
      <c r="I32" s="738" t="str">
        <f>HYPERLINK("https://www.google.com/maps/search/Moinho%20de%20%C3%81gua%20Ribeira%20da%20Ponta%20Machico%20Madeira%20Portugal","📍 Moinho de Água Ribeira da Ponta Machic")</f>
        <v>📍 Moinho de Água Ribeira da Ponta Machic</v>
      </c>
    </row>
    <row r="33" spans="1:9" ht="75" customHeight="1" x14ac:dyDescent="0.35">
      <c r="A33" s="740">
        <v>30</v>
      </c>
      <c r="B33" s="737" t="s">
        <v>19853</v>
      </c>
      <c r="C33" s="737" t="s">
        <v>13142</v>
      </c>
      <c r="D33" s="737" t="s">
        <v>792</v>
      </c>
      <c r="E33" s="737" t="s">
        <v>19854</v>
      </c>
      <c r="F33" s="737" t="s">
        <v>19855</v>
      </c>
      <c r="G33" s="737" t="s">
        <v>19856</v>
      </c>
      <c r="H33" s="735" t="s">
        <v>19857</v>
      </c>
      <c r="I33" s="739" t="str">
        <f>HYPERLINK("https://www.google.com/maps/search/Azenhas%20D%20Prior%20CMIA%20Viana%20do%20Castelo%20Portugal","📍 Azenhas de D. Prior (CMIA)")</f>
        <v>📍 Azenhas de D. Prior (CMIA)</v>
      </c>
    </row>
    <row r="34" spans="1:9" ht="75" customHeight="1" x14ac:dyDescent="0.35">
      <c r="A34" s="733">
        <v>31</v>
      </c>
      <c r="B34" s="734" t="s">
        <v>19858</v>
      </c>
      <c r="C34" s="734" t="s">
        <v>11316</v>
      </c>
      <c r="D34" s="734" t="s">
        <v>792</v>
      </c>
      <c r="E34" s="734" t="s">
        <v>19859</v>
      </c>
      <c r="F34" s="734" t="s">
        <v>19860</v>
      </c>
      <c r="G34" s="734" t="s">
        <v>19861</v>
      </c>
      <c r="H34" s="732" t="s">
        <v>19862</v>
      </c>
      <c r="I34" s="738" t="str">
        <f>HYPERLINK("https://www.google.com/maps/search/Moinho%20de%20Vento%20Marinheiro%20Carre%C3%A7o%20Viana%20do%20Castelo%20Portugal","📍 Moinho de Vento de Marinheiro (Carreço")</f>
        <v>📍 Moinho de Vento de Marinheiro (Carreço</v>
      </c>
    </row>
    <row r="35" spans="1:9" ht="75" customHeight="1" x14ac:dyDescent="0.35">
      <c r="A35" s="740">
        <v>32</v>
      </c>
      <c r="B35" s="737" t="s">
        <v>19863</v>
      </c>
      <c r="C35" s="737" t="s">
        <v>13149</v>
      </c>
      <c r="D35" s="737" t="s">
        <v>792</v>
      </c>
      <c r="E35" s="737" t="s">
        <v>19864</v>
      </c>
      <c r="F35" s="737" t="s">
        <v>19865</v>
      </c>
      <c r="G35" s="737" t="s">
        <v>19861</v>
      </c>
      <c r="H35" s="735" t="s">
        <v>19866</v>
      </c>
      <c r="I35" s="739" t="str">
        <f>HYPERLINK("https://www.google.com/maps/search/Azenha%20Almerinda%20Alvar%C3%A3es%20Viana%20do%20Castelo%20Portugal","📍 Azenha d'Almerinda (Alvarães)")</f>
        <v>📍 Azenha d'Almerinda (Alvarães)</v>
      </c>
    </row>
    <row r="36" spans="1:9" ht="75" customHeight="1" x14ac:dyDescent="0.35">
      <c r="A36" s="733">
        <v>33</v>
      </c>
      <c r="B36" s="734" t="s">
        <v>19867</v>
      </c>
      <c r="C36" s="734" t="s">
        <v>13152</v>
      </c>
      <c r="D36" s="734" t="s">
        <v>792</v>
      </c>
      <c r="E36" s="734" t="s">
        <v>19868</v>
      </c>
      <c r="F36" s="734" t="s">
        <v>19869</v>
      </c>
      <c r="G36" s="734" t="s">
        <v>19870</v>
      </c>
      <c r="H36" s="732" t="s">
        <v>19871</v>
      </c>
      <c r="I36" s="738" t="str">
        <f>HYPERLINK("https://www.google.com/maps/search/Moinho%20de%20%C3%81gua%20In%C3%A1cio%20Vila%20de%20Punhe%20Viana%20do%20Castelo%20Portugal","📍 Moinho de Água do Inácio (Vila de Punh")</f>
        <v>📍 Moinho de Água do Inácio (Vila de Punh</v>
      </c>
    </row>
    <row r="37" spans="1:9" ht="75" customHeight="1" x14ac:dyDescent="0.35">
      <c r="A37" s="740">
        <v>34</v>
      </c>
      <c r="B37" s="737" t="s">
        <v>19872</v>
      </c>
      <c r="C37" s="737" t="s">
        <v>13149</v>
      </c>
      <c r="D37" s="737" t="s">
        <v>836</v>
      </c>
      <c r="E37" s="737" t="s">
        <v>19873</v>
      </c>
      <c r="F37" s="737" t="s">
        <v>19874</v>
      </c>
      <c r="G37" s="737" t="s">
        <v>19875</v>
      </c>
      <c r="H37" s="735" t="s">
        <v>19876</v>
      </c>
      <c r="I37" s="739" t="str">
        <f>HYPERLINK("https://www.google.com/maps/search/Parque%20da%20Azenha%20Moinho%20de%20Ouca%20Vagos%20Aveiro%20Portugal","📍 Parque da Azenha e Moinho de Ouca (Vag")</f>
        <v>📍 Parque da Azenha e Moinho de Ouca (Vag</v>
      </c>
    </row>
    <row r="38" spans="1:9" ht="75" customHeight="1" x14ac:dyDescent="0.35">
      <c r="A38" s="733">
        <v>35</v>
      </c>
      <c r="B38" s="734" t="s">
        <v>19877</v>
      </c>
      <c r="C38" s="734" t="s">
        <v>11316</v>
      </c>
      <c r="D38" s="734" t="s">
        <v>836</v>
      </c>
      <c r="E38" s="734" t="s">
        <v>19878</v>
      </c>
      <c r="F38" s="734" t="s">
        <v>19879</v>
      </c>
      <c r="G38" s="734" t="s">
        <v>19880</v>
      </c>
      <c r="H38" s="732" t="s">
        <v>19881</v>
      </c>
      <c r="I38" s="738" t="str">
        <f>HYPERLINK("https://www.google.com/maps/search/Moinho%20de%20Vento%20Santo%20Ant%C3%B3nio%20Vagos%20Aveiro%20Portugal","📍 Moinho de Vento de Santo António (Vago")</f>
        <v>📍 Moinho de Vento de Santo António (Vago</v>
      </c>
    </row>
    <row r="39" spans="1:9" ht="75" customHeight="1" x14ac:dyDescent="0.35">
      <c r="A39" s="740">
        <v>36</v>
      </c>
      <c r="B39" s="737" t="s">
        <v>19882</v>
      </c>
      <c r="C39" s="737" t="s">
        <v>13142</v>
      </c>
      <c r="D39" s="737" t="s">
        <v>913</v>
      </c>
      <c r="E39" s="737" t="s">
        <v>19883</v>
      </c>
      <c r="F39" s="737" t="s">
        <v>19884</v>
      </c>
      <c r="G39" s="737" t="s">
        <v>19885</v>
      </c>
      <c r="H39" s="735" t="s">
        <v>19886</v>
      </c>
      <c r="I39" s="739" t="str">
        <f>HYPERLINK("https://www.google.com/maps/search/Moinho%20de%20Mar%C3%A9%20Corroios%20Ecomuseu%20Seixal%20Portugal","📍 Moinho de Maré de Corroios (Ecomuseu S")</f>
        <v>📍 Moinho de Maré de Corroios (Ecomuseu S</v>
      </c>
    </row>
    <row r="40" spans="1:9" ht="75" customHeight="1" x14ac:dyDescent="0.35">
      <c r="A40" s="733">
        <v>37</v>
      </c>
      <c r="B40" s="734" t="s">
        <v>19887</v>
      </c>
      <c r="C40" s="734" t="s">
        <v>13142</v>
      </c>
      <c r="D40" s="734" t="s">
        <v>913</v>
      </c>
      <c r="E40" s="734" t="s">
        <v>19888</v>
      </c>
      <c r="F40" s="734" t="s">
        <v>19889</v>
      </c>
      <c r="G40" s="734" t="s">
        <v>19890</v>
      </c>
      <c r="H40" s="732" t="s">
        <v>19891</v>
      </c>
      <c r="I40" s="738" t="str">
        <f>HYPERLINK("https://www.google.com/maps/search/Moinho%20de%20Mar%C3%A9%20Poente%20Barreiro%20Margem%20Sul%20Portugal","📍 Moinho de Maré Poente do Barreiro")</f>
        <v>📍 Moinho de Maré Poente do Barreiro</v>
      </c>
    </row>
    <row r="41" spans="1:9" ht="75" customHeight="1" x14ac:dyDescent="0.35">
      <c r="A41" s="740">
        <v>38</v>
      </c>
      <c r="B41" s="737" t="s">
        <v>19892</v>
      </c>
      <c r="C41" s="737" t="s">
        <v>11316</v>
      </c>
      <c r="D41" s="737" t="s">
        <v>913</v>
      </c>
      <c r="E41" s="737" t="s">
        <v>19893</v>
      </c>
      <c r="F41" s="737" t="s">
        <v>19894</v>
      </c>
      <c r="G41" s="737" t="s">
        <v>19895</v>
      </c>
      <c r="H41" s="735" t="s">
        <v>19896</v>
      </c>
      <c r="I41" s="739" t="str">
        <f>HYPERLINK("https://www.google.com/maps/search/Moinho%20de%20Madeira%20Boisias%20Caldas%20da%20Rainha%20Portugal","📍 Moinho de Madeira das Boisias (Caldas ")</f>
        <v xml:space="preserve">📍 Moinho de Madeira das Boisias (Caldas </v>
      </c>
    </row>
    <row r="42" spans="1:9" ht="75" customHeight="1" x14ac:dyDescent="0.35">
      <c r="A42" s="733">
        <v>39</v>
      </c>
      <c r="B42" s="734" t="s">
        <v>19897</v>
      </c>
      <c r="C42" s="734" t="s">
        <v>11316</v>
      </c>
      <c r="D42" s="734" t="s">
        <v>913</v>
      </c>
      <c r="E42" s="734" t="s">
        <v>19898</v>
      </c>
      <c r="F42" s="734" t="s">
        <v>19899</v>
      </c>
      <c r="G42" s="734" t="s">
        <v>19900</v>
      </c>
      <c r="H42" s="732" t="s">
        <v>19901</v>
      </c>
      <c r="I42" s="738" t="str">
        <f>HYPERLINK("https://www.google.com/maps/search/Moinhos%20da%20Pinh%C3%B4a%20Moita%20dos%20Ferreiros%20Lourinh%C3%A3%20Portugal","📍 Moinhos da Pinhôa (Lourinhã)")</f>
        <v>📍 Moinhos da Pinhôa (Lourinhã)</v>
      </c>
    </row>
    <row r="43" spans="1:9" ht="75" customHeight="1" x14ac:dyDescent="0.35">
      <c r="A43" s="740">
        <v>40</v>
      </c>
      <c r="B43" s="737" t="s">
        <v>19902</v>
      </c>
      <c r="C43" s="737" t="s">
        <v>11316</v>
      </c>
      <c r="D43" s="737" t="s">
        <v>913</v>
      </c>
      <c r="E43" s="737" t="s">
        <v>19903</v>
      </c>
      <c r="F43" s="737" t="s">
        <v>19904</v>
      </c>
      <c r="G43" s="737" t="s">
        <v>19905</v>
      </c>
      <c r="H43" s="735" t="s">
        <v>19906</v>
      </c>
      <c r="I43" s="739" t="str">
        <f>HYPERLINK("https://www.google.com/maps/search/Moinhos%20Serra%20de%20Montejunto%20Cadaval%20Lisboa%20Portugal","📍 Moinhos da Serra de Montejunto (Cadava")</f>
        <v>📍 Moinhos da Serra de Montejunto (Cadava</v>
      </c>
    </row>
    <row r="44" spans="1:9" ht="75" customHeight="1" x14ac:dyDescent="0.35">
      <c r="A44" s="733">
        <v>41</v>
      </c>
      <c r="B44" s="734" t="s">
        <v>19907</v>
      </c>
      <c r="C44" s="734" t="s">
        <v>13152</v>
      </c>
      <c r="D44" s="734" t="s">
        <v>836</v>
      </c>
      <c r="E44" s="734" t="s">
        <v>19908</v>
      </c>
      <c r="F44" s="734" t="s">
        <v>19909</v>
      </c>
      <c r="G44" s="734" t="s">
        <v>19910</v>
      </c>
      <c r="H44" s="732" t="s">
        <v>19911</v>
      </c>
      <c r="I44" s="738" t="str">
        <f>HYPERLINK("https://www.google.com/maps/search/Moinhos%20de%20%C3%81gua%20Albergaria-a-Velha%20Aveiro%20Portugal","📍 Moinhos de Vento de Albergaria-a-Velha")</f>
        <v>📍 Moinhos de Vento de Albergaria-a-Velha</v>
      </c>
    </row>
    <row r="45" spans="1:9" ht="75" customHeight="1" x14ac:dyDescent="0.35">
      <c r="A45" s="740">
        <v>42</v>
      </c>
      <c r="B45" s="737" t="s">
        <v>19912</v>
      </c>
      <c r="C45" s="737" t="s">
        <v>13149</v>
      </c>
      <c r="D45" s="737" t="s">
        <v>836</v>
      </c>
      <c r="E45" s="737" t="s">
        <v>19913</v>
      </c>
      <c r="F45" s="737" t="s">
        <v>19914</v>
      </c>
      <c r="G45" s="737" t="s">
        <v>19875</v>
      </c>
      <c r="H45" s="735" t="s">
        <v>19915</v>
      </c>
      <c r="I45" s="739" t="str">
        <f>HYPERLINK("https://www.google.com/maps/search/Azenhas%20do%20Boco%20Vagos%20Aveiro%20Portugal","📍 Azenhas do Boco (Vagos)")</f>
        <v>📍 Azenhas do Boco (Vagos)</v>
      </c>
    </row>
    <row r="46" spans="1:9" ht="75" customHeight="1" x14ac:dyDescent="0.35">
      <c r="A46" s="733">
        <v>43</v>
      </c>
      <c r="B46" s="734" t="s">
        <v>19916</v>
      </c>
      <c r="C46" s="734" t="s">
        <v>11316</v>
      </c>
      <c r="D46" s="734" t="s">
        <v>913</v>
      </c>
      <c r="E46" s="734" t="s">
        <v>19917</v>
      </c>
      <c r="F46" s="734" t="s">
        <v>19918</v>
      </c>
      <c r="G46" s="734" t="s">
        <v>19919</v>
      </c>
      <c r="H46" s="732" t="s">
        <v>19920</v>
      </c>
      <c r="I46" s="738" t="str">
        <f>HYPERLINK("https://www.google.com/maps/search/Moinho%20de%20Vento%20Peniche%20Estrada%20%C3%93bidos%20Portugal","📍 Moinho de Vento de Peniche (Estrada Ób")</f>
        <v>📍 Moinho de Vento de Peniche (Estrada Ób</v>
      </c>
    </row>
    <row r="47" spans="1:9" ht="75" customHeight="1" x14ac:dyDescent="0.35">
      <c r="A47" s="740">
        <v>44</v>
      </c>
      <c r="B47" s="737" t="s">
        <v>19921</v>
      </c>
      <c r="C47" s="737" t="s">
        <v>11316</v>
      </c>
      <c r="D47" s="737" t="s">
        <v>913</v>
      </c>
      <c r="E47" s="737" t="s">
        <v>19922</v>
      </c>
      <c r="F47" s="737" t="s">
        <v>19923</v>
      </c>
      <c r="G47" s="737" t="s">
        <v>19924</v>
      </c>
      <c r="H47" s="735" t="s">
        <v>19925</v>
      </c>
      <c r="I47" s="739" t="str">
        <f>HYPERLINK("https://www.google.com/maps/search/Moinho%20dos%20Caixeiros%20Silveira%20Torres%20Vedras%20Portugal","📍 Moinho dos Caixeiros — Torres Vedras")</f>
        <v>📍 Moinho dos Caixeiros — Torres Vedras</v>
      </c>
    </row>
    <row r="48" spans="1:9" ht="75" customHeight="1" x14ac:dyDescent="0.35">
      <c r="A48" s="733">
        <v>45</v>
      </c>
      <c r="B48" s="734" t="s">
        <v>19926</v>
      </c>
      <c r="C48" s="734" t="s">
        <v>13152</v>
      </c>
      <c r="D48" s="734" t="s">
        <v>853</v>
      </c>
      <c r="E48" s="734" t="s">
        <v>19927</v>
      </c>
      <c r="F48" s="734" t="s">
        <v>19928</v>
      </c>
      <c r="G48" s="734" t="s">
        <v>19929</v>
      </c>
      <c r="H48" s="732" t="s">
        <v>19930</v>
      </c>
      <c r="I48" s="738" t="str">
        <f>HYPERLINK("https://www.google.com/maps/search/Moinhos%20de%20%C3%81gua%20Odemira%20Ribeira%20de%20Mira%20Alentejo%20Portugal","📍 Moinhos de Água de Odemira (Ribeira de")</f>
        <v>📍 Moinhos de Água de Odemira (Ribeira de</v>
      </c>
    </row>
    <row r="49" spans="1:9" ht="75" customHeight="1" x14ac:dyDescent="0.35">
      <c r="A49" s="740">
        <v>46</v>
      </c>
      <c r="B49" s="737" t="s">
        <v>19931</v>
      </c>
      <c r="C49" s="737" t="s">
        <v>11316</v>
      </c>
      <c r="D49" s="737" t="s">
        <v>853</v>
      </c>
      <c r="E49" s="737" t="s">
        <v>19932</v>
      </c>
      <c r="F49" s="737" t="s">
        <v>19933</v>
      </c>
      <c r="G49" s="737" t="s">
        <v>19934</v>
      </c>
      <c r="H49" s="735" t="s">
        <v>19935</v>
      </c>
      <c r="I49" s="739" t="str">
        <f>HYPERLINK("https://www.google.com/maps/search/Moinho%20de%20Vento%20Campo%20Maior%20Alto%20Alentejo%20Portugal","📍 Moinho de Vento de Campo Maior")</f>
        <v>📍 Moinho de Vento de Campo Maior</v>
      </c>
    </row>
    <row r="50" spans="1:9" ht="75" customHeight="1" x14ac:dyDescent="0.35">
      <c r="A50" s="733">
        <v>47</v>
      </c>
      <c r="B50" s="734" t="s">
        <v>19936</v>
      </c>
      <c r="C50" s="734" t="s">
        <v>11316</v>
      </c>
      <c r="D50" s="734" t="s">
        <v>767</v>
      </c>
      <c r="E50" s="734" t="s">
        <v>19937</v>
      </c>
      <c r="F50" s="734" t="s">
        <v>19938</v>
      </c>
      <c r="G50" s="734" t="s">
        <v>19939</v>
      </c>
      <c r="H50" s="732" t="s">
        <v>19940</v>
      </c>
      <c r="I50" s="738" t="str">
        <f>HYPERLINK("https://www.google.com/maps/search/Moinhos%20de%20Vento%20Alcoutim%20Barrocal%20Algarve%20Portugal","📍 Moinhos de Vento de Alcoutim")</f>
        <v>📍 Moinhos de Vento de Alcoutim</v>
      </c>
    </row>
    <row r="51" spans="1:9" ht="75" customHeight="1" x14ac:dyDescent="0.35">
      <c r="A51" s="740">
        <v>48</v>
      </c>
      <c r="B51" s="737" t="s">
        <v>19941</v>
      </c>
      <c r="C51" s="737" t="s">
        <v>11316</v>
      </c>
      <c r="D51" s="737" t="s">
        <v>767</v>
      </c>
      <c r="E51" s="737" t="s">
        <v>19942</v>
      </c>
      <c r="F51" s="737" t="s">
        <v>19943</v>
      </c>
      <c r="G51" s="737" t="s">
        <v>19944</v>
      </c>
      <c r="H51" s="735" t="s">
        <v>19945</v>
      </c>
      <c r="I51" s="739" t="str">
        <f>HYPERLINK("https://www.google.com/maps/search/Moinho%20de%20Vento%20Silves%20Algarve%20Portugal","📍 Moinho de Vento de Silves")</f>
        <v>📍 Moinho de Vento de Silves</v>
      </c>
    </row>
    <row r="52" spans="1:9" ht="75" customHeight="1" x14ac:dyDescent="0.35">
      <c r="A52" s="733">
        <v>49</v>
      </c>
      <c r="B52" s="734" t="s">
        <v>19946</v>
      </c>
      <c r="C52" s="734" t="s">
        <v>11316</v>
      </c>
      <c r="D52" s="734" t="s">
        <v>522</v>
      </c>
      <c r="E52" s="734" t="s">
        <v>19947</v>
      </c>
      <c r="F52" s="734" t="s">
        <v>19948</v>
      </c>
      <c r="G52" s="734" t="s">
        <v>19949</v>
      </c>
      <c r="H52" s="732" t="s">
        <v>19950</v>
      </c>
      <c r="I52" s="738" t="str">
        <f>HYPERLINK("https://www.google.com/maps/search/Moinho%20de%20Vento%20Lajes%20do%20Pico%20A%C3%A7ores%20Portugal","📍 Moinho de Vento das Lajes (Pico)")</f>
        <v>📍 Moinho de Vento das Lajes (Pico)</v>
      </c>
    </row>
    <row r="53" spans="1:9" ht="75" customHeight="1" x14ac:dyDescent="0.35">
      <c r="A53" s="740">
        <v>50</v>
      </c>
      <c r="B53" s="737" t="s">
        <v>19951</v>
      </c>
      <c r="C53" s="737" t="s">
        <v>13152</v>
      </c>
      <c r="D53" s="737" t="s">
        <v>524</v>
      </c>
      <c r="E53" s="737" t="s">
        <v>19952</v>
      </c>
      <c r="F53" s="737" t="s">
        <v>19953</v>
      </c>
      <c r="G53" s="737" t="s">
        <v>19954</v>
      </c>
      <c r="H53" s="735" t="s">
        <v>19955</v>
      </c>
      <c r="I53" s="739" t="str">
        <f>HYPERLINK("https://www.google.com/maps/search/Moinho%20do%20Castelejo%20C%C3%A2mara%20de%20Lobos%20Levada%20Norte%20Madeira%20Portugal","📍 Moinho do Castelejo (Câmara de Lobos)")</f>
        <v>📍 Moinho do Castelejo (Câmara de Lobos)</v>
      </c>
    </row>
    <row r="55" spans="1:9" x14ac:dyDescent="0.35">
      <c r="A55" s="1353" t="s">
        <v>19957</v>
      </c>
      <c r="B55" s="1354"/>
      <c r="C55" s="1354"/>
      <c r="D55" s="1354"/>
      <c r="E55" s="1354"/>
      <c r="F55" s="1354"/>
      <c r="G55" s="1354"/>
      <c r="H55" s="1354"/>
    </row>
  </sheetData>
  <mergeCells count="3">
    <mergeCell ref="A55:H55"/>
    <mergeCell ref="A1:I1"/>
    <mergeCell ref="A2:I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06"/>
  <sheetViews>
    <sheetView workbookViewId="0">
      <pane ySplit="3" topLeftCell="A38" activePane="bottomLeft" state="frozen"/>
      <selection pane="bottomLeft" activeCell="I82" sqref="I82"/>
    </sheetView>
  </sheetViews>
  <sheetFormatPr defaultRowHeight="14.5" x14ac:dyDescent="0.35"/>
  <cols>
    <col min="1" max="1" width="110.54296875" bestFit="1" customWidth="1"/>
    <col min="2" max="2" width="38" customWidth="1"/>
    <col min="3" max="3" width="12" customWidth="1"/>
    <col min="4" max="4" width="32" customWidth="1"/>
    <col min="5" max="6" width="18" customWidth="1"/>
    <col min="7" max="7" width="52" customWidth="1"/>
    <col min="8" max="8" width="36" customWidth="1"/>
    <col min="9" max="9" width="26" customWidth="1"/>
    <col min="10" max="10" width="32.7265625" customWidth="1"/>
  </cols>
  <sheetData>
    <row r="1" spans="1:10" ht="36" customHeight="1" x14ac:dyDescent="0.35">
      <c r="A1" s="1502" t="s">
        <v>18549</v>
      </c>
      <c r="B1" s="1502"/>
      <c r="C1" s="1502"/>
      <c r="D1" s="1502"/>
      <c r="E1" s="1502"/>
      <c r="F1" s="1502"/>
      <c r="G1" s="1502"/>
      <c r="H1" s="1502"/>
      <c r="I1" s="1502"/>
    </row>
    <row r="2" spans="1:10" ht="24" customHeight="1" x14ac:dyDescent="0.35">
      <c r="A2" s="1512" t="s">
        <v>18415</v>
      </c>
      <c r="B2" s="1513"/>
      <c r="C2" s="1513"/>
      <c r="D2" s="1513"/>
      <c r="E2" s="1513"/>
      <c r="F2" s="1513"/>
      <c r="G2" s="1513"/>
      <c r="H2" s="1513"/>
      <c r="I2" s="1513"/>
    </row>
    <row r="3" spans="1:10" ht="28" customHeight="1" x14ac:dyDescent="0.35">
      <c r="A3" s="713" t="s">
        <v>141</v>
      </c>
      <c r="B3" s="713" t="s">
        <v>10024</v>
      </c>
      <c r="C3" s="713" t="s">
        <v>619</v>
      </c>
      <c r="D3" s="713" t="s">
        <v>8176</v>
      </c>
      <c r="E3" s="713" t="s">
        <v>1768</v>
      </c>
      <c r="F3" s="713" t="s">
        <v>4370</v>
      </c>
      <c r="G3" s="713" t="s">
        <v>8</v>
      </c>
      <c r="H3" s="713" t="s">
        <v>906</v>
      </c>
      <c r="I3" s="713" t="s">
        <v>16558</v>
      </c>
      <c r="J3" s="1634" t="s">
        <v>24442</v>
      </c>
    </row>
    <row r="4" spans="1:10" ht="26" customHeight="1" x14ac:dyDescent="0.35">
      <c r="A4" s="1473" t="s">
        <v>10025</v>
      </c>
      <c r="B4" s="1474"/>
      <c r="C4" s="1474"/>
      <c r="D4" s="1474"/>
      <c r="E4" s="1474"/>
      <c r="F4" s="1474"/>
      <c r="G4" s="1474"/>
      <c r="H4" s="1474"/>
      <c r="I4" s="1474"/>
    </row>
    <row r="5" spans="1:10" ht="60" customHeight="1" x14ac:dyDescent="0.35">
      <c r="A5" s="777">
        <v>1</v>
      </c>
      <c r="B5" s="778" t="s">
        <v>10026</v>
      </c>
      <c r="C5" s="779" t="s">
        <v>792</v>
      </c>
      <c r="D5" s="780" t="s">
        <v>1552</v>
      </c>
      <c r="E5" s="780" t="s">
        <v>1791</v>
      </c>
      <c r="F5" s="780" t="s">
        <v>4539</v>
      </c>
      <c r="G5" s="781" t="s">
        <v>10027</v>
      </c>
      <c r="H5" s="782" t="s">
        <v>10028</v>
      </c>
      <c r="I5" s="752" t="str">
        <f>HYPERLINK("https://www.google.com/maps/search/Cit%C3%A2nia%20de%20Briteiros%20Estrada%20de%20Briteiros%2C%204805-438%20Salvador%20de%20Briteiros%2C%20Guimar%C3%A3es%20Portugal","📍 Citânia de Briteiros")</f>
        <v>📍 Citânia de Briteiros</v>
      </c>
      <c r="J5" s="1635" t="s">
        <v>24443</v>
      </c>
    </row>
    <row r="6" spans="1:10" ht="60" customHeight="1" x14ac:dyDescent="0.35">
      <c r="A6" s="783">
        <v>2</v>
      </c>
      <c r="B6" s="784" t="s">
        <v>10029</v>
      </c>
      <c r="C6" s="785" t="s">
        <v>792</v>
      </c>
      <c r="D6" s="786" t="s">
        <v>8011</v>
      </c>
      <c r="E6" s="786" t="s">
        <v>7276</v>
      </c>
      <c r="F6" s="786" t="s">
        <v>4539</v>
      </c>
      <c r="G6" s="787" t="s">
        <v>10030</v>
      </c>
      <c r="H6" s="788" t="s">
        <v>10031</v>
      </c>
      <c r="I6" s="753" t="str">
        <f>HYPERLINK("https://www.google.com/maps/search/Gravuras%20do%20Vale%20do%20C%C3%B4a%20Rua%20do%20Museu%2C%205150-610%20Vila%20Nova%20de%20Foz%20C%C3%B4a%20Portugal","📍 Gravuras do Vale do Côa")</f>
        <v>📍 Gravuras do Vale do Côa</v>
      </c>
      <c r="J6" s="1636" t="s">
        <v>24444</v>
      </c>
    </row>
    <row r="7" spans="1:10" ht="60" customHeight="1" x14ac:dyDescent="0.35">
      <c r="A7" s="777">
        <v>3</v>
      </c>
      <c r="B7" s="778" t="s">
        <v>10032</v>
      </c>
      <c r="C7" s="779" t="s">
        <v>792</v>
      </c>
      <c r="D7" s="780" t="s">
        <v>1363</v>
      </c>
      <c r="E7" s="780" t="s">
        <v>1908</v>
      </c>
      <c r="F7" s="780" t="s">
        <v>1712</v>
      </c>
      <c r="G7" s="781" t="s">
        <v>10033</v>
      </c>
      <c r="H7" s="782" t="s">
        <v>10034</v>
      </c>
      <c r="I7" s="752" t="str">
        <f>HYPERLINK("https://www.google.com/maps/search/Pedras%20Parideiras%20Rua%20da%20Igreja%2C%20Castanheira%2C%20Arouca%20Portugal","📍 Pedras Parideiras")</f>
        <v>📍 Pedras Parideiras</v>
      </c>
      <c r="J7" s="1635" t="s">
        <v>24445</v>
      </c>
    </row>
    <row r="8" spans="1:10" ht="60" customHeight="1" x14ac:dyDescent="0.35">
      <c r="A8" s="783">
        <v>4</v>
      </c>
      <c r="B8" s="784" t="s">
        <v>10035</v>
      </c>
      <c r="C8" s="785" t="s">
        <v>792</v>
      </c>
      <c r="D8" s="786" t="s">
        <v>1363</v>
      </c>
      <c r="E8" s="786" t="s">
        <v>1908</v>
      </c>
      <c r="F8" s="786" t="s">
        <v>10036</v>
      </c>
      <c r="G8" s="787" t="s">
        <v>10037</v>
      </c>
      <c r="H8" s="788" t="s">
        <v>10038</v>
      </c>
      <c r="I8" s="753" t="str">
        <f>HYPERLINK("https://www.google.com/maps/search/Centro%20de%20Interpreta%C3%A7%C3%A3o%20Geol%C3%B3gica%20de%20Canelas%20Rua%20do%20Museu%2C%204540-252%20Canelas%2C%20Arouca%20Portugal","📍 Centro de Interpretação Geológica de Canelas")</f>
        <v>📍 Centro de Interpretação Geológica de Canelas</v>
      </c>
      <c r="J8" s="1636" t="s">
        <v>24446</v>
      </c>
    </row>
    <row r="9" spans="1:10" ht="60" customHeight="1" x14ac:dyDescent="0.35">
      <c r="A9" s="777">
        <v>5</v>
      </c>
      <c r="B9" s="778" t="s">
        <v>10039</v>
      </c>
      <c r="C9" s="779" t="s">
        <v>792</v>
      </c>
      <c r="D9" s="780" t="s">
        <v>5578</v>
      </c>
      <c r="E9" s="780" t="s">
        <v>10040</v>
      </c>
      <c r="F9" s="780" t="s">
        <v>4539</v>
      </c>
      <c r="G9" s="781" t="s">
        <v>10041</v>
      </c>
      <c r="H9" s="782" t="s">
        <v>10042</v>
      </c>
      <c r="I9" s="752" t="str">
        <f>HYPERLINK("https://www.google.com/maps/search/Minas%20de%20Ouro%20de%20Tresminas%20Largo%20da%20Igreja%2C%20Tresminas%2C%20Vila%20Pouca%20de%20Aguiar%20Portugal","📍 Minas de Ouro de Tresminas")</f>
        <v>📍 Minas de Ouro de Tresminas</v>
      </c>
      <c r="J9" s="1635" t="s">
        <v>24447</v>
      </c>
    </row>
    <row r="10" spans="1:10" ht="60" customHeight="1" x14ac:dyDescent="0.35">
      <c r="A10" s="783">
        <v>6</v>
      </c>
      <c r="B10" s="784" t="s">
        <v>10043</v>
      </c>
      <c r="C10" s="785" t="s">
        <v>792</v>
      </c>
      <c r="D10" s="786" t="s">
        <v>3082</v>
      </c>
      <c r="E10" s="786" t="s">
        <v>6251</v>
      </c>
      <c r="F10" s="786" t="s">
        <v>1712</v>
      </c>
      <c r="G10" s="787" t="s">
        <v>10044</v>
      </c>
      <c r="H10" s="788" t="s">
        <v>10045</v>
      </c>
      <c r="I10" s="753" t="str">
        <f>HYPERLINK("https://www.google.com/maps/search/Parque%20Paleoz%C3%B3ico%20de%20Valongo%20Rua%20de%20S.%20Vicente%2C%204440-664%20Valongo%20Portugal","📍 Parque Paleozóico de Valongo")</f>
        <v>📍 Parque Paleozóico de Valongo</v>
      </c>
      <c r="J10" s="1636" t="s">
        <v>24448</v>
      </c>
    </row>
    <row r="11" spans="1:10" ht="60" customHeight="1" x14ac:dyDescent="0.35">
      <c r="A11" s="777">
        <v>7</v>
      </c>
      <c r="B11" s="778" t="s">
        <v>10046</v>
      </c>
      <c r="C11" s="779" t="s">
        <v>792</v>
      </c>
      <c r="D11" s="780" t="s">
        <v>3082</v>
      </c>
      <c r="E11" s="780" t="s">
        <v>1928</v>
      </c>
      <c r="F11" s="780" t="s">
        <v>4539</v>
      </c>
      <c r="G11" s="781" t="s">
        <v>10047</v>
      </c>
      <c r="H11" s="782" t="s">
        <v>10048</v>
      </c>
      <c r="I11" s="752" t="str">
        <f>HYPERLINK("https://www.google.com/maps/search/Tongobriga%20Rua%20de%20Tongobriga%2C%20Freixo%2C%20Marco%20de%20Canaveses%20Portugal","📍 Tongobriga")</f>
        <v>📍 Tongobriga</v>
      </c>
      <c r="J11" s="1635" t="s">
        <v>24449</v>
      </c>
    </row>
    <row r="12" spans="1:10" ht="60" customHeight="1" x14ac:dyDescent="0.35">
      <c r="A12" s="783">
        <v>8</v>
      </c>
      <c r="B12" s="784" t="s">
        <v>10049</v>
      </c>
      <c r="C12" s="785" t="s">
        <v>792</v>
      </c>
      <c r="D12" s="786" t="s">
        <v>3082</v>
      </c>
      <c r="E12" s="786" t="s">
        <v>4641</v>
      </c>
      <c r="F12" s="786" t="s">
        <v>4539</v>
      </c>
      <c r="G12" s="787" t="s">
        <v>10050</v>
      </c>
      <c r="H12" s="788" t="s">
        <v>10051</v>
      </c>
      <c r="I12" s="753" t="str">
        <f>HYPERLINK("https://www.google.com/maps/search/Cividade%20de%20Terroso%20Freguesia%20de%20Terroso%2C%20P%C3%B3voa%20de%20Varzim%20Portugal","📍 Cividade de Terroso")</f>
        <v>📍 Cividade de Terroso</v>
      </c>
      <c r="J12" s="1636" t="s">
        <v>24450</v>
      </c>
    </row>
    <row r="13" spans="1:10" ht="60" customHeight="1" x14ac:dyDescent="0.35">
      <c r="A13" s="777">
        <v>9</v>
      </c>
      <c r="B13" s="778" t="s">
        <v>10052</v>
      </c>
      <c r="C13" s="779" t="s">
        <v>792</v>
      </c>
      <c r="D13" s="780" t="s">
        <v>5497</v>
      </c>
      <c r="E13" s="780" t="s">
        <v>8478</v>
      </c>
      <c r="F13" s="780" t="s">
        <v>1712</v>
      </c>
      <c r="G13" s="781" t="s">
        <v>10053</v>
      </c>
      <c r="H13" s="782" t="s">
        <v>10054</v>
      </c>
      <c r="I13" s="752" t="str">
        <f>HYPERLINK("https://www.google.com/maps/search/Livraria%20do%20Mondego%20Estrada%20Nacional%202%2C%20Penacova%20Portugal","📍 Livraria do Mondego")</f>
        <v>📍 Livraria do Mondego</v>
      </c>
      <c r="J13" s="1635" t="s">
        <v>24451</v>
      </c>
    </row>
    <row r="14" spans="1:10" ht="60" customHeight="1" x14ac:dyDescent="0.35">
      <c r="A14" s="783">
        <v>10</v>
      </c>
      <c r="B14" s="784" t="s">
        <v>10055</v>
      </c>
      <c r="C14" s="785" t="s">
        <v>792</v>
      </c>
      <c r="D14" s="786" t="s">
        <v>1363</v>
      </c>
      <c r="E14" s="786" t="s">
        <v>1908</v>
      </c>
      <c r="F14" s="786" t="s">
        <v>1712</v>
      </c>
      <c r="G14" s="787" t="s">
        <v>10056</v>
      </c>
      <c r="H14" s="788" t="s">
        <v>10057</v>
      </c>
      <c r="I14" s="753" t="str">
        <f>HYPERLINK("https://www.google.com/maps/search/Frecha%20da%20Mizarela%20Albergaria%20da%20Serra%2C%20Arouca%20Portugal","📍 Frecha da Mizarela")</f>
        <v>📍 Frecha da Mizarela</v>
      </c>
      <c r="J14" s="1636" t="s">
        <v>24452</v>
      </c>
    </row>
    <row r="15" spans="1:10" ht="60" customHeight="1" x14ac:dyDescent="0.35">
      <c r="A15" s="777">
        <v>11</v>
      </c>
      <c r="B15" s="778" t="s">
        <v>4435</v>
      </c>
      <c r="C15" s="779" t="s">
        <v>792</v>
      </c>
      <c r="D15" s="780" t="s">
        <v>1784</v>
      </c>
      <c r="E15" s="780" t="s">
        <v>1784</v>
      </c>
      <c r="F15" s="780" t="s">
        <v>4539</v>
      </c>
      <c r="G15" s="781" t="s">
        <v>10058</v>
      </c>
      <c r="H15" s="782" t="s">
        <v>10059</v>
      </c>
      <c r="I15" s="752" t="str">
        <f>HYPERLINK("https://www.google.com/maps/search/Museu%20do%20Abade%20de%20Ba%C3%A7al%20Rua%20Abade%20de%20Ba%C3%A7al%2C%205300-054%20Bragan%C3%A7a%20Portugal","📍 Museu do Abade de Baçal")</f>
        <v>📍 Museu do Abade de Baçal</v>
      </c>
      <c r="J15" s="1635" t="s">
        <v>24453</v>
      </c>
    </row>
    <row r="16" spans="1:10" ht="60" customHeight="1" x14ac:dyDescent="0.35">
      <c r="A16" s="783">
        <v>12</v>
      </c>
      <c r="B16" s="784" t="s">
        <v>10060</v>
      </c>
      <c r="C16" s="785" t="s">
        <v>792</v>
      </c>
      <c r="D16" s="786" t="s">
        <v>5578</v>
      </c>
      <c r="E16" s="786" t="s">
        <v>5578</v>
      </c>
      <c r="F16" s="786" t="s">
        <v>4539</v>
      </c>
      <c r="G16" s="787" t="s">
        <v>10061</v>
      </c>
      <c r="H16" s="788" t="s">
        <v>10062</v>
      </c>
      <c r="I16" s="753" t="str">
        <f>HYPERLINK("https://www.google.com/maps/search/Santu%C3%A1rio%20de%20Pan%C3%B3ias%20Vale%20de%20Nogueiras%2C%20Vila%20Real%20Portugal","📍 Santuário de Panóias")</f>
        <v>📍 Santuário de Panóias</v>
      </c>
      <c r="J16" s="1636" t="s">
        <v>24454</v>
      </c>
    </row>
    <row r="17" spans="1:10" ht="60" customHeight="1" x14ac:dyDescent="0.35">
      <c r="A17" s="777">
        <v>13</v>
      </c>
      <c r="B17" s="778" t="s">
        <v>10063</v>
      </c>
      <c r="C17" s="779" t="s">
        <v>792</v>
      </c>
      <c r="D17" s="780" t="s">
        <v>5578</v>
      </c>
      <c r="E17" s="780" t="s">
        <v>1976</v>
      </c>
      <c r="F17" s="780" t="s">
        <v>1712</v>
      </c>
      <c r="G17" s="781" t="s">
        <v>10064</v>
      </c>
      <c r="H17" s="782" t="s">
        <v>10065</v>
      </c>
      <c r="I17" s="752" t="str">
        <f>HYPERLINK("https://www.google.com/maps/search/Minas%20da%20Borralha%20Rua%20da%20Borralha%2C%20Salto%2C%20Montalegre%20Portugal","📍 Minas da Borralha")</f>
        <v>📍 Minas da Borralha</v>
      </c>
      <c r="J17" s="1635" t="s">
        <v>24455</v>
      </c>
    </row>
    <row r="18" spans="1:10" ht="26" customHeight="1" x14ac:dyDescent="0.45">
      <c r="A18" s="1583" t="s">
        <v>9681</v>
      </c>
      <c r="B18" s="1584"/>
      <c r="C18" s="1585"/>
      <c r="D18" s="1585"/>
      <c r="E18" s="1585"/>
      <c r="F18" s="1585"/>
      <c r="G18" s="1586"/>
      <c r="H18" s="1586"/>
      <c r="I18" s="1587"/>
    </row>
    <row r="19" spans="1:10" ht="60" customHeight="1" x14ac:dyDescent="0.35">
      <c r="A19" s="789">
        <v>1</v>
      </c>
      <c r="B19" s="790" t="s">
        <v>10066</v>
      </c>
      <c r="C19" s="791" t="s">
        <v>836</v>
      </c>
      <c r="D19" s="792" t="s">
        <v>5497</v>
      </c>
      <c r="E19" s="792" t="s">
        <v>6110</v>
      </c>
      <c r="F19" s="792" t="s">
        <v>4539</v>
      </c>
      <c r="G19" s="793" t="s">
        <v>10067</v>
      </c>
      <c r="H19" s="794" t="s">
        <v>10068</v>
      </c>
      <c r="I19" s="754" t="str">
        <f>HYPERLINK("https://www.google.com/maps/search/Con%C3%ADmbriga%20Rua%20de%20Con%C3%ADmbriga%2C%203150-220%20Condeixa-a-Velha%20Portugal","📍 Conímbriga")</f>
        <v>📍 Conímbriga</v>
      </c>
      <c r="J19" s="1636" t="s">
        <v>24443</v>
      </c>
    </row>
    <row r="20" spans="1:10" ht="60" customHeight="1" x14ac:dyDescent="0.35">
      <c r="A20" s="795">
        <v>2</v>
      </c>
      <c r="B20" s="796" t="s">
        <v>10069</v>
      </c>
      <c r="C20" s="797" t="s">
        <v>836</v>
      </c>
      <c r="D20" s="798" t="s">
        <v>5501</v>
      </c>
      <c r="E20" s="798" t="s">
        <v>2068</v>
      </c>
      <c r="F20" s="798" t="s">
        <v>10036</v>
      </c>
      <c r="G20" s="799" t="s">
        <v>10070</v>
      </c>
      <c r="H20" s="800" t="s">
        <v>10071</v>
      </c>
      <c r="I20" s="755" t="str">
        <f>HYPERLINK("https://www.google.com/maps/search/Pegadas%20de%20Dinoss%C3%A1urios%20de%20Our%C3%A9m%20Estrada%20das%20Lagostas%2C%20Bairro%2C%20Our%C3%A9m%20Portugal","📍 Pegadas de Dinossáurios de Ourém")</f>
        <v>📍 Pegadas de Dinossáurios de Ourém</v>
      </c>
      <c r="J20" s="1635" t="s">
        <v>24444</v>
      </c>
    </row>
    <row r="21" spans="1:10" ht="60" customHeight="1" x14ac:dyDescent="0.35">
      <c r="A21" s="789">
        <v>3</v>
      </c>
      <c r="B21" s="790" t="s">
        <v>6591</v>
      </c>
      <c r="C21" s="791" t="s">
        <v>836</v>
      </c>
      <c r="D21" s="792" t="s">
        <v>913</v>
      </c>
      <c r="E21" s="792" t="s">
        <v>10072</v>
      </c>
      <c r="F21" s="792" t="s">
        <v>10036</v>
      </c>
      <c r="G21" s="793" t="s">
        <v>10073</v>
      </c>
      <c r="H21" s="794" t="s">
        <v>10074</v>
      </c>
      <c r="I21" s="754" t="str">
        <f>HYPERLINK("https://www.google.com/maps/search/Dino%20Parque%20Lourinh%C3%A3%20Rua%20Vale%20dos%20Dinossauros%2025%2C%20Lourinh%C3%A3%20Portugal","📍 Dino Parque Lourinhã")</f>
        <v>📍 Dino Parque Lourinhã</v>
      </c>
      <c r="J21" s="1636" t="s">
        <v>24445</v>
      </c>
    </row>
    <row r="22" spans="1:10" ht="60" customHeight="1" x14ac:dyDescent="0.35">
      <c r="A22" s="795">
        <v>4</v>
      </c>
      <c r="B22" s="796" t="s">
        <v>6484</v>
      </c>
      <c r="C22" s="797" t="s">
        <v>836</v>
      </c>
      <c r="D22" s="798" t="s">
        <v>7725</v>
      </c>
      <c r="E22" s="798" t="s">
        <v>5935</v>
      </c>
      <c r="F22" s="798" t="s">
        <v>1712</v>
      </c>
      <c r="G22" s="799" t="s">
        <v>10075</v>
      </c>
      <c r="H22" s="800" t="s">
        <v>10076</v>
      </c>
      <c r="I22" s="755" t="str">
        <f>HYPERLINK("https://www.google.com/maps/search/Grutas%20de%20Mira%20de%20Aire%20Av.%20Dr.%20Luciano%20Justo%20Ramos%20470%2C%20Mira%20de%20Aire%20Portugal","📍 Grutas de Mira de Aire")</f>
        <v>📍 Grutas de Mira de Aire</v>
      </c>
      <c r="J22" s="1635" t="s">
        <v>24446</v>
      </c>
    </row>
    <row r="23" spans="1:10" ht="60" customHeight="1" x14ac:dyDescent="0.35">
      <c r="A23" s="789">
        <v>5</v>
      </c>
      <c r="B23" s="790" t="s">
        <v>5712</v>
      </c>
      <c r="C23" s="791" t="s">
        <v>836</v>
      </c>
      <c r="D23" s="792" t="s">
        <v>1713</v>
      </c>
      <c r="E23" s="792" t="s">
        <v>5713</v>
      </c>
      <c r="F23" s="792" t="s">
        <v>1712</v>
      </c>
      <c r="G23" s="793" t="s">
        <v>10077</v>
      </c>
      <c r="H23" s="794" t="s">
        <v>10078</v>
      </c>
      <c r="I23" s="754" t="str">
        <f>HYPERLINK("https://www.google.com/maps/search/Portas%20de%20R%C3%B3d%C3%A3o%20Rua%20de%20S.%20Gens%2C%20Vila%20Velha%20de%20R%C3%B3d%C3%A3o%20Portugal","📍 Portas de Ródão")</f>
        <v>📍 Portas de Ródão</v>
      </c>
      <c r="J23" s="1636" t="s">
        <v>24447</v>
      </c>
    </row>
    <row r="24" spans="1:10" ht="60" customHeight="1" x14ac:dyDescent="0.35">
      <c r="A24" s="795">
        <v>6</v>
      </c>
      <c r="B24" s="796" t="s">
        <v>10079</v>
      </c>
      <c r="C24" s="797" t="s">
        <v>836</v>
      </c>
      <c r="D24" s="798" t="s">
        <v>5497</v>
      </c>
      <c r="E24" s="798" t="s">
        <v>2054</v>
      </c>
      <c r="F24" s="798" t="s">
        <v>4539</v>
      </c>
      <c r="G24" s="799" t="s">
        <v>10080</v>
      </c>
      <c r="H24" s="800" t="s">
        <v>10081</v>
      </c>
      <c r="I24" s="755" t="str">
        <f>HYPERLINK("https://www.google.com/maps/search/Bobadela%20Romana%20Largo%20do%20Anfiteatro%2C%20Bobadela%2C%20Oliveira%20do%20Hospital%20Portugal","📍 Bobadela Romana")</f>
        <v>📍 Bobadela Romana</v>
      </c>
      <c r="J24" s="1635" t="s">
        <v>24448</v>
      </c>
    </row>
    <row r="25" spans="1:10" ht="60" customHeight="1" x14ac:dyDescent="0.35">
      <c r="A25" s="789">
        <v>7</v>
      </c>
      <c r="B25" s="790" t="s">
        <v>10082</v>
      </c>
      <c r="C25" s="791" t="s">
        <v>836</v>
      </c>
      <c r="D25" s="792" t="s">
        <v>1713</v>
      </c>
      <c r="E25" s="792" t="s">
        <v>5922</v>
      </c>
      <c r="F25" s="792" t="s">
        <v>4539</v>
      </c>
      <c r="G25" s="793" t="s">
        <v>10083</v>
      </c>
      <c r="H25" s="794" t="s">
        <v>10084</v>
      </c>
      <c r="I25" s="754" t="str">
        <f>HYPERLINK("https://www.google.com/maps/search/Ru%C3%ADnas%20de%20Centum%20Cellas%20Colmeal%20da%20Torre%2C%20Belmonte%20Portugal","📍 Ruínas de Centum Cellas")</f>
        <v>📍 Ruínas de Centum Cellas</v>
      </c>
      <c r="J25" s="1636" t="s">
        <v>24449</v>
      </c>
    </row>
    <row r="26" spans="1:10" ht="60" customHeight="1" x14ac:dyDescent="0.35">
      <c r="A26" s="795">
        <v>8</v>
      </c>
      <c r="B26" s="796" t="s">
        <v>10085</v>
      </c>
      <c r="C26" s="797" t="s">
        <v>836</v>
      </c>
      <c r="D26" s="798" t="s">
        <v>1713</v>
      </c>
      <c r="E26" s="798" t="s">
        <v>933</v>
      </c>
      <c r="F26" s="798" t="s">
        <v>4539</v>
      </c>
      <c r="G26" s="799" t="s">
        <v>10086</v>
      </c>
      <c r="H26" s="800" t="s">
        <v>10087</v>
      </c>
      <c r="I26" s="755" t="str">
        <f>HYPERLINK("https://www.google.com/maps/search/Idanha-a-Velha%20Rua%20da%20S%C3%A9%2C%20Idanha-a-Velha%20Portugal","📍 Idanha-a-Velha")</f>
        <v>📍 Idanha-a-Velha</v>
      </c>
      <c r="J26" s="1635" t="s">
        <v>24450</v>
      </c>
    </row>
    <row r="27" spans="1:10" ht="60" customHeight="1" x14ac:dyDescent="0.35">
      <c r="A27" s="789">
        <v>9</v>
      </c>
      <c r="B27" s="790" t="s">
        <v>6522</v>
      </c>
      <c r="C27" s="791" t="s">
        <v>836</v>
      </c>
      <c r="D27" s="792" t="s">
        <v>7725</v>
      </c>
      <c r="E27" s="792" t="s">
        <v>10088</v>
      </c>
      <c r="F27" s="792" t="s">
        <v>1712</v>
      </c>
      <c r="G27" s="793" t="s">
        <v>10089</v>
      </c>
      <c r="H27" s="794" t="s">
        <v>10090</v>
      </c>
      <c r="I27" s="754" t="str">
        <f>HYPERLINK("https://www.google.com/maps/search/Grutas%20da%20Moeda%20Largo%20das%20Grutas%20da%20Moeda%2C%20F%C3%A1tima%20Portugal","📍 Grutas da Moeda")</f>
        <v>📍 Grutas da Moeda</v>
      </c>
      <c r="J27" s="1636" t="s">
        <v>24451</v>
      </c>
    </row>
    <row r="28" spans="1:10" ht="60" customHeight="1" x14ac:dyDescent="0.35">
      <c r="A28" s="795">
        <v>10</v>
      </c>
      <c r="B28" s="796" t="s">
        <v>10091</v>
      </c>
      <c r="C28" s="797" t="s">
        <v>836</v>
      </c>
      <c r="D28" s="798" t="s">
        <v>5497</v>
      </c>
      <c r="E28" s="798" t="s">
        <v>7331</v>
      </c>
      <c r="F28" s="798" t="s">
        <v>1712</v>
      </c>
      <c r="G28" s="799" t="s">
        <v>10092</v>
      </c>
      <c r="H28" s="800" t="s">
        <v>10093</v>
      </c>
      <c r="I28" s="755" t="str">
        <f>HYPERLINK("https://www.google.com/maps/search/Cabo%20Mondego%20GSSP%20Murtinheira%2C%20Figueira%20da%20Foz%20Portugal","📍 Cabo Mondego GSSP")</f>
        <v>📍 Cabo Mondego GSSP</v>
      </c>
      <c r="J28" s="1635" t="s">
        <v>24452</v>
      </c>
    </row>
    <row r="29" spans="1:10" ht="26" customHeight="1" x14ac:dyDescent="0.45">
      <c r="A29" s="1431" t="s">
        <v>10094</v>
      </c>
      <c r="B29" s="1517"/>
      <c r="C29" s="1518"/>
      <c r="D29" s="1518"/>
      <c r="E29" s="1518"/>
      <c r="F29" s="1518"/>
      <c r="G29" s="1519"/>
      <c r="H29" s="1519"/>
      <c r="I29" s="1590"/>
    </row>
    <row r="30" spans="1:10" ht="60" customHeight="1" x14ac:dyDescent="0.35">
      <c r="A30" s="801">
        <v>1</v>
      </c>
      <c r="B30" s="802" t="s">
        <v>10095</v>
      </c>
      <c r="C30" s="803" t="s">
        <v>913</v>
      </c>
      <c r="D30" s="804" t="s">
        <v>913</v>
      </c>
      <c r="E30" s="804" t="s">
        <v>913</v>
      </c>
      <c r="F30" s="804" t="s">
        <v>4539</v>
      </c>
      <c r="G30" s="805" t="s">
        <v>10096</v>
      </c>
      <c r="H30" s="806" t="s">
        <v>10097</v>
      </c>
      <c r="I30" s="756" t="str">
        <f>HYPERLINK("https://www.google.com/maps/search/Teatro%20Romano%20de%20Lisboa%20Rua%20de%20S%C3%A3o%20Mamede%203A%2C%20Lisboa%20Portugal","📍 Teatro Romano de Lisboa")</f>
        <v>📍 Teatro Romano de Lisboa</v>
      </c>
      <c r="J30" s="1636" t="s">
        <v>24443</v>
      </c>
    </row>
    <row r="31" spans="1:10" ht="60" customHeight="1" x14ac:dyDescent="0.35">
      <c r="A31" s="807">
        <v>2</v>
      </c>
      <c r="B31" s="808" t="s">
        <v>10098</v>
      </c>
      <c r="C31" s="809" t="s">
        <v>913</v>
      </c>
      <c r="D31" s="810" t="s">
        <v>913</v>
      </c>
      <c r="E31" s="810" t="s">
        <v>2567</v>
      </c>
      <c r="F31" s="810" t="s">
        <v>10036</v>
      </c>
      <c r="G31" s="811" t="s">
        <v>10099</v>
      </c>
      <c r="H31" s="812" t="s">
        <v>10100</v>
      </c>
      <c r="I31" s="757" t="str">
        <f>HYPERLINK("https://www.google.com/maps/search/Monumento%20Natural%20de%20Carenque%20Estrada%20de%20Carenque%2C%20Belas%2C%20Sintra%20Portugal","📍 Monumento Natural de Carenque")</f>
        <v>📍 Monumento Natural de Carenque</v>
      </c>
      <c r="J31" s="1635" t="s">
        <v>24444</v>
      </c>
    </row>
    <row r="32" spans="1:10" ht="60" customHeight="1" x14ac:dyDescent="0.35">
      <c r="A32" s="801">
        <v>3</v>
      </c>
      <c r="B32" s="802" t="s">
        <v>10101</v>
      </c>
      <c r="C32" s="803" t="s">
        <v>913</v>
      </c>
      <c r="D32" s="804" t="s">
        <v>913</v>
      </c>
      <c r="E32" s="804" t="s">
        <v>913</v>
      </c>
      <c r="F32" s="804" t="s">
        <v>1712</v>
      </c>
      <c r="G32" s="805" t="s">
        <v>10102</v>
      </c>
      <c r="H32" s="806" t="s">
        <v>10103</v>
      </c>
      <c r="I32" s="756" t="str">
        <f>HYPERLINK("https://www.google.com/maps/search/Museu%20Geol%C3%B3gico%20de%20Lisboa%20R.%20da%20Academia%20das%20Ci%C3%AAncias%2019%2C%20Lisboa%20Portugal","📍 Museu Geológico de Lisboa")</f>
        <v>📍 Museu Geológico de Lisboa</v>
      </c>
      <c r="J32" s="1636" t="s">
        <v>24445</v>
      </c>
    </row>
    <row r="33" spans="1:10" ht="60" customHeight="1" x14ac:dyDescent="0.35">
      <c r="A33" s="807">
        <v>4</v>
      </c>
      <c r="B33" s="808" t="s">
        <v>10104</v>
      </c>
      <c r="C33" s="809" t="s">
        <v>913</v>
      </c>
      <c r="D33" s="810" t="s">
        <v>1347</v>
      </c>
      <c r="E33" s="810" t="s">
        <v>5947</v>
      </c>
      <c r="F33" s="810" t="s">
        <v>10036</v>
      </c>
      <c r="G33" s="811" t="s">
        <v>10105</v>
      </c>
      <c r="H33" s="812" t="s">
        <v>10106</v>
      </c>
      <c r="I33" s="757" t="str">
        <f>HYPERLINK("https://www.google.com/maps/search/Jazida%20de%20Lagosteiros%20Cabo%20Espichel%2C%20Sesimbra%20Portugal","📍 Jazida de Lagosteiros")</f>
        <v>📍 Jazida de Lagosteiros</v>
      </c>
      <c r="J33" s="1635" t="s">
        <v>24446</v>
      </c>
    </row>
    <row r="34" spans="1:10" ht="60" customHeight="1" x14ac:dyDescent="0.35">
      <c r="A34" s="801">
        <v>5</v>
      </c>
      <c r="B34" s="802" t="s">
        <v>10107</v>
      </c>
      <c r="C34" s="803" t="s">
        <v>913</v>
      </c>
      <c r="D34" s="804" t="s">
        <v>913</v>
      </c>
      <c r="E34" s="804" t="s">
        <v>913</v>
      </c>
      <c r="F34" s="804" t="s">
        <v>4539</v>
      </c>
      <c r="G34" s="805" t="s">
        <v>10108</v>
      </c>
      <c r="H34" s="806" t="s">
        <v>10109</v>
      </c>
      <c r="I34" s="756" t="str">
        <f>HYPERLINK("https://www.google.com/maps/search/N%C3%BAcleo%20Arqueol%C3%B3gico%20da%20Rua%20dos%20Correeiros%20Rua%20dos%20Correeiros%209%2C%20Lisboa%20Portugal","📍 Núcleo Arqueológico da Rua dos Correeiros")</f>
        <v>📍 Núcleo Arqueológico da Rua dos Correeiros</v>
      </c>
      <c r="J34" s="1636" t="s">
        <v>24447</v>
      </c>
    </row>
    <row r="35" spans="1:10" ht="26" customHeight="1" x14ac:dyDescent="0.45">
      <c r="A35" s="1449" t="s">
        <v>10110</v>
      </c>
      <c r="B35" s="1507"/>
      <c r="C35" s="1508"/>
      <c r="D35" s="1508"/>
      <c r="E35" s="1508"/>
      <c r="F35" s="1508"/>
      <c r="G35" s="1509"/>
      <c r="H35" s="1509"/>
      <c r="I35" s="1589"/>
    </row>
    <row r="36" spans="1:10" ht="60" customHeight="1" x14ac:dyDescent="0.35">
      <c r="A36" s="813">
        <v>1</v>
      </c>
      <c r="B36" s="814" t="s">
        <v>6863</v>
      </c>
      <c r="C36" s="815" t="s">
        <v>853</v>
      </c>
      <c r="D36" s="816" t="s">
        <v>1412</v>
      </c>
      <c r="E36" s="816" t="s">
        <v>1412</v>
      </c>
      <c r="F36" s="816" t="s">
        <v>4539</v>
      </c>
      <c r="G36" s="817" t="s">
        <v>10111</v>
      </c>
      <c r="H36" s="818" t="s">
        <v>10112</v>
      </c>
      <c r="I36" s="758" t="str">
        <f>HYPERLINK("https://www.google.com/maps/search/Cromeleque%20dos%20Almendres%20Nossa%20Senhora%20de%20Guadalupe%2C%20%C3%89vora%20Portugal","📍 Cromeleque dos Almendres")</f>
        <v>📍 Cromeleque dos Almendres</v>
      </c>
      <c r="J36" s="1635" t="s">
        <v>24443</v>
      </c>
    </row>
    <row r="37" spans="1:10" ht="60" customHeight="1" x14ac:dyDescent="0.35">
      <c r="A37" s="819">
        <v>2</v>
      </c>
      <c r="B37" s="820" t="s">
        <v>10113</v>
      </c>
      <c r="C37" s="821" t="s">
        <v>853</v>
      </c>
      <c r="D37" s="822" t="s">
        <v>2538</v>
      </c>
      <c r="E37" s="822" t="s">
        <v>2528</v>
      </c>
      <c r="F37" s="822" t="s">
        <v>4539</v>
      </c>
      <c r="G37" s="823" t="s">
        <v>10114</v>
      </c>
      <c r="H37" s="824" t="s">
        <v>10115</v>
      </c>
      <c r="I37" s="759" t="str">
        <f>HYPERLINK("https://www.google.com/maps/search/Cidade%20Romana%20de%20Ammaia%20Quinta%20da%20Ammaia%2C%20Marv%C3%A3o%20Portugal","📍 Cidade Romana de Ammaia")</f>
        <v>📍 Cidade Romana de Ammaia</v>
      </c>
      <c r="J37" s="1636" t="s">
        <v>24444</v>
      </c>
    </row>
    <row r="38" spans="1:10" ht="60" customHeight="1" x14ac:dyDescent="0.35">
      <c r="A38" s="813">
        <v>3</v>
      </c>
      <c r="B38" s="814" t="s">
        <v>10116</v>
      </c>
      <c r="C38" s="815" t="s">
        <v>853</v>
      </c>
      <c r="D38" s="816" t="s">
        <v>1412</v>
      </c>
      <c r="E38" s="816" t="s">
        <v>7955</v>
      </c>
      <c r="F38" s="816" t="s">
        <v>4539</v>
      </c>
      <c r="G38" s="817" t="s">
        <v>10117</v>
      </c>
      <c r="H38" s="818" t="s">
        <v>10118</v>
      </c>
      <c r="I38" s="758" t="str">
        <f>HYPERLINK("https://www.google.com/maps/search/Gruta%20do%20Escoural%20Herdade%20da%20Sala%2C%20Santiago%20do%20Escoural%20Portugal","📍 Gruta do Escoural")</f>
        <v>📍 Gruta do Escoural</v>
      </c>
      <c r="J38" s="1635" t="s">
        <v>24445</v>
      </c>
    </row>
    <row r="39" spans="1:10" ht="60" customHeight="1" x14ac:dyDescent="0.35">
      <c r="A39" s="819">
        <v>4</v>
      </c>
      <c r="B39" s="820" t="s">
        <v>10119</v>
      </c>
      <c r="C39" s="821" t="s">
        <v>853</v>
      </c>
      <c r="D39" s="822" t="s">
        <v>1412</v>
      </c>
      <c r="E39" s="822" t="s">
        <v>1412</v>
      </c>
      <c r="F39" s="822" t="s">
        <v>4539</v>
      </c>
      <c r="G39" s="823" t="s">
        <v>10120</v>
      </c>
      <c r="H39" s="824" t="s">
        <v>10121</v>
      </c>
      <c r="I39" s="759" t="str">
        <f>HYPERLINK("https://www.google.com/maps/search/Anta%20Grande%20do%20Zambujeiro%20Valverde%2C%20%C3%89vora%20Portugal","📍 Anta Grande do Zambujeiro")</f>
        <v>📍 Anta Grande do Zambujeiro</v>
      </c>
      <c r="J39" s="1636" t="s">
        <v>24446</v>
      </c>
    </row>
    <row r="40" spans="1:10" ht="60" customHeight="1" x14ac:dyDescent="0.35">
      <c r="A40" s="813">
        <v>5</v>
      </c>
      <c r="B40" s="814" t="s">
        <v>10122</v>
      </c>
      <c r="C40" s="815" t="s">
        <v>853</v>
      </c>
      <c r="D40" s="816" t="s">
        <v>1233</v>
      </c>
      <c r="E40" s="816" t="s">
        <v>6081</v>
      </c>
      <c r="F40" s="816" t="s">
        <v>1712</v>
      </c>
      <c r="G40" s="817" t="s">
        <v>10123</v>
      </c>
      <c r="H40" s="818" t="s">
        <v>10124</v>
      </c>
      <c r="I40" s="758" t="str">
        <f>HYPERLINK("https://www.google.com/maps/search/Pulo%20do%20Lobo%20Parque%20Natural%20do%20Vale%20do%20Guadiana%2C%20M%C3%A9rtola%20Portugal","📍 Pulo do Lobo")</f>
        <v>📍 Pulo do Lobo</v>
      </c>
      <c r="J40" s="1635" t="s">
        <v>24447</v>
      </c>
    </row>
    <row r="41" spans="1:10" ht="60" customHeight="1" x14ac:dyDescent="0.35">
      <c r="A41" s="819">
        <v>6</v>
      </c>
      <c r="B41" s="820" t="s">
        <v>10125</v>
      </c>
      <c r="C41" s="821" t="s">
        <v>853</v>
      </c>
      <c r="D41" s="822" t="s">
        <v>1233</v>
      </c>
      <c r="E41" s="822" t="s">
        <v>6081</v>
      </c>
      <c r="F41" s="822" t="s">
        <v>4539</v>
      </c>
      <c r="G41" s="823" t="s">
        <v>10126</v>
      </c>
      <c r="H41" s="824" t="s">
        <v>10127</v>
      </c>
      <c r="I41" s="759" t="str">
        <f>HYPERLINK("https://www.google.com/maps/search/Castelo%20e%20N%C3%BAcleos%20Arqueol%C3%B3gicos%20de%20M%C3%A9rtola%20Largo%20da%20Igreja%2C%20M%C3%A9rtola%20Portugal","📍 Castelo e Núcleos Arqueológicos de Mértola")</f>
        <v>📍 Castelo e Núcleos Arqueológicos de Mértola</v>
      </c>
      <c r="J41" s="1636" t="s">
        <v>24448</v>
      </c>
    </row>
    <row r="42" spans="1:10" ht="60" customHeight="1" x14ac:dyDescent="0.35">
      <c r="A42" s="813">
        <v>7</v>
      </c>
      <c r="B42" s="814" t="s">
        <v>10128</v>
      </c>
      <c r="C42" s="815" t="s">
        <v>853</v>
      </c>
      <c r="D42" s="816" t="s">
        <v>1412</v>
      </c>
      <c r="E42" s="816" t="s">
        <v>7980</v>
      </c>
      <c r="F42" s="816" t="s">
        <v>4539</v>
      </c>
      <c r="G42" s="817" t="s">
        <v>10129</v>
      </c>
      <c r="H42" s="818" t="s">
        <v>10130</v>
      </c>
      <c r="I42" s="758" t="str">
        <f>HYPERLINK("https://www.google.com/maps/search/Cromeleque%20do%20Xerez%20Telheiro%2C%20Monsaraz%20Portugal","📍 Cromeleque do Xerez")</f>
        <v>📍 Cromeleque do Xerez</v>
      </c>
      <c r="J42" s="1635" t="s">
        <v>24449</v>
      </c>
    </row>
    <row r="43" spans="1:10" ht="60" customHeight="1" x14ac:dyDescent="0.35">
      <c r="A43" s="819">
        <v>8</v>
      </c>
      <c r="B43" s="820" t="s">
        <v>10131</v>
      </c>
      <c r="C43" s="821" t="s">
        <v>853</v>
      </c>
      <c r="D43" s="822" t="s">
        <v>2538</v>
      </c>
      <c r="E43" s="822" t="s">
        <v>7964</v>
      </c>
      <c r="F43" s="822" t="s">
        <v>4539</v>
      </c>
      <c r="G43" s="823" t="s">
        <v>10132</v>
      </c>
      <c r="H43" s="824" t="s">
        <v>10133</v>
      </c>
      <c r="I43" s="759" t="str">
        <f>HYPERLINK("https://www.google.com/maps/search/Menir%20da%20Meada%20P%C3%B3voa%20e%20Meadas%2C%20Castelo%20de%20Vide%20Portugal","📍 Menir da Meada")</f>
        <v>📍 Menir da Meada</v>
      </c>
      <c r="J43" s="1636" t="s">
        <v>24450</v>
      </c>
    </row>
    <row r="44" spans="1:10" ht="26" customHeight="1" x14ac:dyDescent="0.45">
      <c r="A44" s="1461" t="s">
        <v>7099</v>
      </c>
      <c r="B44" s="1504"/>
      <c r="C44" s="1505"/>
      <c r="D44" s="1505"/>
      <c r="E44" s="1505"/>
      <c r="F44" s="1505"/>
      <c r="G44" s="1506"/>
      <c r="H44" s="1506"/>
      <c r="I44" s="1582"/>
    </row>
    <row r="45" spans="1:10" ht="60" customHeight="1" x14ac:dyDescent="0.35">
      <c r="A45" s="825">
        <v>1</v>
      </c>
      <c r="B45" s="826" t="s">
        <v>10134</v>
      </c>
      <c r="C45" s="827" t="s">
        <v>767</v>
      </c>
      <c r="D45" s="828" t="s">
        <v>5761</v>
      </c>
      <c r="E45" s="828" t="s">
        <v>2205</v>
      </c>
      <c r="F45" s="828" t="s">
        <v>4539</v>
      </c>
      <c r="G45" s="829" t="s">
        <v>10135</v>
      </c>
      <c r="H45" s="830" t="s">
        <v>10136</v>
      </c>
      <c r="I45" s="760" t="str">
        <f>HYPERLINK("https://www.google.com/maps/search/Monumentos%20Megal%C3%ADticos%20de%20Alcalar%20Alcalar%2C%20Mexilhoeira%20Grande%2C%20Portim%C3%A3o%20Portugal","📍 Monumentos Megalíticos de Alcalar")</f>
        <v>📍 Monumentos Megalíticos de Alcalar</v>
      </c>
      <c r="J45" s="1635" t="s">
        <v>24443</v>
      </c>
    </row>
    <row r="46" spans="1:10" ht="60" customHeight="1" x14ac:dyDescent="0.35">
      <c r="A46" s="831">
        <v>2</v>
      </c>
      <c r="B46" s="832" t="s">
        <v>10137</v>
      </c>
      <c r="C46" s="833" t="s">
        <v>767</v>
      </c>
      <c r="D46" s="834" t="s">
        <v>5761</v>
      </c>
      <c r="E46" s="834" t="s">
        <v>5761</v>
      </c>
      <c r="F46" s="834" t="s">
        <v>4539</v>
      </c>
      <c r="G46" s="835" t="s">
        <v>10138</v>
      </c>
      <c r="H46" s="836" t="s">
        <v>10139</v>
      </c>
      <c r="I46" s="761" t="str">
        <f>HYPERLINK("https://www.google.com/maps/search/Ru%C3%ADnas%20Romanas%20de%20Milreu%20Estoi%2C%20Faro%20Portugal","📍 Ruínas Romanas de Milreu")</f>
        <v>📍 Ruínas Romanas de Milreu</v>
      </c>
      <c r="J46" s="1636" t="s">
        <v>24444</v>
      </c>
    </row>
    <row r="47" spans="1:10" ht="60" customHeight="1" x14ac:dyDescent="0.35">
      <c r="A47" s="825">
        <v>3</v>
      </c>
      <c r="B47" s="826" t="s">
        <v>10140</v>
      </c>
      <c r="C47" s="827" t="s">
        <v>767</v>
      </c>
      <c r="D47" s="828" t="s">
        <v>5761</v>
      </c>
      <c r="E47" s="828" t="s">
        <v>2190</v>
      </c>
      <c r="F47" s="828" t="s">
        <v>1712</v>
      </c>
      <c r="G47" s="829" t="s">
        <v>10141</v>
      </c>
      <c r="H47" s="830" t="s">
        <v>10142</v>
      </c>
      <c r="I47" s="760" t="str">
        <f>HYPERLINK("https://www.google.com/maps/search/Algar%20de%20Benagil%20Praia%20de%20Benagil%2C%20Lagoa%20Portugal","📍 Algar de Benagil")</f>
        <v>📍 Algar de Benagil</v>
      </c>
      <c r="J47" s="1635" t="s">
        <v>24445</v>
      </c>
    </row>
    <row r="48" spans="1:10" ht="60" customHeight="1" x14ac:dyDescent="0.35">
      <c r="A48" s="831">
        <v>4</v>
      </c>
      <c r="B48" s="832" t="s">
        <v>5523</v>
      </c>
      <c r="C48" s="833" t="s">
        <v>767</v>
      </c>
      <c r="D48" s="834" t="s">
        <v>5761</v>
      </c>
      <c r="E48" s="834" t="s">
        <v>2172</v>
      </c>
      <c r="F48" s="834" t="s">
        <v>1712</v>
      </c>
      <c r="G48" s="835" t="s">
        <v>10143</v>
      </c>
      <c r="H48" s="836" t="s">
        <v>6072</v>
      </c>
      <c r="I48" s="761" t="str">
        <f>HYPERLINK("https://www.google.com/maps/search/Rocha%20da%20Pena%20Salir%2C%20Loul%C3%A9%20Portugal","📍 Rocha da Pena")</f>
        <v>📍 Rocha da Pena</v>
      </c>
      <c r="J48" s="1636" t="s">
        <v>24446</v>
      </c>
    </row>
    <row r="49" spans="1:10" ht="60" customHeight="1" x14ac:dyDescent="0.35">
      <c r="A49" s="825">
        <v>5</v>
      </c>
      <c r="B49" s="826" t="s">
        <v>10144</v>
      </c>
      <c r="C49" s="827" t="s">
        <v>767</v>
      </c>
      <c r="D49" s="828" t="s">
        <v>5761</v>
      </c>
      <c r="E49" s="828" t="s">
        <v>2172</v>
      </c>
      <c r="F49" s="828" t="s">
        <v>1712</v>
      </c>
      <c r="G49" s="829" t="s">
        <v>10145</v>
      </c>
      <c r="H49" s="830" t="s">
        <v>10146</v>
      </c>
      <c r="I49" s="760" t="str">
        <f>HYPERLINK("https://www.google.com/maps/search/Mina%20de%20Sal%20Gema%20de%20Loul%C3%A9%20Rua%20da%20Mina%20de%20Sal%20Gema%2C%20Loul%C3%A9%20Portugal","📍 Mina de Sal Gema de Loulé")</f>
        <v>📍 Mina de Sal Gema de Loulé</v>
      </c>
      <c r="J49" s="1635" t="s">
        <v>24447</v>
      </c>
    </row>
    <row r="50" spans="1:10" ht="26" customHeight="1" x14ac:dyDescent="0.45">
      <c r="A50" s="1455" t="s">
        <v>10147</v>
      </c>
      <c r="B50" s="1520"/>
      <c r="C50" s="1521"/>
      <c r="D50" s="1521"/>
      <c r="E50" s="1521"/>
      <c r="F50" s="1521"/>
      <c r="G50" s="1522"/>
      <c r="H50" s="1522"/>
      <c r="I50" s="1588"/>
    </row>
    <row r="51" spans="1:10" ht="60" customHeight="1" x14ac:dyDescent="0.35">
      <c r="A51" s="837">
        <v>1</v>
      </c>
      <c r="B51" s="838" t="s">
        <v>6606</v>
      </c>
      <c r="C51" s="839" t="s">
        <v>522</v>
      </c>
      <c r="D51" s="840" t="s">
        <v>522</v>
      </c>
      <c r="E51" s="840" t="s">
        <v>1065</v>
      </c>
      <c r="F51" s="840" t="s">
        <v>1712</v>
      </c>
      <c r="G51" s="841" t="s">
        <v>10148</v>
      </c>
      <c r="H51" s="842" t="s">
        <v>10149</v>
      </c>
      <c r="I51" s="762" t="str">
        <f>HYPERLINK("https://www.google.com/maps/search/Algar%20do%20Carv%C3%A3o%20Terceira%2C%20A%C3%A7ores%20Portugal","📍 Algar do Carvão")</f>
        <v>📍 Algar do Carvão</v>
      </c>
      <c r="J51" s="1636" t="s">
        <v>24443</v>
      </c>
    </row>
    <row r="52" spans="1:10" ht="60" customHeight="1" x14ac:dyDescent="0.35">
      <c r="A52" s="843">
        <v>2</v>
      </c>
      <c r="B52" s="844" t="s">
        <v>10150</v>
      </c>
      <c r="C52" s="845" t="s">
        <v>522</v>
      </c>
      <c r="D52" s="846" t="s">
        <v>522</v>
      </c>
      <c r="E52" s="846" t="s">
        <v>6052</v>
      </c>
      <c r="F52" s="846" t="s">
        <v>1712</v>
      </c>
      <c r="G52" s="847" t="s">
        <v>10151</v>
      </c>
      <c r="H52" s="848" t="s">
        <v>10152</v>
      </c>
      <c r="I52" s="763" t="str">
        <f>HYPERLINK("https://www.google.com/maps/search/Capelinhos%20Faial%2C%20A%C3%A7ores%20Portugal","📍 Capelinhos")</f>
        <v>📍 Capelinhos</v>
      </c>
      <c r="J52" s="1635" t="s">
        <v>24444</v>
      </c>
    </row>
    <row r="53" spans="1:10" ht="60" customHeight="1" x14ac:dyDescent="0.35">
      <c r="A53" s="837">
        <v>3</v>
      </c>
      <c r="B53" s="838" t="s">
        <v>5792</v>
      </c>
      <c r="C53" s="839" t="s">
        <v>522</v>
      </c>
      <c r="D53" s="840" t="s">
        <v>522</v>
      </c>
      <c r="E53" s="840" t="s">
        <v>10153</v>
      </c>
      <c r="F53" s="840" t="s">
        <v>1712</v>
      </c>
      <c r="G53" s="841" t="s">
        <v>10154</v>
      </c>
      <c r="H53" s="842" t="s">
        <v>6622</v>
      </c>
      <c r="I53" s="762" t="str">
        <f>HYPERLINK("https://www.google.com/maps/search/Gruta%20das%20Torres%20Cria%C3%A7%C3%A3o%20Velha%2C%20Pico%20Portugal","📍 Gruta das Torres")</f>
        <v>📍 Gruta das Torres</v>
      </c>
      <c r="J53" s="1636" t="s">
        <v>24445</v>
      </c>
    </row>
    <row r="54" spans="1:10" ht="60" customHeight="1" x14ac:dyDescent="0.35">
      <c r="A54" s="843">
        <v>4</v>
      </c>
      <c r="B54" s="844" t="s">
        <v>6625</v>
      </c>
      <c r="C54" s="845" t="s">
        <v>522</v>
      </c>
      <c r="D54" s="846" t="s">
        <v>522</v>
      </c>
      <c r="E54" s="846" t="s">
        <v>1086</v>
      </c>
      <c r="F54" s="846" t="s">
        <v>1712</v>
      </c>
      <c r="G54" s="847" t="s">
        <v>10155</v>
      </c>
      <c r="H54" s="848" t="s">
        <v>10156</v>
      </c>
      <c r="I54" s="763" t="str">
        <f>HYPERLINK("https://www.google.com/maps/search/Gruta%20do%20Carv%C3%A3o%20Rua%20do%20Paim%2C%20Ponta%20Delgada%20Portugal","📍 Gruta do Carvão")</f>
        <v>📍 Gruta do Carvão</v>
      </c>
      <c r="J54" s="1635" t="s">
        <v>24446</v>
      </c>
    </row>
    <row r="55" spans="1:10" ht="60" customHeight="1" x14ac:dyDescent="0.35">
      <c r="A55" s="837">
        <v>5</v>
      </c>
      <c r="B55" s="838" t="s">
        <v>10157</v>
      </c>
      <c r="C55" s="839" t="s">
        <v>522</v>
      </c>
      <c r="D55" s="840" t="s">
        <v>522</v>
      </c>
      <c r="E55" s="840" t="s">
        <v>1086</v>
      </c>
      <c r="F55" s="840" t="s">
        <v>1712</v>
      </c>
      <c r="G55" s="841" t="s">
        <v>10158</v>
      </c>
      <c r="H55" s="842" t="s">
        <v>1561</v>
      </c>
      <c r="I55" s="762" t="str">
        <f>HYPERLINK("https://www.google.com/maps/search/Caldeira%20das%20Sete%20Cidades%20S%C3%A3o%20Miguel%2C%20A%C3%A7ores%20Portugal","📍 Caldeira das Sete Cidades")</f>
        <v>📍 Caldeira das Sete Cidades</v>
      </c>
      <c r="J55" s="1636" t="s">
        <v>24447</v>
      </c>
    </row>
    <row r="56" spans="1:10" ht="60" customHeight="1" x14ac:dyDescent="0.35">
      <c r="A56" s="843">
        <v>6</v>
      </c>
      <c r="B56" s="844" t="s">
        <v>10159</v>
      </c>
      <c r="C56" s="845" t="s">
        <v>522</v>
      </c>
      <c r="D56" s="846" t="s">
        <v>522</v>
      </c>
      <c r="E56" s="846" t="s">
        <v>10160</v>
      </c>
      <c r="F56" s="846" t="s">
        <v>10036</v>
      </c>
      <c r="G56" s="847" t="s">
        <v>10161</v>
      </c>
      <c r="H56" s="848" t="s">
        <v>10162</v>
      </c>
      <c r="I56" s="763" t="str">
        <f>HYPERLINK("https://www.google.com/maps/search/Jazida%20Paleontol%C3%B3gica%20de%20Santa%20Maria%20Dalane%2C%20Ilha%20de%20Santa%20Maria%20Portugal","📍 Jazida Paleontológica de Santa Maria")</f>
        <v>📍 Jazida Paleontológica de Santa Maria</v>
      </c>
      <c r="J56" s="1635" t="s">
        <v>24448</v>
      </c>
    </row>
    <row r="57" spans="1:10" ht="60" customHeight="1" x14ac:dyDescent="0.35">
      <c r="A57" s="837">
        <v>7</v>
      </c>
      <c r="B57" s="838" t="s">
        <v>6611</v>
      </c>
      <c r="C57" s="839" t="s">
        <v>522</v>
      </c>
      <c r="D57" s="840" t="s">
        <v>522</v>
      </c>
      <c r="E57" s="840" t="s">
        <v>6024</v>
      </c>
      <c r="F57" s="840" t="s">
        <v>1712</v>
      </c>
      <c r="G57" s="841" t="s">
        <v>10163</v>
      </c>
      <c r="H57" s="842" t="s">
        <v>10164</v>
      </c>
      <c r="I57" s="762" t="str">
        <f>HYPERLINK("https://www.google.com/maps/search/Caldeira%20Velha%20Estrada%20Regional%20da%20Lagoa%20do%20Fogo%2C%20S%C3%A3o%20Miguel%20Portugal","📍 Caldeira Velha")</f>
        <v>📍 Caldeira Velha</v>
      </c>
      <c r="J57" s="1636" t="s">
        <v>24449</v>
      </c>
    </row>
    <row r="58" spans="1:10" ht="60" customHeight="1" x14ac:dyDescent="0.35">
      <c r="A58" s="843">
        <v>8</v>
      </c>
      <c r="B58" s="844" t="s">
        <v>6727</v>
      </c>
      <c r="C58" s="845" t="s">
        <v>524</v>
      </c>
      <c r="D58" s="846" t="s">
        <v>524</v>
      </c>
      <c r="E58" s="846" t="s">
        <v>10009</v>
      </c>
      <c r="F58" s="846" t="s">
        <v>1712</v>
      </c>
      <c r="G58" s="847" t="s">
        <v>10165</v>
      </c>
      <c r="H58" s="848" t="s">
        <v>6728</v>
      </c>
      <c r="I58" s="763" t="str">
        <f>HYPERLINK("https://www.google.com/maps/search/Ponta%20de%20S%C3%A3o%20Louren%C3%A7o%20Cani%C3%A7al%2C%20Madeira%20Portugal","📍 Ponta de São Lourenço")</f>
        <v>📍 Ponta de São Lourenço</v>
      </c>
      <c r="J58" s="1635" t="s">
        <v>24450</v>
      </c>
    </row>
    <row r="59" spans="1:10" ht="60" customHeight="1" x14ac:dyDescent="0.35">
      <c r="A59" s="837">
        <v>9</v>
      </c>
      <c r="B59" s="838" t="s">
        <v>6697</v>
      </c>
      <c r="C59" s="839" t="s">
        <v>524</v>
      </c>
      <c r="D59" s="840" t="s">
        <v>524</v>
      </c>
      <c r="E59" s="840" t="s">
        <v>8728</v>
      </c>
      <c r="F59" s="840" t="s">
        <v>1712</v>
      </c>
      <c r="G59" s="841" t="s">
        <v>10166</v>
      </c>
      <c r="H59" s="842" t="s">
        <v>5408</v>
      </c>
      <c r="I59" s="762" t="str">
        <f>HYPERLINK("https://www.google.com/maps/search/Grutas%20de%20S%C3%A3o%20Vicente%20S%C3%ADtio%20do%20P%C3%A9%20do%20Passo%2C%20S%C3%A3o%20Vicente%2C%20Madeira%20Portugal","📍 Grutas de São Vicente")</f>
        <v>📍 Grutas de São Vicente</v>
      </c>
      <c r="J59" s="1636" t="s">
        <v>24451</v>
      </c>
    </row>
    <row r="60" spans="1:10" ht="8" customHeight="1" x14ac:dyDescent="0.45">
      <c r="A60" s="764"/>
      <c r="B60" s="765"/>
      <c r="C60" s="766"/>
      <c r="D60" s="766"/>
      <c r="E60" s="766"/>
      <c r="F60" s="766"/>
      <c r="G60" s="767"/>
      <c r="H60" s="767"/>
      <c r="I60" s="768"/>
    </row>
    <row r="61" spans="1:10" ht="8" customHeight="1" x14ac:dyDescent="0.45">
      <c r="A61" s="764"/>
      <c r="B61" s="765"/>
      <c r="C61" s="766"/>
      <c r="D61" s="766"/>
      <c r="E61" s="766"/>
      <c r="F61" s="766"/>
      <c r="G61" s="767"/>
      <c r="H61" s="767"/>
      <c r="I61" s="768"/>
    </row>
    <row r="62" spans="1:10" ht="8" customHeight="1" x14ac:dyDescent="0.45">
      <c r="A62" s="764"/>
      <c r="B62" s="765"/>
      <c r="C62" s="766"/>
      <c r="D62" s="766"/>
      <c r="E62" s="766"/>
      <c r="F62" s="766"/>
      <c r="G62" s="767"/>
      <c r="H62" s="767"/>
      <c r="I62" s="768"/>
    </row>
    <row r="63" spans="1:10" ht="26" customHeight="1" x14ac:dyDescent="0.45">
      <c r="A63" s="1575" t="s">
        <v>18370</v>
      </c>
      <c r="B63" s="1576"/>
      <c r="C63" s="1577"/>
      <c r="D63" s="1577"/>
      <c r="E63" s="1577"/>
      <c r="F63" s="1577"/>
      <c r="G63" s="1578"/>
      <c r="H63" s="1578"/>
      <c r="I63" s="1579"/>
    </row>
    <row r="64" spans="1:10" ht="60" customHeight="1" x14ac:dyDescent="0.35">
      <c r="A64" s="849">
        <v>51</v>
      </c>
      <c r="B64" s="850" t="s">
        <v>18371</v>
      </c>
      <c r="C64" s="851" t="s">
        <v>792</v>
      </c>
      <c r="D64" s="851" t="s">
        <v>1713</v>
      </c>
      <c r="E64" s="851" t="s">
        <v>5883</v>
      </c>
      <c r="F64" s="851" t="s">
        <v>18372</v>
      </c>
      <c r="G64" s="852" t="s">
        <v>18373</v>
      </c>
      <c r="H64" s="852" t="s">
        <v>18374</v>
      </c>
      <c r="I64" s="769" t="str">
        <f>HYPERLINK("https://www.google.com/maps/search/Minas%20da%20Panasqueira%20Barroca%20Grande%2C%20Covilh%C3%A3%20Portugal","📍 Minas da Panasqueira")</f>
        <v>📍 Minas da Panasqueira</v>
      </c>
      <c r="J64" s="1635" t="s">
        <v>24456</v>
      </c>
    </row>
    <row r="65" spans="1:10" ht="60" customHeight="1" x14ac:dyDescent="0.35">
      <c r="A65" s="853">
        <v>52</v>
      </c>
      <c r="B65" s="854" t="s">
        <v>18375</v>
      </c>
      <c r="C65" s="855" t="s">
        <v>792</v>
      </c>
      <c r="D65" s="855" t="s">
        <v>1149</v>
      </c>
      <c r="E65" s="855" t="s">
        <v>18376</v>
      </c>
      <c r="F65" s="855" t="s">
        <v>18372</v>
      </c>
      <c r="G65" s="856" t="s">
        <v>18377</v>
      </c>
      <c r="H65" s="856" t="s">
        <v>18378</v>
      </c>
      <c r="I65" s="770" t="str">
        <f>HYPERLINK("https://www.google.com/maps/search/Serra%20d%27Arga%20Serra%20d%27Arga%2C%20Viana%20do%20Castelo%20Portugal","📍 Serra d'Arga")</f>
        <v>📍 Serra d'Arga</v>
      </c>
      <c r="J65" s="1636" t="s">
        <v>24457</v>
      </c>
    </row>
    <row r="66" spans="1:10" ht="60" customHeight="1" x14ac:dyDescent="0.35">
      <c r="A66" s="849">
        <v>53</v>
      </c>
      <c r="B66" s="850" t="s">
        <v>18379</v>
      </c>
      <c r="C66" s="851" t="s">
        <v>792</v>
      </c>
      <c r="D66" s="851" t="s">
        <v>5578</v>
      </c>
      <c r="E66" s="851" t="s">
        <v>1882</v>
      </c>
      <c r="F66" s="851" t="s">
        <v>18380</v>
      </c>
      <c r="G66" s="852" t="s">
        <v>18381</v>
      </c>
      <c r="H66" s="852" t="s">
        <v>18382</v>
      </c>
      <c r="I66" s="769" t="str">
        <f>HYPERLINK("https://www.google.com/maps/search/Minas%20de%20Jales%20Jales%2C%20Ribeira%20de%20Pena%20Portugal","📍 Minas de Jales")</f>
        <v>📍 Minas de Jales</v>
      </c>
      <c r="J66" s="1635" t="s">
        <v>24458</v>
      </c>
    </row>
    <row r="67" spans="1:10" ht="60" customHeight="1" x14ac:dyDescent="0.35">
      <c r="A67" s="853">
        <v>54</v>
      </c>
      <c r="B67" s="854" t="s">
        <v>18383</v>
      </c>
      <c r="C67" s="855" t="s">
        <v>792</v>
      </c>
      <c r="D67" s="855" t="s">
        <v>5578</v>
      </c>
      <c r="E67" s="855" t="s">
        <v>1976</v>
      </c>
      <c r="F67" s="855" t="s">
        <v>18372</v>
      </c>
      <c r="G67" s="856" t="s">
        <v>18384</v>
      </c>
      <c r="H67" s="856" t="s">
        <v>18385</v>
      </c>
      <c r="I67" s="770" t="str">
        <f>HYPERLINK("https://www.google.com/maps/search/Montalegre%20Montalegre%2C%20Tr%C3%A1s-os-Montes%20Portugal","📍 Montalegre")</f>
        <v>📍 Montalegre</v>
      </c>
      <c r="J67" s="1636" t="s">
        <v>24459</v>
      </c>
    </row>
    <row r="68" spans="1:10" ht="60" customHeight="1" x14ac:dyDescent="0.35">
      <c r="A68" s="849">
        <v>55</v>
      </c>
      <c r="B68" s="850" t="s">
        <v>18386</v>
      </c>
      <c r="C68" s="851" t="s">
        <v>836</v>
      </c>
      <c r="D68" s="851" t="s">
        <v>950</v>
      </c>
      <c r="E68" s="851" t="s">
        <v>7002</v>
      </c>
      <c r="F68" s="851" t="s">
        <v>18387</v>
      </c>
      <c r="G68" s="852" t="s">
        <v>18388</v>
      </c>
      <c r="H68" s="852" t="s">
        <v>18389</v>
      </c>
      <c r="I68" s="769" t="str">
        <f>HYPERLINK("https://www.google.com/maps/search/Mina%20de%20Ur%C3%A2nio%20de%20Cunha%20Baixa%20Cunha%20Baixa%2C%20Mangualde%20Portugal","📍 Mina de Urânio de Cunha Baixa")</f>
        <v>📍 Mina de Urânio de Cunha Baixa</v>
      </c>
      <c r="J68" s="1635" t="s">
        <v>24460</v>
      </c>
    </row>
    <row r="69" spans="1:10" ht="60" customHeight="1" x14ac:dyDescent="0.35">
      <c r="A69" s="853">
        <v>56</v>
      </c>
      <c r="B69" s="854" t="s">
        <v>18390</v>
      </c>
      <c r="C69" s="855" t="s">
        <v>836</v>
      </c>
      <c r="D69" s="855" t="s">
        <v>1784</v>
      </c>
      <c r="E69" s="855" t="s">
        <v>8265</v>
      </c>
      <c r="F69" s="855" t="s">
        <v>18372</v>
      </c>
      <c r="G69" s="856" t="s">
        <v>18391</v>
      </c>
      <c r="H69" s="856" t="s">
        <v>8266</v>
      </c>
      <c r="I69" s="770" t="str">
        <f>HYPERLINK("https://www.google.com/maps/search/Moncorvo%20Torre%20de%20Moncorvo%2C%20Bragan%C3%A7a%20Portugal","📍 Moncorvo")</f>
        <v>📍 Moncorvo</v>
      </c>
      <c r="J69" s="1636" t="s">
        <v>24461</v>
      </c>
    </row>
    <row r="70" spans="1:10" ht="60" customHeight="1" x14ac:dyDescent="0.35">
      <c r="A70" s="849">
        <v>57</v>
      </c>
      <c r="B70" s="850" t="s">
        <v>18392</v>
      </c>
      <c r="C70" s="851" t="s">
        <v>853</v>
      </c>
      <c r="D70" s="851" t="s">
        <v>1233</v>
      </c>
      <c r="E70" s="851" t="s">
        <v>1227</v>
      </c>
      <c r="F70" s="851" t="s">
        <v>18372</v>
      </c>
      <c r="G70" s="852" t="s">
        <v>18393</v>
      </c>
      <c r="H70" s="852" t="s">
        <v>1720</v>
      </c>
      <c r="I70" s="769" t="str">
        <f>HYPERLINK("https://www.google.com/maps/search/Mina%20de%20Neves-Corvo%20Castro%20Verde%2C%20Beja%20Portugal","📍 Mina de Neves-Corvo")</f>
        <v>📍 Mina de Neves-Corvo</v>
      </c>
      <c r="J70" s="1635" t="s">
        <v>24462</v>
      </c>
    </row>
    <row r="71" spans="1:10" ht="60" customHeight="1" x14ac:dyDescent="0.35">
      <c r="A71" s="853">
        <v>58</v>
      </c>
      <c r="B71" s="854" t="s">
        <v>18394</v>
      </c>
      <c r="C71" s="855" t="s">
        <v>853</v>
      </c>
      <c r="D71" s="855" t="s">
        <v>1233</v>
      </c>
      <c r="E71" s="855" t="s">
        <v>7962</v>
      </c>
      <c r="F71" s="855" t="s">
        <v>18395</v>
      </c>
      <c r="G71" s="856" t="s">
        <v>18396</v>
      </c>
      <c r="H71" s="856" t="s">
        <v>18397</v>
      </c>
      <c r="I71" s="770" t="str">
        <f>HYPERLINK("https://www.google.com/maps/search/Aljustrel%20Aljustrel%2C%20Beja%20Portugal","📍 Aljustrel")</f>
        <v>📍 Aljustrel</v>
      </c>
      <c r="J71" s="1636" t="s">
        <v>24463</v>
      </c>
    </row>
    <row r="72" spans="1:10" ht="60" customHeight="1" x14ac:dyDescent="0.35">
      <c r="A72" s="849">
        <v>59</v>
      </c>
      <c r="B72" s="850" t="s">
        <v>18398</v>
      </c>
      <c r="C72" s="851" t="s">
        <v>853</v>
      </c>
      <c r="D72" s="851" t="s">
        <v>1412</v>
      </c>
      <c r="E72" s="851" t="s">
        <v>18399</v>
      </c>
      <c r="F72" s="851" t="s">
        <v>18400</v>
      </c>
      <c r="G72" s="852" t="s">
        <v>18401</v>
      </c>
      <c r="H72" s="852" t="s">
        <v>18402</v>
      </c>
      <c r="I72" s="769" t="str">
        <f>HYPERLINK("https://www.google.com/maps/search/Estremoz%20Vila%20Vi%C3%A7osa%20Borba%20Estremoz%2C%20%C3%89vora%20Portugal","📍 Estremoz Vila Viçosa Borba")</f>
        <v>📍 Estremoz Vila Viçosa Borba</v>
      </c>
      <c r="J72" s="1635" t="s">
        <v>24464</v>
      </c>
    </row>
    <row r="73" spans="1:10" ht="60" customHeight="1" x14ac:dyDescent="0.35">
      <c r="A73" s="853">
        <v>60</v>
      </c>
      <c r="B73" s="854" t="s">
        <v>18403</v>
      </c>
      <c r="C73" s="855" t="s">
        <v>853</v>
      </c>
      <c r="D73" s="855" t="s">
        <v>2538</v>
      </c>
      <c r="E73" s="855" t="s">
        <v>18404</v>
      </c>
      <c r="F73" s="855" t="s">
        <v>18372</v>
      </c>
      <c r="G73" s="856" t="s">
        <v>18405</v>
      </c>
      <c r="H73" s="856" t="s">
        <v>18406</v>
      </c>
      <c r="I73" s="770" t="str">
        <f>HYPERLINK("https://www.google.com/maps/search/Monforte%20Crato%20Monforte%2C%20Portalegre%20Portugal","📍 Monforte Crato")</f>
        <v>📍 Monforte Crato</v>
      </c>
      <c r="J73" s="1636" t="s">
        <v>24465</v>
      </c>
    </row>
    <row r="74" spans="1:10" ht="60" customHeight="1" x14ac:dyDescent="0.35">
      <c r="A74" s="849">
        <v>61</v>
      </c>
      <c r="B74" s="850" t="s">
        <v>18407</v>
      </c>
      <c r="C74" s="851" t="s">
        <v>767</v>
      </c>
      <c r="D74" s="851" t="s">
        <v>5761</v>
      </c>
      <c r="E74" s="851" t="s">
        <v>2164</v>
      </c>
      <c r="F74" s="851" t="s">
        <v>18400</v>
      </c>
      <c r="G74" s="852" t="s">
        <v>18408</v>
      </c>
      <c r="H74" s="852" t="s">
        <v>18409</v>
      </c>
      <c r="I74" s="769" t="str">
        <f>HYPERLINK("https://www.google.com/maps/search/Monchique%20Serra%20de%20Monchique%2C%20Faro%20Portugal","📍 Monchique")</f>
        <v>📍 Monchique</v>
      </c>
      <c r="J74" s="1635" t="s">
        <v>24466</v>
      </c>
    </row>
    <row r="75" spans="1:10" ht="60" customHeight="1" x14ac:dyDescent="0.35">
      <c r="A75" s="853">
        <v>62</v>
      </c>
      <c r="B75" s="854" t="s">
        <v>18410</v>
      </c>
      <c r="C75" s="855" t="s">
        <v>522</v>
      </c>
      <c r="D75" s="855" t="s">
        <v>522</v>
      </c>
      <c r="E75" s="855" t="s">
        <v>18411</v>
      </c>
      <c r="F75" s="855" t="s">
        <v>18412</v>
      </c>
      <c r="G75" s="856" t="s">
        <v>18413</v>
      </c>
      <c r="H75" s="856" t="s">
        <v>18414</v>
      </c>
      <c r="I75" s="770" t="str">
        <f>HYPERLINK("https://www.google.com/maps/search/A%C3%A7ores%20Obsidiana%20Ilha%20do%20Pico%2C%20A%C3%A7ores%20Portugal","📍 Açores Obsidiana")</f>
        <v>📍 Açores Obsidiana</v>
      </c>
      <c r="J75" s="1636" t="s">
        <v>24467</v>
      </c>
    </row>
    <row r="76" spans="1:10" ht="26" customHeight="1" x14ac:dyDescent="0.35">
      <c r="A76" s="771" t="s">
        <v>18470</v>
      </c>
      <c r="B76" s="772"/>
      <c r="C76" s="773"/>
      <c r="D76" s="773"/>
      <c r="E76" s="773"/>
      <c r="F76" s="773"/>
      <c r="G76" s="772"/>
      <c r="H76" s="772"/>
      <c r="I76" s="774"/>
    </row>
    <row r="77" spans="1:10" ht="60" customHeight="1" x14ac:dyDescent="0.35">
      <c r="A77" s="857">
        <v>63</v>
      </c>
      <c r="B77" s="858" t="s">
        <v>18471</v>
      </c>
      <c r="C77" s="859" t="s">
        <v>792</v>
      </c>
      <c r="D77" s="860" t="s">
        <v>1363</v>
      </c>
      <c r="E77" s="860" t="s">
        <v>1908</v>
      </c>
      <c r="F77" s="860" t="s">
        <v>18472</v>
      </c>
      <c r="G77" s="861" t="s">
        <v>18473</v>
      </c>
      <c r="H77" s="861" t="s">
        <v>8273</v>
      </c>
      <c r="I77" s="775" t="str">
        <f>HYPERLINK("https://www.google.com/maps/search/Arouca%20Geopark%20Arouca%2C%20Aveiro%20Portugal","📍 Arouca Geopark")</f>
        <v>📍 Arouca Geopark</v>
      </c>
      <c r="J77" s="1635" t="s">
        <v>24468</v>
      </c>
    </row>
    <row r="78" spans="1:10" ht="60" customHeight="1" x14ac:dyDescent="0.35">
      <c r="A78" s="862">
        <v>64</v>
      </c>
      <c r="B78" s="863" t="s">
        <v>18474</v>
      </c>
      <c r="C78" s="864" t="s">
        <v>836</v>
      </c>
      <c r="D78" s="865" t="s">
        <v>950</v>
      </c>
      <c r="E78" s="865" t="s">
        <v>7019</v>
      </c>
      <c r="F78" s="865" t="s">
        <v>18475</v>
      </c>
      <c r="G78" s="866" t="s">
        <v>18476</v>
      </c>
      <c r="H78" s="866" t="s">
        <v>18477</v>
      </c>
      <c r="I78" s="776" t="str">
        <f>HYPERLINK("https://www.google.com/maps/search/Mina%20da%20Urgeiri%C3%A7a%20Canas%20de%20Senhorim%2C%20Nelas%2C%20Viseu%20Portugal","📍 Mina da Urgeiriça")</f>
        <v>📍 Mina da Urgeiriça</v>
      </c>
      <c r="J78" s="1636" t="s">
        <v>24469</v>
      </c>
    </row>
    <row r="79" spans="1:10" ht="60" customHeight="1" x14ac:dyDescent="0.35">
      <c r="A79" s="857">
        <v>65</v>
      </c>
      <c r="B79" s="858" t="s">
        <v>6854</v>
      </c>
      <c r="C79" s="859" t="s">
        <v>853</v>
      </c>
      <c r="D79" s="860" t="s">
        <v>1233</v>
      </c>
      <c r="E79" s="860" t="s">
        <v>6081</v>
      </c>
      <c r="F79" s="860" t="s">
        <v>18475</v>
      </c>
      <c r="G79" s="861" t="s">
        <v>18478</v>
      </c>
      <c r="H79" s="861" t="s">
        <v>18479</v>
      </c>
      <c r="I79" s="775" t="str">
        <f>HYPERLINK("https://www.google.com/maps/search/Mina%20de%20S%C3%A3o%20Domingos%20S%C3%A3o%20Domingos%2C%20M%C3%A9rtola%2C%20Beja%20Portugal","📍 Mina de São Domingos")</f>
        <v>📍 Mina de São Domingos</v>
      </c>
      <c r="J79" s="1635" t="s">
        <v>24470</v>
      </c>
    </row>
    <row r="80" spans="1:10" ht="60" customHeight="1" x14ac:dyDescent="0.35">
      <c r="A80" s="862">
        <v>66</v>
      </c>
      <c r="B80" s="863" t="s">
        <v>18480</v>
      </c>
      <c r="C80" s="864" t="s">
        <v>853</v>
      </c>
      <c r="D80" s="865" t="s">
        <v>1347</v>
      </c>
      <c r="E80" s="865" t="s">
        <v>6161</v>
      </c>
      <c r="F80" s="865" t="s">
        <v>18475</v>
      </c>
      <c r="G80" s="866" t="s">
        <v>18481</v>
      </c>
      <c r="H80" s="866" t="s">
        <v>18482</v>
      </c>
      <c r="I80" s="776" t="str">
        <f>HYPERLINK("https://www.google.com/maps/search/Mina%20do%20Lousal%20Lousal%2C%20Gr%C3%A2ndola%2C%20Set%C3%BAbal%20Portugal","📍 Mina do Lousal")</f>
        <v>📍 Mina do Lousal</v>
      </c>
      <c r="J80" s="1636" t="s">
        <v>24471</v>
      </c>
    </row>
    <row r="81" spans="1:10" ht="60" customHeight="1" x14ac:dyDescent="0.35">
      <c r="A81" s="857">
        <v>67</v>
      </c>
      <c r="B81" s="858" t="s">
        <v>18483</v>
      </c>
      <c r="C81" s="859" t="s">
        <v>792</v>
      </c>
      <c r="D81" s="860" t="s">
        <v>1784</v>
      </c>
      <c r="E81" s="860" t="s">
        <v>8048</v>
      </c>
      <c r="F81" s="860" t="s">
        <v>18475</v>
      </c>
      <c r="G81" s="861" t="s">
        <v>18484</v>
      </c>
      <c r="H81" s="861" t="s">
        <v>18485</v>
      </c>
      <c r="I81" s="775" t="str">
        <f>HYPERLINK("https://www.google.com/maps/search/Minas%20de%20Argozelo%20Argozelo%2C%20Vimioso%2C%20Bragan%C3%A7a%20Portugal","📍 Minas de Argozelo")</f>
        <v>📍 Minas de Argozelo</v>
      </c>
      <c r="J81" s="1635" t="s">
        <v>24472</v>
      </c>
    </row>
    <row r="82" spans="1:10" ht="60" customHeight="1" x14ac:dyDescent="0.35">
      <c r="A82" s="862">
        <v>68</v>
      </c>
      <c r="B82" s="863" t="s">
        <v>18486</v>
      </c>
      <c r="C82" s="864" t="s">
        <v>792</v>
      </c>
      <c r="D82" s="865" t="s">
        <v>3082</v>
      </c>
      <c r="E82" s="865" t="s">
        <v>1920</v>
      </c>
      <c r="F82" s="865" t="s">
        <v>18475</v>
      </c>
      <c r="G82" s="866" t="s">
        <v>18487</v>
      </c>
      <c r="H82" s="866" t="s">
        <v>18488</v>
      </c>
      <c r="I82" s="776" t="str">
        <f>HYPERLINK("https://www.google.com/maps/search/Minas%20de%20Castromil%20Castromil%2C%20Paredes%2C%20Porto%20Portugal","📍 Minas de Castromil")</f>
        <v>📍 Minas de Castromil</v>
      </c>
      <c r="J82" s="1636" t="s">
        <v>24473</v>
      </c>
    </row>
    <row r="83" spans="1:10" ht="60" customHeight="1" x14ac:dyDescent="0.35">
      <c r="A83" s="857">
        <v>69</v>
      </c>
      <c r="B83" s="858" t="s">
        <v>18489</v>
      </c>
      <c r="C83" s="859" t="s">
        <v>836</v>
      </c>
      <c r="D83" s="860" t="s">
        <v>1363</v>
      </c>
      <c r="E83" s="860" t="s">
        <v>8025</v>
      </c>
      <c r="F83" s="860" t="s">
        <v>18475</v>
      </c>
      <c r="G83" s="861" t="s">
        <v>18490</v>
      </c>
      <c r="H83" s="861" t="s">
        <v>18491</v>
      </c>
      <c r="I83" s="775" t="str">
        <f>HYPERLINK("https://www.google.com/maps/search/Minas%20do%20Bra%C3%A7al%20e%20Malhada%20Bra%C3%A7al%2C%20Sever%20do%20Vouga%2C%20Aveiro%20Portugal","📍 Minas do Braçal e Malhada")</f>
        <v>📍 Minas do Braçal e Malhada</v>
      </c>
      <c r="J83" s="1635" t="s">
        <v>24474</v>
      </c>
    </row>
    <row r="84" spans="1:10" ht="60" customHeight="1" x14ac:dyDescent="0.35">
      <c r="A84" s="862">
        <v>70</v>
      </c>
      <c r="B84" s="863" t="s">
        <v>18492</v>
      </c>
      <c r="C84" s="864" t="s">
        <v>792</v>
      </c>
      <c r="D84" s="865" t="s">
        <v>3082</v>
      </c>
      <c r="E84" s="865" t="s">
        <v>6251</v>
      </c>
      <c r="F84" s="865" t="s">
        <v>9786</v>
      </c>
      <c r="G84" s="866" t="s">
        <v>18493</v>
      </c>
      <c r="H84" s="866" t="s">
        <v>18494</v>
      </c>
      <c r="I84" s="776" t="str">
        <f>HYPERLINK("https://www.google.com/maps/search/Museu%20da%20Lousa%20Valongo%2C%20Porto%20Portugal","📍 Museu da Lousa")</f>
        <v>📍 Museu da Lousa</v>
      </c>
      <c r="J84" s="1636" t="s">
        <v>24475</v>
      </c>
    </row>
    <row r="85" spans="1:10" ht="60" customHeight="1" x14ac:dyDescent="0.35">
      <c r="A85" s="857">
        <v>71</v>
      </c>
      <c r="B85" s="858" t="s">
        <v>18495</v>
      </c>
      <c r="C85" s="859" t="s">
        <v>792</v>
      </c>
      <c r="D85" s="860" t="s">
        <v>3082</v>
      </c>
      <c r="E85" s="860" t="s">
        <v>1928</v>
      </c>
      <c r="F85" s="860" t="s">
        <v>9786</v>
      </c>
      <c r="G85" s="861" t="s">
        <v>18496</v>
      </c>
      <c r="H85" s="861" t="s">
        <v>18497</v>
      </c>
      <c r="I85" s="775" t="str">
        <f>HYPERLINK("https://www.google.com/maps/search/Museu%20da%20Pedra%20Marco%20de%20Canaveses%20Marco%20de%20Canaveses%2C%20Porto%20Portugal","📍 Museu da Pedra Marco de Canaveses")</f>
        <v>📍 Museu da Pedra Marco de Canaveses</v>
      </c>
      <c r="J85" s="1635" t="s">
        <v>24476</v>
      </c>
    </row>
    <row r="86" spans="1:10" ht="60" customHeight="1" x14ac:dyDescent="0.35">
      <c r="A86" s="862">
        <v>72</v>
      </c>
      <c r="B86" s="863" t="s">
        <v>18498</v>
      </c>
      <c r="C86" s="864" t="s">
        <v>836</v>
      </c>
      <c r="D86" s="865" t="s">
        <v>5497</v>
      </c>
      <c r="E86" s="865" t="s">
        <v>1131</v>
      </c>
      <c r="F86" s="865" t="s">
        <v>9786</v>
      </c>
      <c r="G86" s="866" t="s">
        <v>18499</v>
      </c>
      <c r="H86" s="866" t="s">
        <v>8591</v>
      </c>
      <c r="I86" s="776" t="str">
        <f>HYPERLINK("https://www.google.com/maps/search/Museu%20da%20Pedra%20Cantanhede%20Cantanhede%2C%20Coimbra%20Portugal","📍 Museu da Pedra Cantanhede")</f>
        <v>📍 Museu da Pedra Cantanhede</v>
      </c>
      <c r="J86" s="1636" t="s">
        <v>24477</v>
      </c>
    </row>
    <row r="87" spans="1:10" ht="60" customHeight="1" x14ac:dyDescent="0.35">
      <c r="A87" s="857">
        <v>73</v>
      </c>
      <c r="B87" s="858" t="s">
        <v>18500</v>
      </c>
      <c r="C87" s="859" t="s">
        <v>792</v>
      </c>
      <c r="D87" s="860" t="s">
        <v>5578</v>
      </c>
      <c r="E87" s="860" t="s">
        <v>5578</v>
      </c>
      <c r="F87" s="860" t="s">
        <v>9786</v>
      </c>
      <c r="G87" s="861" t="s">
        <v>18501</v>
      </c>
      <c r="H87" s="861" t="s">
        <v>18502</v>
      </c>
      <c r="I87" s="775" t="str">
        <f>HYPERLINK("https://www.google.com/maps/search/Museu%20de%20Geologia%20da%20UTAD%20Universidade%20de%20Tr%C3%A1s-os-Montes%20e%20Alto%20Douro%2C%20Vila%20Real%20Portugal","📍 Museu de Geologia da UTAD")</f>
        <v>📍 Museu de Geologia da UTAD</v>
      </c>
      <c r="J87" s="1635" t="s">
        <v>24478</v>
      </c>
    </row>
    <row r="88" spans="1:10" ht="60" customHeight="1" x14ac:dyDescent="0.35">
      <c r="A88" s="862">
        <v>74</v>
      </c>
      <c r="B88" s="863" t="s">
        <v>18503</v>
      </c>
      <c r="C88" s="864" t="s">
        <v>792</v>
      </c>
      <c r="D88" s="865" t="s">
        <v>3082</v>
      </c>
      <c r="E88" s="865" t="s">
        <v>1773</v>
      </c>
      <c r="F88" s="865" t="s">
        <v>9786</v>
      </c>
      <c r="G88" s="866" t="s">
        <v>18504</v>
      </c>
      <c r="H88" s="866" t="s">
        <v>9008</v>
      </c>
      <c r="I88" s="776" t="str">
        <f>HYPERLINK("https://www.google.com/maps/search/Museu%20de%20Jazigos%20Minerais%20Portugueses%20Matosinhos%2C%20Porto%20Portugal","📍 Museu de Jazigos Minerais Portugueses")</f>
        <v>📍 Museu de Jazigos Minerais Portugueses</v>
      </c>
      <c r="J88" s="1636" t="s">
        <v>24479</v>
      </c>
    </row>
    <row r="89" spans="1:10" ht="60" customHeight="1" x14ac:dyDescent="0.35">
      <c r="A89" s="857">
        <v>75</v>
      </c>
      <c r="B89" s="858" t="s">
        <v>18505</v>
      </c>
      <c r="C89" s="859" t="s">
        <v>836</v>
      </c>
      <c r="D89" s="860" t="s">
        <v>1713</v>
      </c>
      <c r="E89" s="860" t="s">
        <v>1713</v>
      </c>
      <c r="F89" s="860" t="s">
        <v>9786</v>
      </c>
      <c r="G89" s="861" t="s">
        <v>18506</v>
      </c>
      <c r="H89" s="861" t="s">
        <v>1713</v>
      </c>
      <c r="I89" s="775" t="str">
        <f>HYPERLINK("https://www.google.com/maps/search/Museu%20do%20Canteiro%20Castelo%20Branco%20Portugal","📍 Museu do Canteiro")</f>
        <v>📍 Museu do Canteiro</v>
      </c>
      <c r="J89" s="1635" t="s">
        <v>24480</v>
      </c>
    </row>
    <row r="90" spans="1:10" ht="60" customHeight="1" x14ac:dyDescent="0.35">
      <c r="A90" s="862">
        <v>76</v>
      </c>
      <c r="B90" s="863" t="s">
        <v>18507</v>
      </c>
      <c r="C90" s="864" t="s">
        <v>836</v>
      </c>
      <c r="D90" s="865" t="s">
        <v>7725</v>
      </c>
      <c r="E90" s="865" t="s">
        <v>7725</v>
      </c>
      <c r="F90" s="865" t="s">
        <v>9786</v>
      </c>
      <c r="G90" s="866" t="s">
        <v>18508</v>
      </c>
      <c r="H90" s="866" t="s">
        <v>18509</v>
      </c>
      <c r="I90" s="776" t="str">
        <f>HYPERLINK("https://www.google.com/maps/search/Museu%20do%20Cimento%20Maceira-Liz%20Maceira%2C%20Leiria%20Portugal","📍 Museu do Cimento Maceira-Liz")</f>
        <v>📍 Museu do Cimento Maceira-Liz</v>
      </c>
      <c r="J90" s="1636" t="s">
        <v>24481</v>
      </c>
    </row>
    <row r="91" spans="1:10" ht="60" customHeight="1" x14ac:dyDescent="0.35">
      <c r="A91" s="857">
        <v>77</v>
      </c>
      <c r="B91" s="858" t="s">
        <v>18510</v>
      </c>
      <c r="C91" s="859" t="s">
        <v>792</v>
      </c>
      <c r="D91" s="860" t="s">
        <v>1784</v>
      </c>
      <c r="E91" s="860" t="s">
        <v>8265</v>
      </c>
      <c r="F91" s="860" t="s">
        <v>9786</v>
      </c>
      <c r="G91" s="861" t="s">
        <v>18511</v>
      </c>
      <c r="H91" s="861" t="s">
        <v>8266</v>
      </c>
      <c r="I91" s="775" t="str">
        <f>HYPERLINK("https://www.google.com/maps/search/Museu%20do%20Ferro%20Moncorvo%20Torre%20de%20Moncorvo%2C%20Bragan%C3%A7a%20Portugal","📍 Museu do Ferro Moncorvo")</f>
        <v>📍 Museu do Ferro Moncorvo</v>
      </c>
      <c r="J91" s="1635" t="s">
        <v>24482</v>
      </c>
    </row>
    <row r="92" spans="1:10" ht="60" customHeight="1" x14ac:dyDescent="0.35">
      <c r="A92" s="862">
        <v>78</v>
      </c>
      <c r="B92" s="863" t="s">
        <v>18512</v>
      </c>
      <c r="C92" s="864" t="s">
        <v>792</v>
      </c>
      <c r="D92" s="865" t="s">
        <v>3082</v>
      </c>
      <c r="E92" s="865" t="s">
        <v>3082</v>
      </c>
      <c r="F92" s="865" t="s">
        <v>9786</v>
      </c>
      <c r="G92" s="866" t="s">
        <v>18513</v>
      </c>
      <c r="H92" s="866" t="s">
        <v>18514</v>
      </c>
      <c r="I92" s="776" t="str">
        <f>HYPERLINK("https://www.google.com/maps/search/Museu%20do%20ISEP%20Rua%20Dr.%20Ant%C3%B3nio%20Bernardino%20de%20Almeida%2C%20Porto%20Portugal","📍 Museu do ISEP")</f>
        <v>📍 Museu do ISEP</v>
      </c>
      <c r="J92" s="1636" t="s">
        <v>24483</v>
      </c>
    </row>
    <row r="93" spans="1:10" ht="60" customHeight="1" x14ac:dyDescent="0.35">
      <c r="A93" s="857">
        <v>79</v>
      </c>
      <c r="B93" s="858" t="s">
        <v>18515</v>
      </c>
      <c r="C93" s="859" t="s">
        <v>853</v>
      </c>
      <c r="D93" s="860" t="s">
        <v>1412</v>
      </c>
      <c r="E93" s="860" t="s">
        <v>12812</v>
      </c>
      <c r="F93" s="860" t="s">
        <v>9786</v>
      </c>
      <c r="G93" s="861" t="s">
        <v>18516</v>
      </c>
      <c r="H93" s="861" t="s">
        <v>18517</v>
      </c>
      <c r="I93" s="775" t="str">
        <f>HYPERLINK("https://www.google.com/maps/search/Museu%20do%20M%C3%A1rmore%20Vila%20Vi%C3%A7osa%20Vila%20Vi%C3%A7osa%2C%20%C3%89vora%20Portugal","📍 Museu do Mármore Vila Viçosa")</f>
        <v>📍 Museu do Mármore Vila Viçosa</v>
      </c>
      <c r="J93" s="1635" t="s">
        <v>24484</v>
      </c>
    </row>
    <row r="94" spans="1:10" ht="60" customHeight="1" x14ac:dyDescent="0.35">
      <c r="A94" s="862">
        <v>80</v>
      </c>
      <c r="B94" s="863" t="s">
        <v>18518</v>
      </c>
      <c r="C94" s="864" t="s">
        <v>836</v>
      </c>
      <c r="D94" s="865" t="s">
        <v>950</v>
      </c>
      <c r="E94" s="865" t="s">
        <v>950</v>
      </c>
      <c r="F94" s="865" t="s">
        <v>9786</v>
      </c>
      <c r="G94" s="866" t="s">
        <v>18519</v>
      </c>
      <c r="H94" s="866" t="s">
        <v>950</v>
      </c>
      <c r="I94" s="776" t="str">
        <f>HYPERLINK("https://www.google.com/maps/search/Museu%20do%20Quartzo%20Viseu%20Viseu%20Portugal","📍 Museu do Quartzo Viseu")</f>
        <v>📍 Museu do Quartzo Viseu</v>
      </c>
      <c r="J94" s="1636" t="s">
        <v>24485</v>
      </c>
    </row>
    <row r="95" spans="1:10" ht="60" customHeight="1" x14ac:dyDescent="0.35">
      <c r="A95" s="857">
        <v>81</v>
      </c>
      <c r="B95" s="858" t="s">
        <v>18520</v>
      </c>
      <c r="C95" s="859" t="s">
        <v>792</v>
      </c>
      <c r="D95" s="860" t="s">
        <v>5578</v>
      </c>
      <c r="E95" s="860" t="s">
        <v>1882</v>
      </c>
      <c r="F95" s="860" t="s">
        <v>9786</v>
      </c>
      <c r="G95" s="861" t="s">
        <v>18521</v>
      </c>
      <c r="H95" s="861" t="s">
        <v>18522</v>
      </c>
      <c r="I95" s="775" t="str">
        <f>HYPERLINK("https://www.google.com/maps/search/Museu%20do%20Volfr%C3%A2mio%20de%20Cerva%20Cerva%2C%20Ribeira%20de%20Pena%2C%20Vila%20Real%20Portugal","📍 Museu do Volfrâmio de Cerva")</f>
        <v>📍 Museu do Volfrâmio de Cerva</v>
      </c>
      <c r="J95" s="1635" t="s">
        <v>24486</v>
      </c>
    </row>
    <row r="96" spans="1:10" ht="60" customHeight="1" x14ac:dyDescent="0.35">
      <c r="A96" s="862">
        <v>82</v>
      </c>
      <c r="B96" s="863" t="s">
        <v>18523</v>
      </c>
      <c r="C96" s="864" t="s">
        <v>792</v>
      </c>
      <c r="D96" s="865" t="s">
        <v>3082</v>
      </c>
      <c r="E96" s="865" t="s">
        <v>3082</v>
      </c>
      <c r="F96" s="865" t="s">
        <v>18524</v>
      </c>
      <c r="G96" s="866" t="s">
        <v>18525</v>
      </c>
      <c r="H96" s="866" t="s">
        <v>18526</v>
      </c>
      <c r="I96" s="776" t="str">
        <f>HYPERLINK("https://www.google.com/maps/search/Museu%20FEUP%20Rua%20Dr.%20Roberto%20Frias%2C%20Porto%20Portugal","📍 Museu FEUP")</f>
        <v>📍 Museu FEUP</v>
      </c>
      <c r="J96" s="1636" t="s">
        <v>24487</v>
      </c>
    </row>
    <row r="97" spans="1:10" ht="60" customHeight="1" x14ac:dyDescent="0.35">
      <c r="A97" s="857">
        <v>83</v>
      </c>
      <c r="B97" s="858" t="s">
        <v>18527</v>
      </c>
      <c r="C97" s="859" t="s">
        <v>792</v>
      </c>
      <c r="D97" s="860" t="s">
        <v>3082</v>
      </c>
      <c r="E97" s="860" t="s">
        <v>1970</v>
      </c>
      <c r="F97" s="860" t="s">
        <v>9786</v>
      </c>
      <c r="G97" s="861" t="s">
        <v>18528</v>
      </c>
      <c r="H97" s="861" t="s">
        <v>18529</v>
      </c>
      <c r="I97" s="775" t="str">
        <f>HYPERLINK("https://www.google.com/maps/search/Museu%20Mineiro%20S%C3%A3o%20Pedro%20da%20Cova%20S%C3%A3o%20Pedro%20da%20Cova%2C%20Gondomar%2C%20Porto%20Portugal","📍 Museu Mineiro São Pedro da Cova")</f>
        <v>📍 Museu Mineiro São Pedro da Cova</v>
      </c>
      <c r="J97" s="1635" t="s">
        <v>24488</v>
      </c>
    </row>
    <row r="98" spans="1:10" ht="60" customHeight="1" x14ac:dyDescent="0.35">
      <c r="A98" s="862">
        <v>84</v>
      </c>
      <c r="B98" s="863" t="s">
        <v>4990</v>
      </c>
      <c r="C98" s="864" t="s">
        <v>913</v>
      </c>
      <c r="D98" s="865" t="s">
        <v>913</v>
      </c>
      <c r="E98" s="865" t="s">
        <v>913</v>
      </c>
      <c r="F98" s="865" t="s">
        <v>9786</v>
      </c>
      <c r="G98" s="866" t="s">
        <v>18530</v>
      </c>
      <c r="H98" s="866" t="s">
        <v>18531</v>
      </c>
      <c r="I98" s="776" t="str">
        <f>HYPERLINK("https://www.google.com/maps/search/Museu%20Nacional%20de%20Hist%C3%B3ria%20Natural%20Rua%20da%20Escola%20Polit%C3%A9cnica%2058%2C%20Lisboa%20Portugal","📍 Museu Nacional de História Natural")</f>
        <v>📍 Museu Nacional de História Natural</v>
      </c>
      <c r="J98" s="1636" t="s">
        <v>24489</v>
      </c>
    </row>
    <row r="99" spans="1:10" ht="60" customHeight="1" x14ac:dyDescent="0.35">
      <c r="A99" s="857">
        <v>85</v>
      </c>
      <c r="B99" s="858" t="s">
        <v>18532</v>
      </c>
      <c r="C99" s="859" t="s">
        <v>913</v>
      </c>
      <c r="D99" s="860" t="s">
        <v>913</v>
      </c>
      <c r="E99" s="860" t="s">
        <v>913</v>
      </c>
      <c r="F99" s="860" t="s">
        <v>9786</v>
      </c>
      <c r="G99" s="861" t="s">
        <v>18533</v>
      </c>
      <c r="H99" s="861" t="s">
        <v>18534</v>
      </c>
      <c r="I99" s="775" t="str">
        <f>HYPERLINK("https://www.google.com/maps/search/Museus%20de%20Geoci%C3%AAncias%20IST%20Instituto%20Superior%20T%C3%A9cnico%2C%20Lisboa%20Portugal","📍 Museus de Geociências IST")</f>
        <v>📍 Museus de Geociências IST</v>
      </c>
      <c r="J99" s="1635" t="s">
        <v>24490</v>
      </c>
    </row>
    <row r="100" spans="1:10" ht="60" customHeight="1" x14ac:dyDescent="0.35">
      <c r="A100" s="862">
        <v>86</v>
      </c>
      <c r="B100" s="863" t="s">
        <v>18535</v>
      </c>
      <c r="C100" s="864" t="s">
        <v>792</v>
      </c>
      <c r="D100" s="865" t="s">
        <v>5578</v>
      </c>
      <c r="E100" s="865" t="s">
        <v>4592</v>
      </c>
      <c r="F100" s="865" t="s">
        <v>18475</v>
      </c>
      <c r="G100" s="866" t="s">
        <v>18536</v>
      </c>
      <c r="H100" s="866" t="s">
        <v>18537</v>
      </c>
      <c r="I100" s="776" t="str">
        <f>HYPERLINK("https://www.google.com/maps/search/Parque%20Arqueol%C3%B3gico%20Vale%20do%20Terva%20Boticas%2C%20Vila%20Real%20Portugal","📍 Parque Arqueológico Vale do Terva")</f>
        <v>📍 Parque Arqueológico Vale do Terva</v>
      </c>
      <c r="J100" s="1636" t="s">
        <v>24491</v>
      </c>
    </row>
    <row r="101" spans="1:10" ht="60" customHeight="1" x14ac:dyDescent="0.35">
      <c r="A101" s="857">
        <v>87</v>
      </c>
      <c r="B101" s="858" t="s">
        <v>18538</v>
      </c>
      <c r="C101" s="859" t="s">
        <v>792</v>
      </c>
      <c r="D101" s="860" t="s">
        <v>3082</v>
      </c>
      <c r="E101" s="860" t="s">
        <v>3082</v>
      </c>
      <c r="F101" s="860" t="s">
        <v>18472</v>
      </c>
      <c r="G101" s="861" t="s">
        <v>18539</v>
      </c>
      <c r="H101" s="861" t="s">
        <v>18540</v>
      </c>
      <c r="I101" s="775" t="str">
        <f>HYPERLINK("https://www.google.com/maps/search/Passeio%20Geol%C3%B3gico%20Foz%20do%20Douro%20Foz%20do%20Douro%2C%20Porto%20Portugal","📍 Passeio Geológico Foz do Douro")</f>
        <v>📍 Passeio Geológico Foz do Douro</v>
      </c>
      <c r="J101" s="1635" t="s">
        <v>24492</v>
      </c>
    </row>
    <row r="102" spans="1:10" ht="60" customHeight="1" x14ac:dyDescent="0.35">
      <c r="A102" s="862">
        <v>88</v>
      </c>
      <c r="B102" s="863" t="s">
        <v>18541</v>
      </c>
      <c r="C102" s="864" t="s">
        <v>853</v>
      </c>
      <c r="D102" s="865" t="s">
        <v>1412</v>
      </c>
      <c r="E102" s="865" t="s">
        <v>12812</v>
      </c>
      <c r="F102" s="865" t="s">
        <v>18472</v>
      </c>
      <c r="G102" s="866" t="s">
        <v>18542</v>
      </c>
      <c r="H102" s="866" t="s">
        <v>18543</v>
      </c>
      <c r="I102" s="776" t="str">
        <f>HYPERLINK("https://www.google.com/maps/search/Rota%20do%20M%C3%A1rmore%20Estremoz%2C%20Borba%2C%20Vila%20Vi%C3%A7osa%2C%20%C3%89vora%20Portugal","📍 Rota do Mármore")</f>
        <v>📍 Rota do Mármore</v>
      </c>
      <c r="J102" s="1636" t="s">
        <v>24493</v>
      </c>
    </row>
    <row r="103" spans="1:10" ht="60" customHeight="1" x14ac:dyDescent="0.35">
      <c r="A103" s="857">
        <v>89</v>
      </c>
      <c r="B103" s="858" t="s">
        <v>18544</v>
      </c>
      <c r="C103" s="859" t="s">
        <v>792</v>
      </c>
      <c r="D103" s="860" t="s">
        <v>1784</v>
      </c>
      <c r="E103" s="860" t="s">
        <v>1786</v>
      </c>
      <c r="F103" s="860" t="s">
        <v>18472</v>
      </c>
      <c r="G103" s="861" t="s">
        <v>18545</v>
      </c>
      <c r="H103" s="861" t="s">
        <v>18546</v>
      </c>
      <c r="I103" s="775" t="str">
        <f>HYPERLINK("https://www.google.com/maps/search/Terras%20de%20Cavaleiros%20Geoparque%20Macedo%20de%20Cavaleiros%2C%20Bragan%C3%A7a%20Portugal","📍 Terras de Cavaleiros Geoparque")</f>
        <v>📍 Terras de Cavaleiros Geoparque</v>
      </c>
      <c r="J103" s="1635" t="s">
        <v>24494</v>
      </c>
    </row>
    <row r="104" spans="1:10" ht="60" customHeight="1" x14ac:dyDescent="0.35">
      <c r="A104" s="862">
        <v>90</v>
      </c>
      <c r="B104" s="863" t="s">
        <v>18547</v>
      </c>
      <c r="C104" s="864" t="s">
        <v>853</v>
      </c>
      <c r="D104" s="865" t="s">
        <v>1233</v>
      </c>
      <c r="E104" s="865" t="s">
        <v>1233</v>
      </c>
      <c r="F104" s="865" t="s">
        <v>18472</v>
      </c>
      <c r="G104" s="866" t="s">
        <v>18548</v>
      </c>
      <c r="H104" s="866" t="s">
        <v>1233</v>
      </c>
      <c r="I104" s="776" t="str">
        <f>HYPERLINK("https://www.google.com/maps/search/Trilho%20Geol%C3%B3gico%20de%20Beja%20Beja%20Portugal","📍 Trilho Geológico de Beja")</f>
        <v>📍 Trilho Geológico de Beja</v>
      </c>
      <c r="J104" s="1636" t="s">
        <v>24495</v>
      </c>
    </row>
    <row r="105" spans="1:10" ht="60" customHeight="1" x14ac:dyDescent="0.35">
      <c r="A105" s="857"/>
      <c r="B105" s="858"/>
      <c r="C105" s="860"/>
      <c r="D105" s="860"/>
      <c r="E105" s="860"/>
      <c r="F105" s="860"/>
      <c r="G105" s="861"/>
      <c r="H105" s="861"/>
      <c r="I105" s="775"/>
    </row>
    <row r="106" spans="1:10" ht="26" customHeight="1" x14ac:dyDescent="0.45">
      <c r="A106" s="1580" t="s">
        <v>18550</v>
      </c>
      <c r="B106" s="1581"/>
      <c r="C106" s="1581"/>
      <c r="D106" s="1581"/>
      <c r="E106" s="1581"/>
      <c r="F106" s="1581"/>
      <c r="G106" s="1581"/>
      <c r="H106" s="1581"/>
      <c r="I106" s="1581"/>
    </row>
  </sheetData>
  <mergeCells count="10">
    <mergeCell ref="A63:I63"/>
    <mergeCell ref="A106:I106"/>
    <mergeCell ref="A1:I1"/>
    <mergeCell ref="A2:I2"/>
    <mergeCell ref="A44:I44"/>
    <mergeCell ref="A18:I18"/>
    <mergeCell ref="A50:I50"/>
    <mergeCell ref="A4:I4"/>
    <mergeCell ref="A35:I35"/>
    <mergeCell ref="A29:I29"/>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AAC0-C265-405C-B2C1-D4AC80B4D2AC}">
  <dimension ref="A1:K291"/>
  <sheetViews>
    <sheetView topLeftCell="C1" workbookViewId="0">
      <pane ySplit="3" topLeftCell="A248" activePane="bottomLeft" state="frozen"/>
      <selection activeCell="G1" sqref="G1"/>
      <selection pane="bottomLeft" activeCell="K288" sqref="K288"/>
    </sheetView>
  </sheetViews>
  <sheetFormatPr defaultRowHeight="14.5" x14ac:dyDescent="0.35"/>
  <cols>
    <col min="1" max="1" width="5.453125" customWidth="1"/>
    <col min="2" max="2" width="36.36328125" customWidth="1"/>
    <col min="3" max="3" width="30.90625" customWidth="1"/>
    <col min="4" max="5" width="18.1796875" customWidth="1"/>
    <col min="6" max="6" width="10" customWidth="1"/>
    <col min="7" max="7" width="12.7265625" customWidth="1"/>
    <col min="8" max="8" width="61.1796875" bestFit="1" customWidth="1"/>
    <col min="9" max="9" width="54.54296875" customWidth="1"/>
    <col min="10" max="10" width="50.453125" bestFit="1" customWidth="1"/>
    <col min="11" max="11" width="36.36328125" customWidth="1"/>
  </cols>
  <sheetData>
    <row r="1" spans="1:11" ht="21" x14ac:dyDescent="0.55000000000000004">
      <c r="A1" s="1593" t="s">
        <v>16559</v>
      </c>
      <c r="B1" s="1593"/>
      <c r="C1" s="1593"/>
      <c r="D1" s="1593"/>
      <c r="E1" s="1593"/>
      <c r="F1" s="1593"/>
      <c r="G1" s="1593"/>
      <c r="H1" s="1593"/>
      <c r="I1" s="1593"/>
      <c r="J1" s="1593"/>
      <c r="K1" s="1593"/>
    </row>
    <row r="2" spans="1:11" ht="15" x14ac:dyDescent="0.4">
      <c r="A2" s="1594" t="s">
        <v>16560</v>
      </c>
      <c r="B2" s="1594"/>
      <c r="C2" s="1594"/>
      <c r="D2" s="1594"/>
      <c r="E2" s="1594"/>
      <c r="F2" s="1594"/>
      <c r="G2" s="1594"/>
      <c r="H2" s="1594"/>
      <c r="I2" s="1594"/>
      <c r="J2" s="1594"/>
      <c r="K2" s="1594"/>
    </row>
    <row r="3" spans="1:11" ht="16" x14ac:dyDescent="0.45">
      <c r="A3" s="389" t="s">
        <v>141</v>
      </c>
      <c r="B3" s="389" t="s">
        <v>785</v>
      </c>
      <c r="C3" s="389" t="s">
        <v>2259</v>
      </c>
      <c r="D3" s="389" t="s">
        <v>16561</v>
      </c>
      <c r="E3" s="389" t="s">
        <v>16562</v>
      </c>
      <c r="F3" s="389" t="s">
        <v>16563</v>
      </c>
      <c r="G3" s="389" t="s">
        <v>620</v>
      </c>
      <c r="H3" s="389" t="s">
        <v>908</v>
      </c>
      <c r="I3" s="389" t="s">
        <v>8</v>
      </c>
      <c r="J3" s="389" t="s">
        <v>16564</v>
      </c>
      <c r="K3" s="389" t="s">
        <v>789</v>
      </c>
    </row>
    <row r="4" spans="1:11" ht="16.5" x14ac:dyDescent="0.45">
      <c r="A4" s="1595" t="s">
        <v>16565</v>
      </c>
      <c r="B4" s="1595"/>
      <c r="C4" s="1595"/>
      <c r="D4" s="1595"/>
      <c r="E4" s="1595"/>
      <c r="F4" s="1595"/>
      <c r="G4" s="1595"/>
      <c r="H4" s="1595"/>
      <c r="I4" s="1595"/>
      <c r="J4" s="1595"/>
      <c r="K4" s="1595"/>
    </row>
    <row r="5" spans="1:11" ht="20" customHeight="1" x14ac:dyDescent="0.4">
      <c r="A5" s="390">
        <v>1</v>
      </c>
      <c r="B5" s="391" t="s">
        <v>6331</v>
      </c>
      <c r="C5" s="392" t="s">
        <v>16573</v>
      </c>
      <c r="D5" s="393" t="s">
        <v>23680</v>
      </c>
      <c r="E5" s="393" t="s">
        <v>23877</v>
      </c>
      <c r="F5" s="390" t="s">
        <v>16574</v>
      </c>
      <c r="G5" s="393" t="s">
        <v>16575</v>
      </c>
      <c r="H5" s="394" t="s">
        <v>16576</v>
      </c>
      <c r="I5" s="394" t="s">
        <v>16577</v>
      </c>
      <c r="J5" s="394" t="s">
        <v>16578</v>
      </c>
      <c r="K5" s="462" t="str">
        <f>HYPERLINK("https://www.google.com/maps/dir/?api=1&amp;origin=41.9739,-8.3736&amp;destination=41.8465,-8.4182&amp;travelmode=walking","🗺 Ecovia do Vez")</f>
        <v>🗺 Ecovia do Vez</v>
      </c>
    </row>
    <row r="6" spans="1:11" ht="20" customHeight="1" x14ac:dyDescent="0.4">
      <c r="A6" s="395">
        <v>2</v>
      </c>
      <c r="B6" s="396" t="s">
        <v>16579</v>
      </c>
      <c r="C6" s="397" t="s">
        <v>16573</v>
      </c>
      <c r="D6" s="398" t="s">
        <v>23680</v>
      </c>
      <c r="E6" s="398" t="s">
        <v>23878</v>
      </c>
      <c r="F6" s="395" t="s">
        <v>16580</v>
      </c>
      <c r="G6" s="398" t="s">
        <v>16581</v>
      </c>
      <c r="H6" s="399" t="s">
        <v>16582</v>
      </c>
      <c r="I6" s="399" t="s">
        <v>16583</v>
      </c>
      <c r="J6" s="399" t="s">
        <v>16584</v>
      </c>
      <c r="K6" s="463" t="str">
        <f>HYPERLINK("https://www.google.com/maps/dir/?api=1&amp;origin=41.9739,-8.3736&amp;destination=41.9567,-8.3842&amp;travelmode=walking","🗺 Passadiços do Sistelo")</f>
        <v>🗺 Passadiços do Sistelo</v>
      </c>
    </row>
    <row r="7" spans="1:11" ht="20" customHeight="1" x14ac:dyDescent="0.4">
      <c r="A7" s="390">
        <v>3</v>
      </c>
      <c r="B7" s="391" t="s">
        <v>16585</v>
      </c>
      <c r="C7" s="392" t="s">
        <v>16586</v>
      </c>
      <c r="D7" s="393" t="s">
        <v>23681</v>
      </c>
      <c r="E7" s="393" t="s">
        <v>23879</v>
      </c>
      <c r="F7" s="390" t="s">
        <v>2518</v>
      </c>
      <c r="G7" s="393" t="s">
        <v>13596</v>
      </c>
      <c r="H7" s="394" t="s">
        <v>16587</v>
      </c>
      <c r="I7" s="394" t="s">
        <v>16588</v>
      </c>
      <c r="J7" s="394" t="s">
        <v>16589</v>
      </c>
      <c r="K7" s="462" t="str">
        <f>HYPERLINK("https://www.google.com/maps/dir/?api=1&amp;origin=41.9412,-8.7456&amp;destination=42.0792,-8.4831&amp;travelmode=walking","🗺 Ecopista do Rio Minho")</f>
        <v>🗺 Ecopista do Rio Minho</v>
      </c>
    </row>
    <row r="8" spans="1:11" ht="20" customHeight="1" x14ac:dyDescent="0.4">
      <c r="A8" s="395">
        <v>4</v>
      </c>
      <c r="B8" s="396" t="s">
        <v>16590</v>
      </c>
      <c r="C8" s="397" t="s">
        <v>1149</v>
      </c>
      <c r="D8" s="398" t="s">
        <v>23682</v>
      </c>
      <c r="E8" s="398" t="s">
        <v>23880</v>
      </c>
      <c r="F8" s="395" t="s">
        <v>2296</v>
      </c>
      <c r="G8" s="398" t="s">
        <v>16575</v>
      </c>
      <c r="H8" s="399" t="s">
        <v>16591</v>
      </c>
      <c r="I8" s="399" t="s">
        <v>16592</v>
      </c>
      <c r="J8" s="399" t="s">
        <v>16593</v>
      </c>
      <c r="K8" s="463" t="str">
        <f>HYPERLINK("https://www.google.com/maps/dir/?api=1&amp;origin=41.6811,-8.8295&amp;destination=41.6111,-8.7912&amp;travelmode=walking","🗺 Ecovia do Litoral Sul")</f>
        <v>🗺 Ecovia do Litoral Sul</v>
      </c>
    </row>
    <row r="9" spans="1:11" ht="20" customHeight="1" x14ac:dyDescent="0.4">
      <c r="A9" s="390">
        <v>5</v>
      </c>
      <c r="B9" s="391" t="s">
        <v>16594</v>
      </c>
      <c r="C9" s="392" t="s">
        <v>16595</v>
      </c>
      <c r="D9" s="393" t="s">
        <v>23683</v>
      </c>
      <c r="E9" s="393" t="s">
        <v>23683</v>
      </c>
      <c r="F9" s="390" t="s">
        <v>2868</v>
      </c>
      <c r="G9" s="393" t="s">
        <v>16581</v>
      </c>
      <c r="H9" s="394" t="s">
        <v>16596</v>
      </c>
      <c r="I9" s="394" t="s">
        <v>16597</v>
      </c>
      <c r="J9" s="394" t="s">
        <v>16598</v>
      </c>
      <c r="K9" s="462" t="str">
        <f>HYPERLINK("https://www.google.com/maps/search/Passadi%C3%A7os%20das%20Lagoas%20de%20Bertiandos/@41.7618,-8.6315,15z","🗺 Passadiços Lagoas Bertiandos")</f>
        <v>🗺 Passadiços Lagoas Bertiandos</v>
      </c>
    </row>
    <row r="10" spans="1:11" ht="20" customHeight="1" x14ac:dyDescent="0.4">
      <c r="A10" s="395">
        <v>6</v>
      </c>
      <c r="B10" s="396" t="s">
        <v>16599</v>
      </c>
      <c r="C10" s="397" t="s">
        <v>16600</v>
      </c>
      <c r="D10" s="398" t="s">
        <v>23684</v>
      </c>
      <c r="E10" s="398" t="s">
        <v>23881</v>
      </c>
      <c r="F10" s="395" t="s">
        <v>2845</v>
      </c>
      <c r="G10" s="398" t="s">
        <v>16575</v>
      </c>
      <c r="H10" s="399" t="s">
        <v>16601</v>
      </c>
      <c r="I10" s="399" t="s">
        <v>16602</v>
      </c>
      <c r="J10" s="399" t="s">
        <v>16603</v>
      </c>
      <c r="K10" s="463" t="str">
        <f>HYPERLINK("https://www.google.com/maps/dir/?api=1&amp;origin=41.8083,-8.4208&amp;destination=41.8152,-8.4550&amp;travelmode=walking","🗺 Ecovia das Laranjas")</f>
        <v>🗺 Ecovia das Laranjas</v>
      </c>
    </row>
    <row r="11" spans="1:11" ht="20" customHeight="1" x14ac:dyDescent="0.4">
      <c r="A11" s="390">
        <v>7</v>
      </c>
      <c r="B11" s="391" t="s">
        <v>16604</v>
      </c>
      <c r="C11" s="392" t="s">
        <v>16605</v>
      </c>
      <c r="D11" s="393" t="s">
        <v>23685</v>
      </c>
      <c r="E11" s="393" t="s">
        <v>23686</v>
      </c>
      <c r="F11" s="390" t="s">
        <v>16580</v>
      </c>
      <c r="G11" s="393" t="s">
        <v>16581</v>
      </c>
      <c r="H11" s="394" t="s">
        <v>16606</v>
      </c>
      <c r="I11" s="394" t="s">
        <v>16607</v>
      </c>
      <c r="J11" s="394" t="s">
        <v>16608</v>
      </c>
      <c r="K11" s="462" t="str">
        <f>HYPERLINK("https://www.google.com/maps/dir/?api=1&amp;origin=41.8744,-8.8475&amp;destination=41.8595,-8.8525&amp;travelmode=walking","🗺 Passadiço de Caminha")</f>
        <v>🗺 Passadiço de Caminha</v>
      </c>
    </row>
    <row r="12" spans="1:11" ht="20" customHeight="1" x14ac:dyDescent="0.4">
      <c r="A12" s="395">
        <v>8</v>
      </c>
      <c r="B12" s="396" t="s">
        <v>16609</v>
      </c>
      <c r="C12" s="397" t="s">
        <v>16605</v>
      </c>
      <c r="D12" s="398" t="s">
        <v>23686</v>
      </c>
      <c r="E12" s="398" t="s">
        <v>23882</v>
      </c>
      <c r="F12" s="395" t="s">
        <v>16610</v>
      </c>
      <c r="G12" s="398" t="s">
        <v>16575</v>
      </c>
      <c r="H12" s="399" t="s">
        <v>16611</v>
      </c>
      <c r="I12" s="399" t="s">
        <v>16612</v>
      </c>
      <c r="J12" s="399" t="s">
        <v>16613</v>
      </c>
      <c r="K12" s="463" t="str">
        <f>HYPERLINK("https://www.google.com/maps/dir/?api=1&amp;origin=41.8595,-8.8525&amp;destination=41.8480,-8.8650&amp;travelmode=walking","🗺 Ecovia de Cristelo")</f>
        <v>🗺 Ecovia de Cristelo</v>
      </c>
    </row>
    <row r="13" spans="1:11" ht="20" customHeight="1" x14ac:dyDescent="0.4">
      <c r="A13" s="390">
        <v>9</v>
      </c>
      <c r="B13" s="391" t="s">
        <v>16614</v>
      </c>
      <c r="C13" s="392" t="s">
        <v>1552</v>
      </c>
      <c r="D13" s="393" t="s">
        <v>23687</v>
      </c>
      <c r="E13" s="393" t="s">
        <v>23883</v>
      </c>
      <c r="F13" s="390" t="s">
        <v>2845</v>
      </c>
      <c r="G13" s="393" t="s">
        <v>16581</v>
      </c>
      <c r="H13" s="394" t="s">
        <v>16615</v>
      </c>
      <c r="I13" s="394" t="s">
        <v>16616</v>
      </c>
      <c r="J13" s="394" t="s">
        <v>16617</v>
      </c>
      <c r="K13" s="462" t="str">
        <f>HYPERLINK("https://www.google.com/maps/dir/?api=1&amp;origin=41.5472,-8.4312&amp;destination=41.5285,-8.4485&amp;travelmode=walking","🗺 Passadiços do Rio Este")</f>
        <v>🗺 Passadiços do Rio Este</v>
      </c>
    </row>
    <row r="14" spans="1:11" ht="20" customHeight="1" x14ac:dyDescent="0.4">
      <c r="A14" s="395">
        <v>10</v>
      </c>
      <c r="B14" s="396" t="s">
        <v>16618</v>
      </c>
      <c r="C14" s="397" t="s">
        <v>16619</v>
      </c>
      <c r="D14" s="398" t="s">
        <v>23688</v>
      </c>
      <c r="E14" s="398" t="s">
        <v>23884</v>
      </c>
      <c r="F14" s="395" t="s">
        <v>2283</v>
      </c>
      <c r="G14" s="398" t="s">
        <v>16575</v>
      </c>
      <c r="H14" s="399" t="s">
        <v>16620</v>
      </c>
      <c r="I14" s="399" t="s">
        <v>16621</v>
      </c>
      <c r="J14" s="399" t="s">
        <v>16622</v>
      </c>
      <c r="K14" s="463" t="str">
        <f>HYPERLINK("https://www.google.com/maps/dir/?api=1&amp;origin=41.5332,-8.7811&amp;destination=41.4842,-8.7734&amp;travelmode=walking","🗺 Ecovia de Esposende")</f>
        <v>🗺 Ecovia de Esposende</v>
      </c>
    </row>
    <row r="15" spans="1:11" ht="20" customHeight="1" x14ac:dyDescent="0.4">
      <c r="A15" s="390">
        <v>11</v>
      </c>
      <c r="B15" s="391" t="s">
        <v>16623</v>
      </c>
      <c r="C15" s="392" t="s">
        <v>16624</v>
      </c>
      <c r="D15" s="393" t="s">
        <v>23689</v>
      </c>
      <c r="E15" s="393" t="s">
        <v>23885</v>
      </c>
      <c r="F15" s="390" t="s">
        <v>2311</v>
      </c>
      <c r="G15" s="393" t="s">
        <v>13596</v>
      </c>
      <c r="H15" s="394" t="s">
        <v>16625</v>
      </c>
      <c r="I15" s="394" t="s">
        <v>16626</v>
      </c>
      <c r="J15" s="394" t="s">
        <v>16627</v>
      </c>
      <c r="K15" s="462" t="str">
        <f>HYPERLINK("https://www.google.com/maps/dir/?api=1&amp;origin=41.4444,-8.2965&amp;destination=41.4111,-8.2412&amp;travelmode=walking","🗺 Ecopista de Guimarães")</f>
        <v>🗺 Ecopista de Guimarães</v>
      </c>
    </row>
    <row r="16" spans="1:11" ht="20" customHeight="1" x14ac:dyDescent="0.4">
      <c r="A16" s="395">
        <v>12</v>
      </c>
      <c r="B16" s="396" t="s">
        <v>16628</v>
      </c>
      <c r="C16" s="397" t="s">
        <v>16629</v>
      </c>
      <c r="D16" s="398" t="s">
        <v>23690</v>
      </c>
      <c r="E16" s="398" t="s">
        <v>23886</v>
      </c>
      <c r="F16" s="395" t="s">
        <v>16610</v>
      </c>
      <c r="G16" s="398" t="s">
        <v>16581</v>
      </c>
      <c r="H16" s="399" t="s">
        <v>16630</v>
      </c>
      <c r="I16" s="399" t="s">
        <v>16631</v>
      </c>
      <c r="J16" s="399" t="s">
        <v>16632</v>
      </c>
      <c r="K16" s="463" t="str">
        <f>HYPERLINK("https://www.google.com/maps/dir/?api=1&amp;origin=41.3745,-8.3111&amp;destination=41.3685,-8.3050&amp;travelmode=walking","🗺 Passadiços de Vizela")</f>
        <v>🗺 Passadiços de Vizela</v>
      </c>
    </row>
    <row r="17" spans="1:11" ht="20" customHeight="1" x14ac:dyDescent="0.4">
      <c r="A17" s="390">
        <v>13</v>
      </c>
      <c r="B17" s="391" t="s">
        <v>16633</v>
      </c>
      <c r="C17" s="392" t="s">
        <v>16634</v>
      </c>
      <c r="D17" s="393" t="s">
        <v>23691</v>
      </c>
      <c r="E17" s="393" t="s">
        <v>23887</v>
      </c>
      <c r="F17" s="390" t="s">
        <v>16635</v>
      </c>
      <c r="G17" s="393" t="s">
        <v>16581</v>
      </c>
      <c r="H17" s="394" t="s">
        <v>16636</v>
      </c>
      <c r="I17" s="394" t="s">
        <v>16637</v>
      </c>
      <c r="J17" s="394" t="s">
        <v>16638</v>
      </c>
      <c r="K17" s="462" t="str">
        <f>HYPERLINK("https://www.google.com/maps/dir/?api=1&amp;origin=41.7188,-8.3125&amp;destination=41.7250,-8.3055&amp;travelmode=walking","🗺 Passadiço de Terras de Bouro")</f>
        <v>🗺 Passadiço de Terras de Bouro</v>
      </c>
    </row>
    <row r="18" spans="1:11" ht="20" customHeight="1" x14ac:dyDescent="0.4">
      <c r="A18" s="395">
        <v>14</v>
      </c>
      <c r="B18" s="396" t="s">
        <v>16639</v>
      </c>
      <c r="C18" s="397" t="s">
        <v>16640</v>
      </c>
      <c r="D18" s="398" t="s">
        <v>23692</v>
      </c>
      <c r="E18" s="398" t="s">
        <v>23888</v>
      </c>
      <c r="F18" s="395" t="s">
        <v>16580</v>
      </c>
      <c r="G18" s="398" t="s">
        <v>16581</v>
      </c>
      <c r="H18" s="399" t="s">
        <v>16641</v>
      </c>
      <c r="I18" s="399" t="s">
        <v>16642</v>
      </c>
      <c r="J18" s="399" t="s">
        <v>16643</v>
      </c>
      <c r="K18" s="463" t="str">
        <f>HYPERLINK("https://www.google.com/maps/dir/?api=1&amp;origin=41.4113,-8.5147&amp;destination=41.4055,-8.5201&amp;travelmode=walking","🗺 Passadiços do Rio Febros")</f>
        <v>🗺 Passadiços do Rio Febros</v>
      </c>
    </row>
    <row r="19" spans="1:11" ht="20" customHeight="1" x14ac:dyDescent="0.4">
      <c r="A19" s="390">
        <v>15</v>
      </c>
      <c r="B19" s="391" t="s">
        <v>16644</v>
      </c>
      <c r="C19" s="392" t="s">
        <v>16645</v>
      </c>
      <c r="D19" s="393" t="s">
        <v>23693</v>
      </c>
      <c r="E19" s="393" t="s">
        <v>23889</v>
      </c>
      <c r="F19" s="390" t="s">
        <v>2845</v>
      </c>
      <c r="G19" s="393" t="s">
        <v>16575</v>
      </c>
      <c r="H19" s="394" t="s">
        <v>16646</v>
      </c>
      <c r="I19" s="394" t="s">
        <v>16647</v>
      </c>
      <c r="J19" s="394" t="s">
        <v>16648</v>
      </c>
      <c r="K19" s="462" t="str">
        <f>HYPERLINK("https://www.google.com/maps/dir/?api=1&amp;origin=41.6315,-8.4522&amp;destination=41.6150,-8.4811&amp;travelmode=walking","🗺 Ecovia de Vila Verde")</f>
        <v>🗺 Ecovia de Vila Verde</v>
      </c>
    </row>
    <row r="20" spans="1:11" ht="20" customHeight="1" x14ac:dyDescent="0.4">
      <c r="A20" s="395">
        <v>16</v>
      </c>
      <c r="B20" s="396" t="s">
        <v>6280</v>
      </c>
      <c r="C20" s="397" t="s">
        <v>16649</v>
      </c>
      <c r="D20" s="398" t="s">
        <v>23694</v>
      </c>
      <c r="E20" s="398" t="s">
        <v>23890</v>
      </c>
      <c r="F20" s="395" t="s">
        <v>2296</v>
      </c>
      <c r="G20" s="398" t="s">
        <v>16581</v>
      </c>
      <c r="H20" s="399" t="s">
        <v>16650</v>
      </c>
      <c r="I20" s="399" t="s">
        <v>16651</v>
      </c>
      <c r="J20" s="399" t="s">
        <v>16652</v>
      </c>
      <c r="K20" s="463" t="str">
        <f>HYPERLINK("https://www.google.com/maps/dir/?api=1&amp;origin=40.9526,-8.1758&amp;destination=40.9929,-8.2114&amp;travelmode=walking","🗺 Passadiços do Paiva")</f>
        <v>🗺 Passadiços do Paiva</v>
      </c>
    </row>
    <row r="21" spans="1:11" ht="20" customHeight="1" x14ac:dyDescent="0.4">
      <c r="A21" s="390">
        <v>17</v>
      </c>
      <c r="B21" s="391" t="s">
        <v>16653</v>
      </c>
      <c r="C21" s="392" t="s">
        <v>16654</v>
      </c>
      <c r="D21" s="393" t="s">
        <v>23695</v>
      </c>
      <c r="E21" s="393" t="s">
        <v>23891</v>
      </c>
      <c r="F21" s="390" t="s">
        <v>2318</v>
      </c>
      <c r="G21" s="393" t="s">
        <v>16581</v>
      </c>
      <c r="H21" s="394" t="s">
        <v>16655</v>
      </c>
      <c r="I21" s="394" t="s">
        <v>16656</v>
      </c>
      <c r="J21" s="394" t="s">
        <v>16657</v>
      </c>
      <c r="K21" s="462" t="str">
        <f>HYPERLINK("https://www.google.com/maps/dir/?api=1&amp;origin=41.1394,-8.6655&amp;destination=41.0083,-8.6447&amp;travelmode=walking","🗺 Passadiços de Gaia")</f>
        <v>🗺 Passadiços de Gaia</v>
      </c>
    </row>
    <row r="22" spans="1:11" ht="20" customHeight="1" x14ac:dyDescent="0.4">
      <c r="A22" s="395">
        <v>18</v>
      </c>
      <c r="B22" s="396" t="s">
        <v>16658</v>
      </c>
      <c r="C22" s="397" t="s">
        <v>16654</v>
      </c>
      <c r="D22" s="398" t="s">
        <v>23696</v>
      </c>
      <c r="E22" s="398" t="s">
        <v>23892</v>
      </c>
      <c r="F22" s="395" t="s">
        <v>2868</v>
      </c>
      <c r="G22" s="398" t="s">
        <v>16581</v>
      </c>
      <c r="H22" s="399" t="s">
        <v>16659</v>
      </c>
      <c r="I22" s="399" t="s">
        <v>16660</v>
      </c>
      <c r="J22" s="399" t="s">
        <v>16661</v>
      </c>
      <c r="K22" s="463" t="str">
        <f>HYPERLINK("https://www.google.com/maps/dir/?api=1&amp;origin=41.0631,-8.6578&amp;destination=41.0450,-8.6550&amp;travelmode=walking","🗺 Passadiços de Arcozelo")</f>
        <v>🗺 Passadiços de Arcozelo</v>
      </c>
    </row>
    <row r="23" spans="1:11" ht="20" customHeight="1" x14ac:dyDescent="0.4">
      <c r="A23" s="390">
        <v>19</v>
      </c>
      <c r="B23" s="391" t="s">
        <v>16662</v>
      </c>
      <c r="C23" s="392" t="s">
        <v>16663</v>
      </c>
      <c r="D23" s="393" t="s">
        <v>23697</v>
      </c>
      <c r="E23" s="393" t="s">
        <v>23893</v>
      </c>
      <c r="F23" s="390" t="s">
        <v>16664</v>
      </c>
      <c r="G23" s="393" t="s">
        <v>16581</v>
      </c>
      <c r="H23" s="394" t="s">
        <v>16665</v>
      </c>
      <c r="I23" s="394" t="s">
        <v>16666</v>
      </c>
      <c r="J23" s="394" t="s">
        <v>16667</v>
      </c>
      <c r="K23" s="462" t="str">
        <f>HYPERLINK("https://www.google.com/maps/dir/?api=1&amp;origin=41.3361,-8.4736&amp;destination=41.3280,-8.4850&amp;travelmode=walking","🗺 Passadiços do Rio Ave")</f>
        <v>🗺 Passadiços do Rio Ave</v>
      </c>
    </row>
    <row r="24" spans="1:11" ht="20" customHeight="1" x14ac:dyDescent="0.4">
      <c r="A24" s="395">
        <v>20</v>
      </c>
      <c r="B24" s="396" t="s">
        <v>16668</v>
      </c>
      <c r="C24" s="397" t="s">
        <v>16669</v>
      </c>
      <c r="D24" s="398" t="s">
        <v>23698</v>
      </c>
      <c r="E24" s="398" t="s">
        <v>23894</v>
      </c>
      <c r="F24" s="395" t="s">
        <v>2868</v>
      </c>
      <c r="G24" s="398" t="s">
        <v>16581</v>
      </c>
      <c r="H24" s="399" t="s">
        <v>16670</v>
      </c>
      <c r="I24" s="399" t="s">
        <v>16671</v>
      </c>
      <c r="J24" s="399" t="s">
        <v>16672</v>
      </c>
      <c r="K24" s="463" t="str">
        <f>HYPERLINK("https://www.google.com/maps/dir/?api=1&amp;origin=41.3411,-8.7455&amp;destination=41.3211,-8.7350&amp;travelmode=walking","🗺 Passadiços de Vila do Conde")</f>
        <v>🗺 Passadiços de Vila do Conde</v>
      </c>
    </row>
    <row r="25" spans="1:11" ht="20" customHeight="1" x14ac:dyDescent="0.4">
      <c r="A25" s="390">
        <v>21</v>
      </c>
      <c r="B25" s="391" t="s">
        <v>16673</v>
      </c>
      <c r="C25" s="392" t="s">
        <v>16654</v>
      </c>
      <c r="D25" s="393" t="s">
        <v>23699</v>
      </c>
      <c r="E25" s="393" t="s">
        <v>23895</v>
      </c>
      <c r="F25" s="390" t="s">
        <v>16580</v>
      </c>
      <c r="G25" s="393" t="s">
        <v>16581</v>
      </c>
      <c r="H25" s="394" t="s">
        <v>16674</v>
      </c>
      <c r="I25" s="394" t="s">
        <v>16675</v>
      </c>
      <c r="J25" s="394" t="s">
        <v>16676</v>
      </c>
      <c r="K25" s="462" t="str">
        <f>HYPERLINK("https://www.google.com/maps/dir/?api=1&amp;origin=41.0475,-8.6541&amp;destination=41.0312,-8.6520&amp;travelmode=walking","🗺 Passadiços da Aguda")</f>
        <v>🗺 Passadiços da Aguda</v>
      </c>
    </row>
    <row r="26" spans="1:11" ht="20" customHeight="1" x14ac:dyDescent="0.4">
      <c r="A26" s="395">
        <v>22</v>
      </c>
      <c r="B26" s="396" t="s">
        <v>16677</v>
      </c>
      <c r="C26" s="397" t="s">
        <v>16678</v>
      </c>
      <c r="D26" s="398" t="s">
        <v>23700</v>
      </c>
      <c r="E26" s="398" t="s">
        <v>23896</v>
      </c>
      <c r="F26" s="395" t="s">
        <v>2868</v>
      </c>
      <c r="G26" s="398" t="s">
        <v>16581</v>
      </c>
      <c r="H26" s="399" t="s">
        <v>16679</v>
      </c>
      <c r="I26" s="399" t="s">
        <v>16680</v>
      </c>
      <c r="J26" s="399" t="s">
        <v>16681</v>
      </c>
      <c r="K26" s="463" t="str">
        <f>HYPERLINK("https://www.google.com/maps/dir/?api=1&amp;origin=41.1855,-8.4950&amp;destination=41.1711,-8.4811&amp;travelmode=walking","🗺 Passadiços de Valongo")</f>
        <v>🗺 Passadiços de Valongo</v>
      </c>
    </row>
    <row r="27" spans="1:11" ht="20" customHeight="1" x14ac:dyDescent="0.4">
      <c r="A27" s="390">
        <v>23</v>
      </c>
      <c r="B27" s="391" t="s">
        <v>16682</v>
      </c>
      <c r="C27" s="392" t="s">
        <v>16683</v>
      </c>
      <c r="D27" s="393" t="s">
        <v>23701</v>
      </c>
      <c r="E27" s="393" t="s">
        <v>23897</v>
      </c>
      <c r="F27" s="390" t="s">
        <v>16580</v>
      </c>
      <c r="G27" s="393" t="s">
        <v>16575</v>
      </c>
      <c r="H27" s="394" t="s">
        <v>16684</v>
      </c>
      <c r="I27" s="394" t="s">
        <v>16685</v>
      </c>
      <c r="J27" s="394" t="s">
        <v>16686</v>
      </c>
      <c r="K27" s="462" t="str">
        <f>HYPERLINK("https://www.google.com/maps/dir/?api=1&amp;origin=41.2750,-8.3811&amp;destination=41.2611,-8.3950&amp;travelmode=walking","🗺 Ecovia do Rio Ferreira")</f>
        <v>🗺 Ecovia do Rio Ferreira</v>
      </c>
    </row>
    <row r="28" spans="1:11" ht="20" customHeight="1" x14ac:dyDescent="0.4">
      <c r="A28" s="395">
        <v>24</v>
      </c>
      <c r="B28" s="396" t="s">
        <v>16687</v>
      </c>
      <c r="C28" s="397" t="s">
        <v>16688</v>
      </c>
      <c r="D28" s="398" t="s">
        <v>23702</v>
      </c>
      <c r="E28" s="398" t="s">
        <v>23898</v>
      </c>
      <c r="F28" s="395" t="s">
        <v>16610</v>
      </c>
      <c r="G28" s="398" t="s">
        <v>16581</v>
      </c>
      <c r="H28" s="399" t="s">
        <v>16689</v>
      </c>
      <c r="I28" s="399" t="s">
        <v>16690</v>
      </c>
      <c r="J28" s="399" t="s">
        <v>16691</v>
      </c>
      <c r="K28" s="463" t="str">
        <f>HYPERLINK("https://www.google.com/maps/dir/?api=1&amp;origin=41.0788,-8.2855&amp;destination=41.0850,-8.2911&amp;travelmode=walking","🗺 Passadiços de Entre-os-Rios")</f>
        <v>🗺 Passadiços de Entre-os-Rios</v>
      </c>
    </row>
    <row r="29" spans="1:11" ht="20" customHeight="1" x14ac:dyDescent="0.4">
      <c r="A29" s="390">
        <v>25</v>
      </c>
      <c r="B29" s="391" t="s">
        <v>16692</v>
      </c>
      <c r="C29" s="392" t="s">
        <v>16693</v>
      </c>
      <c r="D29" s="393" t="s">
        <v>23703</v>
      </c>
      <c r="E29" s="393" t="s">
        <v>23899</v>
      </c>
      <c r="F29" s="390" t="s">
        <v>2326</v>
      </c>
      <c r="G29" s="393" t="s">
        <v>16581</v>
      </c>
      <c r="H29" s="394" t="s">
        <v>16694</v>
      </c>
      <c r="I29" s="394" t="s">
        <v>16695</v>
      </c>
      <c r="J29" s="394" t="s">
        <v>16696</v>
      </c>
      <c r="K29" s="462" t="str">
        <f>HYPERLINK("https://www.google.com/maps/dir/?api=1&amp;origin=41.1415,-8.5611&amp;destination=41.1022,-8.5011&amp;travelmode=walking","🗺 Passadiços de Gondomar")</f>
        <v>🗺 Passadiços de Gondomar</v>
      </c>
    </row>
    <row r="30" spans="1:11" ht="20" customHeight="1" x14ac:dyDescent="0.4">
      <c r="A30" s="395">
        <v>26</v>
      </c>
      <c r="B30" s="396" t="s">
        <v>16697</v>
      </c>
      <c r="C30" s="397" t="s">
        <v>16698</v>
      </c>
      <c r="D30" s="398" t="s">
        <v>23704</v>
      </c>
      <c r="E30" s="398" t="s">
        <v>23900</v>
      </c>
      <c r="F30" s="395" t="s">
        <v>16699</v>
      </c>
      <c r="G30" s="398" t="s">
        <v>13596</v>
      </c>
      <c r="H30" s="399" t="s">
        <v>16700</v>
      </c>
      <c r="I30" s="399" t="s">
        <v>16701</v>
      </c>
      <c r="J30" s="399" t="s">
        <v>16702</v>
      </c>
      <c r="K30" s="463" t="str">
        <f>HYPERLINK("https://www.google.com/maps/dir/?api=1&amp;origin=41.2711,-8.0755&amp;destination=41.4811,-8.0122&amp;travelmode=walking","🗺 Ecopista do Tâmega")</f>
        <v>🗺 Ecopista do Tâmega</v>
      </c>
    </row>
    <row r="31" spans="1:11" ht="20" customHeight="1" x14ac:dyDescent="0.4">
      <c r="A31" s="390">
        <v>27</v>
      </c>
      <c r="B31" s="391" t="s">
        <v>16703</v>
      </c>
      <c r="C31" s="392" t="s">
        <v>5578</v>
      </c>
      <c r="D31" s="393" t="s">
        <v>23705</v>
      </c>
      <c r="E31" s="393" t="s">
        <v>23901</v>
      </c>
      <c r="F31" s="390" t="s">
        <v>16610</v>
      </c>
      <c r="G31" s="393" t="s">
        <v>16581</v>
      </c>
      <c r="H31" s="394" t="s">
        <v>16704</v>
      </c>
      <c r="I31" s="394" t="s">
        <v>16705</v>
      </c>
      <c r="J31" s="394" t="s">
        <v>16706</v>
      </c>
      <c r="K31" s="462" t="str">
        <f>HYPERLINK("https://www.google.com/maps/dir/?api=1&amp;origin=41.2911,-7.7411&amp;destination=41.2855,-7.7311&amp;travelmode=walking","🗺 Passadiços do Corgo")</f>
        <v>🗺 Passadiços do Corgo</v>
      </c>
    </row>
    <row r="32" spans="1:11" ht="20" customHeight="1" x14ac:dyDescent="0.4">
      <c r="A32" s="395">
        <v>28</v>
      </c>
      <c r="B32" s="396" t="s">
        <v>16707</v>
      </c>
      <c r="C32" s="397" t="s">
        <v>16708</v>
      </c>
      <c r="D32" s="398" t="s">
        <v>23706</v>
      </c>
      <c r="E32" s="398" t="s">
        <v>23902</v>
      </c>
      <c r="F32" s="395" t="s">
        <v>2845</v>
      </c>
      <c r="G32" s="398" t="s">
        <v>16575</v>
      </c>
      <c r="H32" s="399" t="s">
        <v>16709</v>
      </c>
      <c r="I32" s="399" t="s">
        <v>16710</v>
      </c>
      <c r="J32" s="399" t="s">
        <v>16711</v>
      </c>
      <c r="K32" s="463" t="str">
        <f>HYPERLINK("https://www.google.com/maps/dir/?api=1&amp;origin=41.6055,-7.3111&amp;destination=41.5811,-7.3455&amp;travelmode=walking","🗺 Ecovia do Rabaçal")</f>
        <v>🗺 Ecovia do Rabaçal</v>
      </c>
    </row>
    <row r="33" spans="1:11" ht="20" customHeight="1" x14ac:dyDescent="0.4">
      <c r="A33" s="390">
        <v>29</v>
      </c>
      <c r="B33" s="391" t="s">
        <v>16712</v>
      </c>
      <c r="C33" s="392" t="s">
        <v>16713</v>
      </c>
      <c r="D33" s="393" t="s">
        <v>23707</v>
      </c>
      <c r="E33" s="393" t="s">
        <v>23903</v>
      </c>
      <c r="F33" s="390" t="s">
        <v>16635</v>
      </c>
      <c r="G33" s="393" t="s">
        <v>16581</v>
      </c>
      <c r="H33" s="394" t="s">
        <v>16714</v>
      </c>
      <c r="I33" s="394" t="s">
        <v>16715</v>
      </c>
      <c r="J33" s="394" t="s">
        <v>16716</v>
      </c>
      <c r="K33" s="462" t="str">
        <f>HYPERLINK("https://www.google.com/maps/dir/?api=1&amp;origin=41.1455,-7.5311&amp;destination=41.1511,-7.5255&amp;travelmode=walking","🗺 Passadiços de Alijó")</f>
        <v>🗺 Passadiços de Alijó</v>
      </c>
    </row>
    <row r="34" spans="1:11" ht="20" customHeight="1" x14ac:dyDescent="0.4">
      <c r="A34" s="395">
        <v>30</v>
      </c>
      <c r="B34" s="396" t="s">
        <v>16717</v>
      </c>
      <c r="C34" s="397" t="s">
        <v>16718</v>
      </c>
      <c r="D34" s="398" t="s">
        <v>23708</v>
      </c>
      <c r="E34" s="398" t="s">
        <v>23904</v>
      </c>
      <c r="F34" s="395" t="s">
        <v>2658</v>
      </c>
      <c r="G34" s="398" t="s">
        <v>13596</v>
      </c>
      <c r="H34" s="399" t="s">
        <v>16719</v>
      </c>
      <c r="I34" s="399" t="s">
        <v>16720</v>
      </c>
      <c r="J34" s="399" t="s">
        <v>16721</v>
      </c>
      <c r="K34" s="463" t="str">
        <f>HYPERLINK("https://www.google.com/maps/dir/?api=1&amp;origin=41.1611,-7.1111&amp;destination=41.2411,-7.0111&amp;travelmode=walking","🗺 Ecopista do Sabor")</f>
        <v>🗺 Ecopista do Sabor</v>
      </c>
    </row>
    <row r="35" spans="1:11" ht="20" customHeight="1" x14ac:dyDescent="0.4">
      <c r="A35" s="390">
        <v>31</v>
      </c>
      <c r="B35" s="391" t="s">
        <v>16722</v>
      </c>
      <c r="C35" s="392" t="s">
        <v>16723</v>
      </c>
      <c r="D35" s="393" t="s">
        <v>23709</v>
      </c>
      <c r="E35" s="393" t="s">
        <v>23905</v>
      </c>
      <c r="F35" s="390" t="s">
        <v>16580</v>
      </c>
      <c r="G35" s="393" t="s">
        <v>16581</v>
      </c>
      <c r="H35" s="394" t="s">
        <v>16724</v>
      </c>
      <c r="I35" s="394" t="s">
        <v>16725</v>
      </c>
      <c r="J35" s="394" t="s">
        <v>16726</v>
      </c>
      <c r="K35" s="462" t="str">
        <f>HYPERLINK("https://www.google.com/maps/dir/?api=1&amp;origin=41.5511,-7.1811&amp;destination=41.5622,-7.1950&amp;travelmode=walking","🗺 Passadiços do Tuela")</f>
        <v>🗺 Passadiços do Tuela</v>
      </c>
    </row>
    <row r="36" spans="1:11" ht="20" customHeight="1" x14ac:dyDescent="0.4">
      <c r="A36" s="395">
        <v>32</v>
      </c>
      <c r="B36" s="396" t="s">
        <v>16727</v>
      </c>
      <c r="C36" s="397" t="s">
        <v>1784</v>
      </c>
      <c r="D36" s="398" t="s">
        <v>23710</v>
      </c>
      <c r="E36" s="398" t="s">
        <v>23906</v>
      </c>
      <c r="F36" s="395" t="s">
        <v>16580</v>
      </c>
      <c r="G36" s="398" t="s">
        <v>16575</v>
      </c>
      <c r="H36" s="399" t="s">
        <v>16728</v>
      </c>
      <c r="I36" s="399" t="s">
        <v>16729</v>
      </c>
      <c r="J36" s="399" t="s">
        <v>16730</v>
      </c>
      <c r="K36" s="463" t="str">
        <f>HYPERLINK("https://www.google.com/maps/dir/?api=1&amp;origin=41.8011,-6.7511&amp;destination=41.8155,-6.7411&amp;travelmode=walking","🗺 Ecovia do Rio Fervença")</f>
        <v>🗺 Ecovia do Rio Fervença</v>
      </c>
    </row>
    <row r="37" spans="1:11" ht="20" customHeight="1" x14ac:dyDescent="0.4">
      <c r="A37" s="390">
        <v>33</v>
      </c>
      <c r="B37" s="391" t="s">
        <v>16731</v>
      </c>
      <c r="C37" s="392" t="s">
        <v>16732</v>
      </c>
      <c r="D37" s="393" t="s">
        <v>23711</v>
      </c>
      <c r="E37" s="393" t="s">
        <v>23907</v>
      </c>
      <c r="F37" s="390" t="s">
        <v>16610</v>
      </c>
      <c r="G37" s="393" t="s">
        <v>16581</v>
      </c>
      <c r="H37" s="394" t="s">
        <v>16733</v>
      </c>
      <c r="I37" s="394" t="s">
        <v>16734</v>
      </c>
      <c r="J37" s="394" t="s">
        <v>16735</v>
      </c>
      <c r="K37" s="462" t="str">
        <f>HYPERLINK("https://www.google.com/maps/dir/?api=1&amp;origin=41.3411,-6.7111&amp;destination=41.3322,-6.7011&amp;travelmode=walking","🗺 Passadiços de Mogadouro")</f>
        <v>🗺 Passadiços de Mogadouro</v>
      </c>
    </row>
    <row r="38" spans="1:11" ht="20" customHeight="1" x14ac:dyDescent="0.4">
      <c r="A38" s="395">
        <v>34</v>
      </c>
      <c r="B38" s="396" t="s">
        <v>16736</v>
      </c>
      <c r="C38" s="397" t="s">
        <v>16737</v>
      </c>
      <c r="D38" s="398" t="s">
        <v>23712</v>
      </c>
      <c r="E38" s="398" t="s">
        <v>23712</v>
      </c>
      <c r="F38" s="395" t="s">
        <v>2296</v>
      </c>
      <c r="G38" s="398" t="s">
        <v>16581</v>
      </c>
      <c r="H38" s="399" t="s">
        <v>16738</v>
      </c>
      <c r="I38" s="399" t="s">
        <v>16739</v>
      </c>
      <c r="J38" s="399" t="s">
        <v>16740</v>
      </c>
      <c r="K38" s="463" t="str">
        <f>HYPERLINK("https://www.google.com/maps/search/Passadiços%20da%20Barrinha%20de%20Esmoriz/@40.9511,-8.6411,15z","🗺 Passadiços Barrinha Esmoriz")</f>
        <v>🗺 Passadiços Barrinha Esmoriz</v>
      </c>
    </row>
    <row r="39" spans="1:11" ht="20" customHeight="1" x14ac:dyDescent="0.4">
      <c r="A39" s="390">
        <v>35</v>
      </c>
      <c r="B39" s="391" t="s">
        <v>16741</v>
      </c>
      <c r="C39" s="392" t="s">
        <v>16742</v>
      </c>
      <c r="D39" s="393" t="s">
        <v>23713</v>
      </c>
      <c r="E39" s="393" t="s">
        <v>23908</v>
      </c>
      <c r="F39" s="390" t="s">
        <v>2326</v>
      </c>
      <c r="G39" s="393" t="s">
        <v>16581</v>
      </c>
      <c r="H39" s="394" t="s">
        <v>16743</v>
      </c>
      <c r="I39" s="394" t="s">
        <v>16744</v>
      </c>
      <c r="J39" s="394" t="s">
        <v>16745</v>
      </c>
      <c r="K39" s="462" t="str">
        <f>HYPERLINK("https://www.google.com/maps/dir/?api=1&amp;origin=40.8511,-8.6511&amp;destination=40.8111,-8.6655&amp;travelmode=walking","🗺 Passadiços de Ovar")</f>
        <v>🗺 Passadiços de Ovar</v>
      </c>
    </row>
    <row r="40" spans="1:11" ht="20" customHeight="1" x14ac:dyDescent="0.4">
      <c r="A40" s="395">
        <v>36</v>
      </c>
      <c r="B40" s="396" t="s">
        <v>16746</v>
      </c>
      <c r="C40" s="397" t="s">
        <v>16747</v>
      </c>
      <c r="D40" s="398" t="s">
        <v>23714</v>
      </c>
      <c r="E40" s="398" t="s">
        <v>23909</v>
      </c>
      <c r="F40" s="395" t="s">
        <v>2283</v>
      </c>
      <c r="G40" s="398" t="s">
        <v>13596</v>
      </c>
      <c r="H40" s="399" t="s">
        <v>16748</v>
      </c>
      <c r="I40" s="399" t="s">
        <v>16749</v>
      </c>
      <c r="J40" s="399" t="s">
        <v>16750</v>
      </c>
      <c r="K40" s="463" t="str">
        <f>HYPERLINK("https://www.google.com/maps/dir/?api=1&amp;origin=40.7311,-8.3611&amp;destination=40.7111,-8.3111&amp;travelmode=walking","🗺 Ecopista do Vouga")</f>
        <v>🗺 Ecopista do Vouga</v>
      </c>
    </row>
    <row r="41" spans="1:11" ht="20" customHeight="1" x14ac:dyDescent="0.4">
      <c r="A41" s="390">
        <v>37</v>
      </c>
      <c r="B41" s="391" t="s">
        <v>16751</v>
      </c>
      <c r="C41" s="392" t="s">
        <v>16752</v>
      </c>
      <c r="D41" s="393" t="s">
        <v>23715</v>
      </c>
      <c r="E41" s="393" t="s">
        <v>23910</v>
      </c>
      <c r="F41" s="390" t="s">
        <v>16580</v>
      </c>
      <c r="G41" s="393" t="s">
        <v>16581</v>
      </c>
      <c r="H41" s="394" t="s">
        <v>16753</v>
      </c>
      <c r="I41" s="394" t="s">
        <v>16754</v>
      </c>
      <c r="J41" s="394" t="s">
        <v>16755</v>
      </c>
      <c r="K41" s="462" t="str">
        <f>HYPERLINK("https://www.google.com/maps/dir/?api=1&amp;origin=40.9855,-8.5111&amp;destination=40.9711,-8.5011&amp;travelmode=walking","🗺 Passadiços de Fiães")</f>
        <v>🗺 Passadiços de Fiães</v>
      </c>
    </row>
    <row r="42" spans="1:11" ht="20" customHeight="1" x14ac:dyDescent="0.4">
      <c r="A42" s="395">
        <v>38</v>
      </c>
      <c r="B42" s="396" t="s">
        <v>16756</v>
      </c>
      <c r="C42" s="397" t="s">
        <v>16757</v>
      </c>
      <c r="D42" s="398" t="s">
        <v>23716</v>
      </c>
      <c r="E42" s="398" t="s">
        <v>23911</v>
      </c>
      <c r="F42" s="395" t="s">
        <v>2868</v>
      </c>
      <c r="G42" s="398" t="s">
        <v>16581</v>
      </c>
      <c r="H42" s="399" t="s">
        <v>16758</v>
      </c>
      <c r="I42" s="399" t="s">
        <v>16759</v>
      </c>
      <c r="J42" s="399" t="s">
        <v>16760</v>
      </c>
      <c r="K42" s="463" t="str">
        <f>HYPERLINK("https://www.google.com/maps/dir/?api=1&amp;origin=40.7511,-8.5655&amp;destination=40.7411,-8.5811&amp;travelmode=walking","🗺 Passadiços do Rio Antuã")</f>
        <v>🗺 Passadiços do Rio Antuã</v>
      </c>
    </row>
    <row r="43" spans="1:11" ht="20" customHeight="1" x14ac:dyDescent="0.4">
      <c r="A43" s="390">
        <v>39</v>
      </c>
      <c r="B43" s="391" t="s">
        <v>16761</v>
      </c>
      <c r="C43" s="392" t="s">
        <v>16762</v>
      </c>
      <c r="D43" s="393" t="s">
        <v>23717</v>
      </c>
      <c r="E43" s="393" t="s">
        <v>23912</v>
      </c>
      <c r="F43" s="390" t="s">
        <v>2845</v>
      </c>
      <c r="G43" s="393" t="s">
        <v>16581</v>
      </c>
      <c r="H43" s="394" t="s">
        <v>16763</v>
      </c>
      <c r="I43" s="394" t="s">
        <v>16764</v>
      </c>
      <c r="J43" s="394" t="s">
        <v>16765</v>
      </c>
      <c r="K43" s="462" t="str">
        <f>HYPERLINK("https://www.google.com/maps/dir/?api=1&amp;origin=40.6111,-8.7511&amp;destination=40.5811,-8.7611&amp;travelmode=walking","🗺 Passadiços da Costa Nova")</f>
        <v>🗺 Passadiços da Costa Nova</v>
      </c>
    </row>
    <row r="44" spans="1:11" ht="20" customHeight="1" x14ac:dyDescent="0.4">
      <c r="A44" s="395">
        <v>40</v>
      </c>
      <c r="B44" s="396" t="s">
        <v>16766</v>
      </c>
      <c r="C44" s="397" t="s">
        <v>16767</v>
      </c>
      <c r="D44" s="398" t="s">
        <v>23718</v>
      </c>
      <c r="E44" s="398" t="s">
        <v>23913</v>
      </c>
      <c r="F44" s="395" t="s">
        <v>16580</v>
      </c>
      <c r="G44" s="398" t="s">
        <v>16581</v>
      </c>
      <c r="H44" s="399" t="s">
        <v>16768</v>
      </c>
      <c r="I44" s="399" t="s">
        <v>16769</v>
      </c>
      <c r="J44" s="399" t="s">
        <v>16770</v>
      </c>
      <c r="K44" s="463" t="str">
        <f>HYPERLINK("https://www.google.com/maps/dir/?api=1&amp;origin=40.8511,-8.3911&amp;destination=40.8422,-8.3811&amp;travelmode=walking","🗺 Passadiços de Vale de Cambra")</f>
        <v>🗺 Passadiços de Vale de Cambra</v>
      </c>
    </row>
    <row r="45" spans="1:11" ht="20" customHeight="1" x14ac:dyDescent="0.45">
      <c r="A45" s="1596" t="s">
        <v>16566</v>
      </c>
      <c r="B45" s="1596"/>
      <c r="C45" s="1596"/>
      <c r="D45" s="1596"/>
      <c r="E45" s="1596"/>
      <c r="F45" s="1596"/>
      <c r="G45" s="1596"/>
      <c r="H45" s="1596"/>
      <c r="I45" s="1596"/>
      <c r="J45" s="1596"/>
      <c r="K45" s="1596"/>
    </row>
    <row r="46" spans="1:11" ht="20" customHeight="1" x14ac:dyDescent="0.4">
      <c r="A46" s="400">
        <v>41</v>
      </c>
      <c r="B46" s="401" t="s">
        <v>16771</v>
      </c>
      <c r="C46" s="402" t="s">
        <v>16772</v>
      </c>
      <c r="D46" s="403" t="s">
        <v>23719</v>
      </c>
      <c r="E46" s="403" t="s">
        <v>23914</v>
      </c>
      <c r="F46" s="400" t="s">
        <v>16773</v>
      </c>
      <c r="G46" s="403" t="s">
        <v>16581</v>
      </c>
      <c r="H46" s="404" t="s">
        <v>16774</v>
      </c>
      <c r="I46" s="404" t="s">
        <v>16775</v>
      </c>
      <c r="J46" s="404" t="s">
        <v>16776</v>
      </c>
      <c r="K46" s="460" t="str">
        <f>HYPERLINK("https://www.google.com/maps/dir/?api=1&amp;origin=40.6481,-8.6475&amp;destination=40.7188,-8.5638&amp;travelmode=walking","🗺 Passadiços de Aveiro")</f>
        <v>🗺 Passadiços de Aveiro</v>
      </c>
    </row>
    <row r="47" spans="1:11" ht="20" customHeight="1" x14ac:dyDescent="0.4">
      <c r="A47" s="405">
        <v>42</v>
      </c>
      <c r="B47" s="406" t="s">
        <v>16777</v>
      </c>
      <c r="C47" s="407" t="s">
        <v>16778</v>
      </c>
      <c r="D47" s="408" t="s">
        <v>23720</v>
      </c>
      <c r="E47" s="408" t="s">
        <v>23915</v>
      </c>
      <c r="F47" s="405" t="s">
        <v>16580</v>
      </c>
      <c r="G47" s="408" t="s">
        <v>16581</v>
      </c>
      <c r="H47" s="409" t="s">
        <v>16779</v>
      </c>
      <c r="I47" s="409" t="s">
        <v>16780</v>
      </c>
      <c r="J47" s="409" t="s">
        <v>16781</v>
      </c>
      <c r="K47" s="461" t="str">
        <f>HYPERLINK("https://www.google.com/maps/dir/?api=1&amp;origin=40.5721,-8.4485&amp;destination=40.5765,-8.4350&amp;travelmode=walking","🗺 Passadiços de Águeda")</f>
        <v>🗺 Passadiços de Águeda</v>
      </c>
    </row>
    <row r="48" spans="1:11" ht="20" customHeight="1" x14ac:dyDescent="0.4">
      <c r="A48" s="400">
        <v>43</v>
      </c>
      <c r="B48" s="401" t="s">
        <v>16782</v>
      </c>
      <c r="C48" s="402" t="s">
        <v>16783</v>
      </c>
      <c r="D48" s="403" t="s">
        <v>23721</v>
      </c>
      <c r="E48" s="403" t="s">
        <v>23916</v>
      </c>
      <c r="F48" s="400" t="s">
        <v>2326</v>
      </c>
      <c r="G48" s="403" t="s">
        <v>13596</v>
      </c>
      <c r="H48" s="404" t="s">
        <v>16784</v>
      </c>
      <c r="I48" s="404" t="s">
        <v>16785</v>
      </c>
      <c r="J48" s="404" t="s">
        <v>16786</v>
      </c>
      <c r="K48" s="460" t="str">
        <f>HYPERLINK("https://www.google.com/maps/dir/?api=1&amp;origin=40.6720,-8.4550&amp;destination=40.6550,-8.4111&amp;travelmode=walking","🗺 Ecopista do Vouga (Sernada)")</f>
        <v>🗺 Ecopista do Vouga (Sernada)</v>
      </c>
    </row>
    <row r="49" spans="1:11" ht="20" customHeight="1" x14ac:dyDescent="0.4">
      <c r="A49" s="405">
        <v>44</v>
      </c>
      <c r="B49" s="406" t="s">
        <v>16787</v>
      </c>
      <c r="C49" s="407" t="s">
        <v>16788</v>
      </c>
      <c r="D49" s="408" t="s">
        <v>23722</v>
      </c>
      <c r="E49" s="408" t="s">
        <v>23917</v>
      </c>
      <c r="F49" s="405" t="s">
        <v>2868</v>
      </c>
      <c r="G49" s="408" t="s">
        <v>16581</v>
      </c>
      <c r="H49" s="409" t="s">
        <v>16789</v>
      </c>
      <c r="I49" s="409" t="s">
        <v>16790</v>
      </c>
      <c r="J49" s="409" t="s">
        <v>16791</v>
      </c>
      <c r="K49" s="461" t="str">
        <f>HYPERLINK("https://www.google.com/maps/dir/?api=1&amp;origin=40.5655,-8.5311&amp;destination=40.5511,-8.5111&amp;travelmode=walking","🗺 Passadiços da Pateira de Fermentelos")</f>
        <v>🗺 Passadiços da Pateira de Fermentelos</v>
      </c>
    </row>
    <row r="50" spans="1:11" ht="20" customHeight="1" x14ac:dyDescent="0.4">
      <c r="A50" s="400">
        <v>45</v>
      </c>
      <c r="B50" s="401" t="s">
        <v>6492</v>
      </c>
      <c r="C50" s="402" t="s">
        <v>16792</v>
      </c>
      <c r="D50" s="403" t="s">
        <v>23723</v>
      </c>
      <c r="E50" s="403" t="s">
        <v>23918</v>
      </c>
      <c r="F50" s="400" t="s">
        <v>2311</v>
      </c>
      <c r="G50" s="403" t="s">
        <v>16581</v>
      </c>
      <c r="H50" s="404" t="s">
        <v>16793</v>
      </c>
      <c r="I50" s="404" t="s">
        <v>16794</v>
      </c>
      <c r="J50" s="404" t="s">
        <v>16795</v>
      </c>
      <c r="K50" s="460" t="str">
        <f>HYPERLINK("https://www.google.com/maps/dir/?api=1&amp;origin=40.5450,-7.3620&amp;destination=40.5980,-7.3450&amp;travelmode=walking","🗺 Passadiços do Mondego")</f>
        <v>🗺 Passadiços do Mondego</v>
      </c>
    </row>
    <row r="51" spans="1:11" ht="20" customHeight="1" x14ac:dyDescent="0.4">
      <c r="A51" s="405">
        <v>46</v>
      </c>
      <c r="B51" s="406" t="s">
        <v>16796</v>
      </c>
      <c r="C51" s="407" t="s">
        <v>16797</v>
      </c>
      <c r="D51" s="408" t="s">
        <v>23724</v>
      </c>
      <c r="E51" s="408" t="s">
        <v>23919</v>
      </c>
      <c r="F51" s="405" t="s">
        <v>2350</v>
      </c>
      <c r="G51" s="408" t="s">
        <v>13596</v>
      </c>
      <c r="H51" s="409" t="s">
        <v>16798</v>
      </c>
      <c r="I51" s="409" t="s">
        <v>16799</v>
      </c>
      <c r="J51" s="409" t="s">
        <v>6788</v>
      </c>
      <c r="K51" s="461" t="str">
        <f>HYPERLINK("https://www.google.com/maps/dir/?api=1&amp;origin=40.2311,-8.6511&amp;destination=40.1555,-8.8111&amp;travelmode=walking","🗺 Ecopista do Mondego")</f>
        <v>🗺 Ecopista do Mondego</v>
      </c>
    </row>
    <row r="52" spans="1:11" ht="20" customHeight="1" x14ac:dyDescent="0.4">
      <c r="A52" s="400">
        <v>47</v>
      </c>
      <c r="B52" s="401" t="s">
        <v>16800</v>
      </c>
      <c r="C52" s="402" t="s">
        <v>16801</v>
      </c>
      <c r="D52" s="403" t="s">
        <v>23725</v>
      </c>
      <c r="E52" s="403" t="s">
        <v>23725</v>
      </c>
      <c r="F52" s="400" t="s">
        <v>2845</v>
      </c>
      <c r="G52" s="403" t="s">
        <v>16581</v>
      </c>
      <c r="H52" s="404" t="s">
        <v>16802</v>
      </c>
      <c r="I52" s="404" t="s">
        <v>16803</v>
      </c>
      <c r="J52" s="404" t="s">
        <v>16804</v>
      </c>
      <c r="K52" s="460" t="str">
        <f>HYPERLINK("https://www.google.com/maps/dir/?api=1&amp;origin=39.9511,-8.2411&amp;destination=39.9511,-8.2411&amp;travelmode=walking","🗺 Passadiços da Ribeira de Alge")</f>
        <v>🗺 Passadiços da Ribeira de Alge</v>
      </c>
    </row>
    <row r="53" spans="1:11" ht="20" customHeight="1" x14ac:dyDescent="0.4">
      <c r="A53" s="405">
        <v>48</v>
      </c>
      <c r="B53" s="406" t="s">
        <v>16805</v>
      </c>
      <c r="C53" s="407" t="s">
        <v>16806</v>
      </c>
      <c r="D53" s="408" t="s">
        <v>23726</v>
      </c>
      <c r="E53" s="408" t="s">
        <v>23920</v>
      </c>
      <c r="F53" s="405" t="s">
        <v>16580</v>
      </c>
      <c r="G53" s="408" t="s">
        <v>16581</v>
      </c>
      <c r="H53" s="409" t="s">
        <v>16807</v>
      </c>
      <c r="I53" s="409" t="s">
        <v>16808</v>
      </c>
      <c r="J53" s="409" t="s">
        <v>16809</v>
      </c>
      <c r="K53" s="461" t="str">
        <f>HYPERLINK("https://www.google.com/maps/dir/?api=1&amp;origin=40.2030,-8.4285&amp;destination=40.1950,-8.4211&amp;travelmode=walking","🗺 Passadiços de Coimbra")</f>
        <v>🗺 Passadiços de Coimbra</v>
      </c>
    </row>
    <row r="54" spans="1:11" ht="20" customHeight="1" x14ac:dyDescent="0.4">
      <c r="A54" s="400">
        <v>49</v>
      </c>
      <c r="B54" s="401" t="s">
        <v>16810</v>
      </c>
      <c r="C54" s="402" t="s">
        <v>16811</v>
      </c>
      <c r="D54" s="403" t="s">
        <v>23727</v>
      </c>
      <c r="E54" s="403" t="s">
        <v>23921</v>
      </c>
      <c r="F54" s="400" t="s">
        <v>16580</v>
      </c>
      <c r="G54" s="403" t="s">
        <v>16581</v>
      </c>
      <c r="H54" s="404" t="s">
        <v>16812</v>
      </c>
      <c r="I54" s="404" t="s">
        <v>16813</v>
      </c>
      <c r="J54" s="404" t="s">
        <v>16814</v>
      </c>
      <c r="K54" s="460" t="str">
        <f>HYPERLINK("https://www.google.com/maps/dir/?api=1&amp;origin=40.3322,-8.8455&amp;destination=40.3511,-8.8511&amp;travelmode=walking","🗺 Passadiço da Praia da Tocha")</f>
        <v>🗺 Passadiço da Praia da Tocha</v>
      </c>
    </row>
    <row r="55" spans="1:11" ht="20" customHeight="1" x14ac:dyDescent="0.4">
      <c r="A55" s="405">
        <v>50</v>
      </c>
      <c r="B55" s="406" t="s">
        <v>16815</v>
      </c>
      <c r="C55" s="407" t="s">
        <v>16816</v>
      </c>
      <c r="D55" s="408" t="s">
        <v>23728</v>
      </c>
      <c r="E55" s="408" t="s">
        <v>23728</v>
      </c>
      <c r="F55" s="405" t="s">
        <v>2868</v>
      </c>
      <c r="G55" s="408" t="s">
        <v>16581</v>
      </c>
      <c r="H55" s="409" t="s">
        <v>16817</v>
      </c>
      <c r="I55" s="409" t="s">
        <v>16818</v>
      </c>
      <c r="J55" s="409" t="s">
        <v>16819</v>
      </c>
      <c r="K55" s="461" t="str">
        <f>HYPERLINK("https://www.google.com/maps/dir/?api=1&amp;origin=40.3755,-8.3611&amp;destination=40.3755,-8.3611&amp;travelmode=walking","🗺 Passadiço da Mata do Bussaco")</f>
        <v>🗺 Passadiço da Mata do Bussaco</v>
      </c>
    </row>
    <row r="56" spans="1:11" ht="20" customHeight="1" x14ac:dyDescent="0.4">
      <c r="A56" s="400">
        <v>51</v>
      </c>
      <c r="B56" s="401" t="s">
        <v>16820</v>
      </c>
      <c r="C56" s="402" t="s">
        <v>16821</v>
      </c>
      <c r="D56" s="403" t="s">
        <v>23729</v>
      </c>
      <c r="E56" s="403" t="s">
        <v>23922</v>
      </c>
      <c r="F56" s="400" t="s">
        <v>16822</v>
      </c>
      <c r="G56" s="403" t="s">
        <v>16575</v>
      </c>
      <c r="H56" s="404" t="s">
        <v>16823</v>
      </c>
      <c r="I56" s="404" t="s">
        <v>16824</v>
      </c>
      <c r="J56" s="404" t="s">
        <v>16825</v>
      </c>
      <c r="K56" s="460" t="str">
        <f>HYPERLINK("https://www.google.com/maps/dir/?api=1&amp;origin=40.1111,-8.5111&amp;destination=40.0955,-8.5255&amp;travelmode=walking","🗺 Ecovia do Rio Arunca")</f>
        <v>🗺 Ecovia do Rio Arunca</v>
      </c>
    </row>
    <row r="57" spans="1:11" ht="20" customHeight="1" x14ac:dyDescent="0.4">
      <c r="A57" s="405">
        <v>52</v>
      </c>
      <c r="B57" s="406" t="s">
        <v>16826</v>
      </c>
      <c r="C57" s="407" t="s">
        <v>16827</v>
      </c>
      <c r="D57" s="408" t="s">
        <v>23730</v>
      </c>
      <c r="E57" s="408" t="s">
        <v>23923</v>
      </c>
      <c r="F57" s="405" t="s">
        <v>16580</v>
      </c>
      <c r="G57" s="408" t="s">
        <v>16581</v>
      </c>
      <c r="H57" s="409" t="s">
        <v>16828</v>
      </c>
      <c r="I57" s="409" t="s">
        <v>16829</v>
      </c>
      <c r="J57" s="409" t="s">
        <v>16830</v>
      </c>
      <c r="K57" s="461" t="str">
        <f>HYPERLINK("https://www.google.com/maps/dir/?api=1&amp;origin=40.1555,-8.1111&amp;destination=40.1411,-8.1255&amp;travelmode=walking","🗺 Passadiços das Aldeias do Xisto")</f>
        <v>🗺 Passadiços das Aldeias do Xisto</v>
      </c>
    </row>
    <row r="58" spans="1:11" ht="20" customHeight="1" x14ac:dyDescent="0.4">
      <c r="A58" s="400">
        <v>53</v>
      </c>
      <c r="B58" s="401" t="s">
        <v>16831</v>
      </c>
      <c r="C58" s="402" t="s">
        <v>16832</v>
      </c>
      <c r="D58" s="403" t="s">
        <v>23731</v>
      </c>
      <c r="E58" s="403" t="s">
        <v>23924</v>
      </c>
      <c r="F58" s="400" t="s">
        <v>16610</v>
      </c>
      <c r="G58" s="403" t="s">
        <v>16581</v>
      </c>
      <c r="H58" s="404" t="s">
        <v>16833</v>
      </c>
      <c r="I58" s="404" t="s">
        <v>16834</v>
      </c>
      <c r="J58" s="404" t="s">
        <v>16835</v>
      </c>
      <c r="K58" s="460" t="str">
        <f>HYPERLINK("https://www.google.com/maps/dir/?api=1&amp;origin=40.1011,-8.2311&amp;destination=40.0955,-8.2411&amp;travelmode=walking","🗺 Passadiços da Senhora da Piedade")</f>
        <v>🗺 Passadiços da Senhora da Piedade</v>
      </c>
    </row>
    <row r="59" spans="1:11" ht="20" customHeight="1" x14ac:dyDescent="0.4">
      <c r="A59" s="405">
        <v>54</v>
      </c>
      <c r="B59" s="406" t="s">
        <v>16836</v>
      </c>
      <c r="C59" s="407" t="s">
        <v>16832</v>
      </c>
      <c r="D59" s="408" t="s">
        <v>23732</v>
      </c>
      <c r="E59" s="408" t="s">
        <v>23925</v>
      </c>
      <c r="F59" s="405" t="s">
        <v>16580</v>
      </c>
      <c r="G59" s="408" t="s">
        <v>16581</v>
      </c>
      <c r="H59" s="409" t="s">
        <v>16837</v>
      </c>
      <c r="I59" s="409" t="s">
        <v>16838</v>
      </c>
      <c r="J59" s="409" t="s">
        <v>16839</v>
      </c>
      <c r="K59" s="461" t="str">
        <f>HYPERLINK("https://www.google.com/maps/dir/?api=1&amp;origin=40.1211,-8.1511&amp;destination=40.1355,-8.1411&amp;travelmode=walking","🗺 Passadiços do Rio Ceira")</f>
        <v>🗺 Passadiços do Rio Ceira</v>
      </c>
    </row>
    <row r="60" spans="1:11" ht="20" customHeight="1" x14ac:dyDescent="0.4">
      <c r="A60" s="400">
        <v>55</v>
      </c>
      <c r="B60" s="401" t="s">
        <v>16840</v>
      </c>
      <c r="C60" s="402" t="s">
        <v>16841</v>
      </c>
      <c r="D60" s="403" t="s">
        <v>23733</v>
      </c>
      <c r="E60" s="403" t="s">
        <v>23926</v>
      </c>
      <c r="F60" s="400" t="s">
        <v>16842</v>
      </c>
      <c r="G60" s="403" t="s">
        <v>13596</v>
      </c>
      <c r="H60" s="404" t="s">
        <v>16843</v>
      </c>
      <c r="I60" s="404" t="s">
        <v>16844</v>
      </c>
      <c r="J60" s="404" t="s">
        <v>16845</v>
      </c>
      <c r="K60" s="460" t="str">
        <f>HYPERLINK("https://www.google.com/maps/dir/?api=1&amp;origin=40.6411,-7.9255&amp;destination=40.4011,-8.1255&amp;travelmode=walking","🗺 Ecopista do Dão")</f>
        <v>🗺 Ecopista do Dão</v>
      </c>
    </row>
    <row r="61" spans="1:11" ht="20" customHeight="1" x14ac:dyDescent="0.4">
      <c r="A61" s="405">
        <v>56</v>
      </c>
      <c r="B61" s="406" t="s">
        <v>16846</v>
      </c>
      <c r="C61" s="407" t="s">
        <v>16847</v>
      </c>
      <c r="D61" s="408" t="s">
        <v>23734</v>
      </c>
      <c r="E61" s="408" t="s">
        <v>23927</v>
      </c>
      <c r="F61" s="405" t="s">
        <v>2868</v>
      </c>
      <c r="G61" s="408" t="s">
        <v>16581</v>
      </c>
      <c r="H61" s="409" t="s">
        <v>16848</v>
      </c>
      <c r="I61" s="409" t="s">
        <v>16849</v>
      </c>
      <c r="J61" s="409" t="s">
        <v>16850</v>
      </c>
      <c r="K61" s="461" t="str">
        <f>HYPERLINK("https://www.google.com/maps/dir/?api=1&amp;origin=40.3955,-8.2211&amp;destination=40.4111,-8.2111&amp;travelmode=walking","🗺 Passadiços de Mortágua")</f>
        <v>🗺 Passadiços de Mortágua</v>
      </c>
    </row>
    <row r="62" spans="1:11" ht="20" customHeight="1" x14ac:dyDescent="0.4">
      <c r="A62" s="400">
        <v>57</v>
      </c>
      <c r="B62" s="401" t="s">
        <v>16851</v>
      </c>
      <c r="C62" s="402" t="s">
        <v>16852</v>
      </c>
      <c r="D62" s="403" t="s">
        <v>23735</v>
      </c>
      <c r="E62" s="403" t="s">
        <v>23928</v>
      </c>
      <c r="F62" s="400" t="s">
        <v>16580</v>
      </c>
      <c r="G62" s="403" t="s">
        <v>16581</v>
      </c>
      <c r="H62" s="404" t="s">
        <v>16853</v>
      </c>
      <c r="I62" s="404" t="s">
        <v>16854</v>
      </c>
      <c r="J62" s="404" t="s">
        <v>16855</v>
      </c>
      <c r="K62" s="460" t="str">
        <f>HYPERLINK("https://www.google.com/maps/dir/?api=1&amp;origin=40.7255,-8.1111&amp;destination=40.7355,-8.1211&amp;travelmode=walking","🗺 Passadiços do Vouga")</f>
        <v>🗺 Passadiços do Vouga</v>
      </c>
    </row>
    <row r="63" spans="1:11" ht="20" customHeight="1" x14ac:dyDescent="0.4">
      <c r="A63" s="405">
        <v>58</v>
      </c>
      <c r="B63" s="406" t="s">
        <v>16856</v>
      </c>
      <c r="C63" s="407" t="s">
        <v>16857</v>
      </c>
      <c r="D63" s="408" t="s">
        <v>23736</v>
      </c>
      <c r="E63" s="408" t="s">
        <v>23929</v>
      </c>
      <c r="F63" s="405" t="s">
        <v>2868</v>
      </c>
      <c r="G63" s="408" t="s">
        <v>16581</v>
      </c>
      <c r="H63" s="409" t="s">
        <v>16858</v>
      </c>
      <c r="I63" s="409" t="s">
        <v>16859</v>
      </c>
      <c r="J63" s="409" t="s">
        <v>16860</v>
      </c>
      <c r="K63" s="461" t="str">
        <f>HYPERLINK("https://www.google.com/maps/dir/?api=1&amp;origin=41.0855,-7.9511&amp;destination=41.1011,-7.9411&amp;travelmode=walking","🗺 Passadiços de Resende")</f>
        <v>🗺 Passadiços de Resende</v>
      </c>
    </row>
    <row r="64" spans="1:11" ht="20" customHeight="1" x14ac:dyDescent="0.4">
      <c r="A64" s="400">
        <v>59</v>
      </c>
      <c r="B64" s="401" t="s">
        <v>16861</v>
      </c>
      <c r="C64" s="402" t="s">
        <v>16862</v>
      </c>
      <c r="D64" s="403" t="s">
        <v>23737</v>
      </c>
      <c r="E64" s="403" t="s">
        <v>23930</v>
      </c>
      <c r="F64" s="400" t="s">
        <v>16580</v>
      </c>
      <c r="G64" s="403" t="s">
        <v>16581</v>
      </c>
      <c r="H64" s="404" t="s">
        <v>16863</v>
      </c>
      <c r="I64" s="404" t="s">
        <v>16864</v>
      </c>
      <c r="J64" s="404" t="s">
        <v>16865</v>
      </c>
      <c r="K64" s="460" t="str">
        <f>HYPERLINK("https://www.google.com/maps/dir/?api=1&amp;origin=41.0811,-7.1111&amp;destination=41.0655,-7.1211&amp;travelmode=walking","🗺 Passadiços do Côa")</f>
        <v>🗺 Passadiços do Côa</v>
      </c>
    </row>
    <row r="65" spans="1:11" ht="20" customHeight="1" x14ac:dyDescent="0.4">
      <c r="A65" s="405">
        <v>60</v>
      </c>
      <c r="B65" s="406" t="s">
        <v>16866</v>
      </c>
      <c r="C65" s="407" t="s">
        <v>16867</v>
      </c>
      <c r="D65" s="408" t="s">
        <v>23738</v>
      </c>
      <c r="E65" s="408" t="s">
        <v>23931</v>
      </c>
      <c r="F65" s="405" t="s">
        <v>2868</v>
      </c>
      <c r="G65" s="408" t="s">
        <v>16581</v>
      </c>
      <c r="H65" s="409" t="s">
        <v>16868</v>
      </c>
      <c r="I65" s="409" t="s">
        <v>16869</v>
      </c>
      <c r="J65" s="409" t="s">
        <v>13340</v>
      </c>
      <c r="K65" s="461" t="str">
        <f>HYPERLINK("https://www.google.com/maps/dir/?api=1&amp;origin=40.4011,-7.5311&amp;destination=40.3811,-7.5455&amp;travelmode=walking","🗺 Passadiços da Serra da Estrela")</f>
        <v>🗺 Passadiços da Serra da Estrela</v>
      </c>
    </row>
    <row r="66" spans="1:11" ht="20" customHeight="1" x14ac:dyDescent="0.4">
      <c r="A66" s="400">
        <v>61</v>
      </c>
      <c r="B66" s="401" t="s">
        <v>16870</v>
      </c>
      <c r="C66" s="402" t="s">
        <v>16871</v>
      </c>
      <c r="D66" s="403" t="s">
        <v>23739</v>
      </c>
      <c r="E66" s="403" t="s">
        <v>23932</v>
      </c>
      <c r="F66" s="400" t="s">
        <v>2868</v>
      </c>
      <c r="G66" s="403" t="s">
        <v>16575</v>
      </c>
      <c r="H66" s="404" t="s">
        <v>16872</v>
      </c>
      <c r="I66" s="404" t="s">
        <v>16873</v>
      </c>
      <c r="J66" s="404" t="s">
        <v>16874</v>
      </c>
      <c r="K66" s="460" t="str">
        <f>HYPERLINK("https://www.google.com/maps/dir/?api=1&amp;origin=40.7711,-7.2211&amp;destination=40.7855,-7.2111&amp;travelmode=walking","🗺 Ecovia do Rio Teja")</f>
        <v>🗺 Ecovia do Rio Teja</v>
      </c>
    </row>
    <row r="67" spans="1:11" ht="20" customHeight="1" x14ac:dyDescent="0.4">
      <c r="A67" s="405">
        <v>62</v>
      </c>
      <c r="B67" s="406" t="s">
        <v>6534</v>
      </c>
      <c r="C67" s="407" t="s">
        <v>16875</v>
      </c>
      <c r="D67" s="408" t="s">
        <v>23740</v>
      </c>
      <c r="E67" s="408" t="s">
        <v>23933</v>
      </c>
      <c r="F67" s="405" t="s">
        <v>16580</v>
      </c>
      <c r="G67" s="408" t="s">
        <v>16581</v>
      </c>
      <c r="H67" s="409" t="s">
        <v>16876</v>
      </c>
      <c r="I67" s="409" t="s">
        <v>16877</v>
      </c>
      <c r="J67" s="409" t="s">
        <v>16878</v>
      </c>
      <c r="K67" s="461" t="str">
        <f>HYPERLINK("https://www.google.com/maps/dir/?api=1&amp;origin=40.0111,-7.7811&amp;destination=39.9955,-7.7911&amp;travelmode=walking","🗺 Passadiços do Orvalho")</f>
        <v>🗺 Passadiços do Orvalho</v>
      </c>
    </row>
    <row r="68" spans="1:11" ht="20" customHeight="1" x14ac:dyDescent="0.4">
      <c r="A68" s="400">
        <v>63</v>
      </c>
      <c r="B68" s="401" t="s">
        <v>16879</v>
      </c>
      <c r="C68" s="402" t="s">
        <v>16880</v>
      </c>
      <c r="D68" s="403" t="s">
        <v>23741</v>
      </c>
      <c r="E68" s="403" t="s">
        <v>23934</v>
      </c>
      <c r="F68" s="400" t="s">
        <v>2845</v>
      </c>
      <c r="G68" s="403" t="s">
        <v>16575</v>
      </c>
      <c r="H68" s="404" t="s">
        <v>16881</v>
      </c>
      <c r="I68" s="404" t="s">
        <v>16882</v>
      </c>
      <c r="J68" s="404" t="s">
        <v>16883</v>
      </c>
      <c r="K68" s="460" t="str">
        <f>HYPERLINK("https://www.google.com/maps/dir/?api=1&amp;origin=39.9111,-7.2311&amp;destination=39.8955,-7.2511&amp;travelmode=walking","🗺 Ecovia do Rio Ponsul")</f>
        <v>🗺 Ecovia do Rio Ponsul</v>
      </c>
    </row>
    <row r="69" spans="1:11" ht="20" customHeight="1" x14ac:dyDescent="0.4">
      <c r="A69" s="405">
        <v>64</v>
      </c>
      <c r="B69" s="406" t="s">
        <v>16884</v>
      </c>
      <c r="C69" s="407" t="s">
        <v>16885</v>
      </c>
      <c r="D69" s="408" t="s">
        <v>23742</v>
      </c>
      <c r="E69" s="408" t="s">
        <v>23742</v>
      </c>
      <c r="F69" s="405" t="s">
        <v>16580</v>
      </c>
      <c r="G69" s="408" t="s">
        <v>16581</v>
      </c>
      <c r="H69" s="409" t="s">
        <v>16886</v>
      </c>
      <c r="I69" s="409" t="s">
        <v>16887</v>
      </c>
      <c r="J69" s="409" t="s">
        <v>16888</v>
      </c>
      <c r="K69" s="461" t="str">
        <f>HYPERLINK("https://www.google.com/maps/dir/?api=1&amp;origin=40.0011,-6.8811&amp;destination=40.0011,-6.8811&amp;travelmode=walking","🗺 Passadiços do Erges")</f>
        <v>🗺 Passadiços do Erges</v>
      </c>
    </row>
    <row r="70" spans="1:11" ht="20" customHeight="1" x14ac:dyDescent="0.4">
      <c r="A70" s="400">
        <v>65</v>
      </c>
      <c r="B70" s="401" t="s">
        <v>16889</v>
      </c>
      <c r="C70" s="402" t="s">
        <v>1713</v>
      </c>
      <c r="D70" s="403" t="s">
        <v>23743</v>
      </c>
      <c r="E70" s="403" t="s">
        <v>23935</v>
      </c>
      <c r="F70" s="400" t="s">
        <v>2868</v>
      </c>
      <c r="G70" s="403" t="s">
        <v>13596</v>
      </c>
      <c r="H70" s="404" t="s">
        <v>16890</v>
      </c>
      <c r="I70" s="404" t="s">
        <v>16891</v>
      </c>
      <c r="J70" s="404" t="s">
        <v>16892</v>
      </c>
      <c r="K70" s="460" t="str">
        <f>HYPERLINK("https://www.google.com/maps/dir/?api=1&amp;origin=39.8211,-7.5011&amp;destination=39.8055,-7.5211&amp;travelmode=walking","🗺 Ecopista de Castelo Branco")</f>
        <v>🗺 Ecopista de Castelo Branco</v>
      </c>
    </row>
    <row r="71" spans="1:11" ht="20" customHeight="1" x14ac:dyDescent="0.4">
      <c r="A71" s="405">
        <v>66</v>
      </c>
      <c r="B71" s="406" t="s">
        <v>16893</v>
      </c>
      <c r="C71" s="407" t="s">
        <v>16894</v>
      </c>
      <c r="D71" s="408" t="s">
        <v>23744</v>
      </c>
      <c r="E71" s="408" t="s">
        <v>23936</v>
      </c>
      <c r="F71" s="405" t="s">
        <v>2868</v>
      </c>
      <c r="G71" s="408" t="s">
        <v>16581</v>
      </c>
      <c r="H71" s="409" t="s">
        <v>16895</v>
      </c>
      <c r="I71" s="409" t="s">
        <v>16896</v>
      </c>
      <c r="J71" s="409" t="s">
        <v>16897</v>
      </c>
      <c r="K71" s="461" t="str">
        <f>HYPERLINK("https://www.google.com/maps/dir/?api=1&amp;origin=39.4311,-9.2211&amp;destination=39.4111,-9.2111&amp;travelmode=walking","🗺 Passadiços da Lagoa de Óbidos")</f>
        <v>🗺 Passadiços da Lagoa de Óbidos</v>
      </c>
    </row>
    <row r="72" spans="1:11" ht="20" customHeight="1" x14ac:dyDescent="0.4">
      <c r="A72" s="400">
        <v>67</v>
      </c>
      <c r="B72" s="401" t="s">
        <v>16898</v>
      </c>
      <c r="C72" s="402" t="s">
        <v>7725</v>
      </c>
      <c r="D72" s="403" t="s">
        <v>23745</v>
      </c>
      <c r="E72" s="403" t="s">
        <v>23937</v>
      </c>
      <c r="F72" s="400" t="s">
        <v>2868</v>
      </c>
      <c r="G72" s="403" t="s">
        <v>16581</v>
      </c>
      <c r="H72" s="404" t="s">
        <v>16899</v>
      </c>
      <c r="I72" s="404" t="s">
        <v>16900</v>
      </c>
      <c r="J72" s="404" t="s">
        <v>16901</v>
      </c>
      <c r="K72" s="460" t="str">
        <f>HYPERLINK("https://www.google.com/maps/dir/?api=1&amp;origin=39.7455,-8.8111&amp;destination=39.7555,-8.7955&amp;travelmode=walking","🗺 Passadiços do Rio Lis")</f>
        <v>🗺 Passadiços do Rio Lis</v>
      </c>
    </row>
    <row r="73" spans="1:11" ht="20" customHeight="1" x14ac:dyDescent="0.4">
      <c r="A73" s="405">
        <v>68</v>
      </c>
      <c r="B73" s="406" t="s">
        <v>16902</v>
      </c>
      <c r="C73" s="407" t="s">
        <v>16903</v>
      </c>
      <c r="D73" s="408" t="s">
        <v>23746</v>
      </c>
      <c r="E73" s="408" t="s">
        <v>23938</v>
      </c>
      <c r="F73" s="405" t="s">
        <v>2350</v>
      </c>
      <c r="G73" s="408" t="s">
        <v>16575</v>
      </c>
      <c r="H73" s="409" t="s">
        <v>16904</v>
      </c>
      <c r="I73" s="409" t="s">
        <v>16905</v>
      </c>
      <c r="J73" s="409" t="s">
        <v>5957</v>
      </c>
      <c r="K73" s="461" t="str">
        <f>HYPERLINK("https://www.google.com/maps/dir/?api=1&amp;origin=39.6011,-9.0711&amp;destination=39.7555,-9.0311&amp;travelmode=walking","🗺 Ecovia do Litoral (Nazaré)")</f>
        <v>🗺 Ecovia do Litoral (Nazaré)</v>
      </c>
    </row>
    <row r="74" spans="1:11" ht="20" customHeight="1" x14ac:dyDescent="0.4">
      <c r="A74" s="400">
        <v>69</v>
      </c>
      <c r="B74" s="401" t="s">
        <v>16906</v>
      </c>
      <c r="C74" s="402" t="s">
        <v>16907</v>
      </c>
      <c r="D74" s="403" t="s">
        <v>23747</v>
      </c>
      <c r="E74" s="403" t="s">
        <v>23939</v>
      </c>
      <c r="F74" s="400" t="s">
        <v>16610</v>
      </c>
      <c r="G74" s="403" t="s">
        <v>16581</v>
      </c>
      <c r="H74" s="404" t="s">
        <v>16908</v>
      </c>
      <c r="I74" s="404" t="s">
        <v>16909</v>
      </c>
      <c r="J74" s="404" t="s">
        <v>16910</v>
      </c>
      <c r="K74" s="460" t="str">
        <f>HYPERLINK("https://www.google.com/maps/dir/?api=1&amp;origin=39.5111,-9.1311&amp;destination=39.5055,-9.1411&amp;travelmode=walking","🗺 Passadiços da Baleia")</f>
        <v>🗺 Passadiços da Baleia</v>
      </c>
    </row>
    <row r="75" spans="1:11" ht="20" customHeight="1" x14ac:dyDescent="0.4">
      <c r="A75" s="405">
        <v>70</v>
      </c>
      <c r="B75" s="406" t="s">
        <v>16911</v>
      </c>
      <c r="C75" s="407" t="s">
        <v>16912</v>
      </c>
      <c r="D75" s="408" t="s">
        <v>23748</v>
      </c>
      <c r="E75" s="408" t="s">
        <v>23940</v>
      </c>
      <c r="F75" s="405" t="s">
        <v>2868</v>
      </c>
      <c r="G75" s="408" t="s">
        <v>16575</v>
      </c>
      <c r="H75" s="409" t="s">
        <v>16913</v>
      </c>
      <c r="I75" s="409" t="s">
        <v>16914</v>
      </c>
      <c r="J75" s="409" t="s">
        <v>7300</v>
      </c>
      <c r="K75" s="461" t="str">
        <f>HYPERLINK("https://www.google.com/maps/dir/?api=1&amp;origin=39.9111,-8.6211&amp;destination=39.9255,-8.6111&amp;travelmode=walking","🗺 Ecovia do Arunca")</f>
        <v>🗺 Ecovia do Arunca</v>
      </c>
    </row>
    <row r="76" spans="1:11" ht="20" customHeight="1" x14ac:dyDescent="0.4">
      <c r="A76" s="400">
        <v>71</v>
      </c>
      <c r="B76" s="401" t="s">
        <v>16915</v>
      </c>
      <c r="C76" s="402" t="s">
        <v>16916</v>
      </c>
      <c r="D76" s="403" t="s">
        <v>23749</v>
      </c>
      <c r="E76" s="403" t="s">
        <v>23941</v>
      </c>
      <c r="F76" s="400" t="s">
        <v>16580</v>
      </c>
      <c r="G76" s="403" t="s">
        <v>16581</v>
      </c>
      <c r="H76" s="404" t="s">
        <v>16917</v>
      </c>
      <c r="I76" s="404" t="s">
        <v>16918</v>
      </c>
      <c r="J76" s="404" t="s">
        <v>839</v>
      </c>
      <c r="K76" s="460" t="str">
        <f>HYPERLINK("https://www.google.com/maps/dir/?api=1&amp;origin=39.9155,-8.1311&amp;destination=39.9211,-8.1211&amp;travelmode=walking","🗺 Passadiços de Pedrógão Grande")</f>
        <v>🗺 Passadiços de Pedrógão Grande</v>
      </c>
    </row>
    <row r="77" spans="1:11" ht="20" customHeight="1" x14ac:dyDescent="0.4">
      <c r="A77" s="405">
        <v>72</v>
      </c>
      <c r="B77" s="406" t="s">
        <v>16919</v>
      </c>
      <c r="C77" s="407" t="s">
        <v>16903</v>
      </c>
      <c r="D77" s="408" t="s">
        <v>23750</v>
      </c>
      <c r="E77" s="408" t="s">
        <v>23750</v>
      </c>
      <c r="F77" s="405" t="s">
        <v>16635</v>
      </c>
      <c r="G77" s="408" t="s">
        <v>16581</v>
      </c>
      <c r="H77" s="409" t="s">
        <v>16920</v>
      </c>
      <c r="I77" s="409" t="s">
        <v>16921</v>
      </c>
      <c r="J77" s="409" t="s">
        <v>16922</v>
      </c>
      <c r="K77" s="461" t="str">
        <f>HYPERLINK("https://www.google.com/maps/dir/?api=1&amp;origin=39.6055,-9.0755&amp;destination=39.6055,-9.0755&amp;travelmode=walking","🗺 Passadiços da Nazaré")</f>
        <v>🗺 Passadiços da Nazaré</v>
      </c>
    </row>
    <row r="78" spans="1:11" ht="20" customHeight="1" x14ac:dyDescent="0.4">
      <c r="A78" s="400">
        <v>73</v>
      </c>
      <c r="B78" s="401" t="s">
        <v>16923</v>
      </c>
      <c r="C78" s="402" t="s">
        <v>16924</v>
      </c>
      <c r="D78" s="403" t="s">
        <v>23751</v>
      </c>
      <c r="E78" s="403" t="s">
        <v>23942</v>
      </c>
      <c r="F78" s="400" t="s">
        <v>2868</v>
      </c>
      <c r="G78" s="403" t="s">
        <v>16581</v>
      </c>
      <c r="H78" s="404" t="s">
        <v>16925</v>
      </c>
      <c r="I78" s="404" t="s">
        <v>16926</v>
      </c>
      <c r="J78" s="404" t="s">
        <v>1428</v>
      </c>
      <c r="K78" s="460" t="str">
        <f>HYPERLINK("https://www.google.com/maps/dir/?api=1&amp;origin=39.4511,-8.3311&amp;destination=39.4611,-8.3511&amp;travelmode=walking","🗺 Passadiços do Tejo")</f>
        <v>🗺 Passadiços do Tejo</v>
      </c>
    </row>
    <row r="79" spans="1:11" ht="20" customHeight="1" x14ac:dyDescent="0.4">
      <c r="A79" s="405">
        <v>74</v>
      </c>
      <c r="B79" s="406" t="s">
        <v>16927</v>
      </c>
      <c r="C79" s="407" t="s">
        <v>16928</v>
      </c>
      <c r="D79" s="408" t="s">
        <v>23752</v>
      </c>
      <c r="E79" s="408" t="s">
        <v>23943</v>
      </c>
      <c r="F79" s="405" t="s">
        <v>2868</v>
      </c>
      <c r="G79" s="408" t="s">
        <v>13596</v>
      </c>
      <c r="H79" s="409" t="s">
        <v>16929</v>
      </c>
      <c r="I79" s="409" t="s">
        <v>16930</v>
      </c>
      <c r="J79" s="409" t="s">
        <v>13421</v>
      </c>
      <c r="K79" s="461" t="str">
        <f>HYPERLINK("https://www.google.com/maps/dir/?api=1&amp;origin=39.6011,-8.4111&amp;destination=39.5855,-8.4211&amp;travelmode=walking","🗺 Ecopista de Tomar")</f>
        <v>🗺 Ecopista de Tomar</v>
      </c>
    </row>
    <row r="80" spans="1:11" ht="20" customHeight="1" x14ac:dyDescent="0.4">
      <c r="A80" s="400">
        <v>75</v>
      </c>
      <c r="B80" s="401" t="s">
        <v>16931</v>
      </c>
      <c r="C80" s="402" t="s">
        <v>16932</v>
      </c>
      <c r="D80" s="403" t="s">
        <v>23753</v>
      </c>
      <c r="E80" s="403" t="s">
        <v>23753</v>
      </c>
      <c r="F80" s="400" t="s">
        <v>16580</v>
      </c>
      <c r="G80" s="403" t="s">
        <v>16581</v>
      </c>
      <c r="H80" s="404" t="s">
        <v>16933</v>
      </c>
      <c r="I80" s="404" t="s">
        <v>16934</v>
      </c>
      <c r="J80" s="404" t="s">
        <v>16935</v>
      </c>
      <c r="K80" s="460" t="str">
        <f>HYPERLINK("https://www.google.com/maps/dir/?api=1&amp;origin=39.4611,-8.2011&amp;destination=39.4611,-8.2011&amp;travelmode=walking","🗺 Passadiços da Foz do Almada")</f>
        <v>🗺 Passadiços da Foz do Almada</v>
      </c>
    </row>
    <row r="81" spans="1:11" ht="20" customHeight="1" x14ac:dyDescent="0.4">
      <c r="A81" s="405">
        <v>76</v>
      </c>
      <c r="B81" s="406" t="s">
        <v>16936</v>
      </c>
      <c r="C81" s="407" t="s">
        <v>16937</v>
      </c>
      <c r="D81" s="408" t="s">
        <v>23754</v>
      </c>
      <c r="E81" s="408" t="s">
        <v>23754</v>
      </c>
      <c r="F81" s="405" t="s">
        <v>16580</v>
      </c>
      <c r="G81" s="408" t="s">
        <v>16581</v>
      </c>
      <c r="H81" s="409" t="s">
        <v>16938</v>
      </c>
      <c r="I81" s="409" t="s">
        <v>16939</v>
      </c>
      <c r="J81" s="409" t="s">
        <v>16940</v>
      </c>
      <c r="K81" s="461" t="str">
        <f>HYPERLINK("https://www.google.com/maps/dir/?api=1&amp;origin=39.4411,-8.7011&amp;destination=39.4411,-8.7011&amp;travelmode=walking","🗺 Passadiços dos Olhos de Água")</f>
        <v>🗺 Passadiços dos Olhos de Água</v>
      </c>
    </row>
    <row r="82" spans="1:11" ht="20" customHeight="1" x14ac:dyDescent="0.4">
      <c r="A82" s="400">
        <v>77</v>
      </c>
      <c r="B82" s="401" t="s">
        <v>16941</v>
      </c>
      <c r="C82" s="402" t="s">
        <v>16942</v>
      </c>
      <c r="D82" s="403" t="s">
        <v>23755</v>
      </c>
      <c r="E82" s="403" t="s">
        <v>23944</v>
      </c>
      <c r="F82" s="400" t="s">
        <v>16580</v>
      </c>
      <c r="G82" s="403" t="s">
        <v>16581</v>
      </c>
      <c r="H82" s="404" t="s">
        <v>16943</v>
      </c>
      <c r="I82" s="404" t="s">
        <v>16944</v>
      </c>
      <c r="J82" s="404" t="s">
        <v>16945</v>
      </c>
      <c r="K82" s="460" t="str">
        <f>HYPERLINK("https://www.google.com/maps/dir/?api=1&amp;origin=39.4811,-8.5311&amp;destination=39.4711,-8.5411&amp;travelmode=walking","🗺 Passadiços do Almonda")</f>
        <v>🗺 Passadiços do Almonda</v>
      </c>
    </row>
    <row r="83" spans="1:11" ht="20" customHeight="1" x14ac:dyDescent="0.4">
      <c r="A83" s="405">
        <v>78</v>
      </c>
      <c r="B83" s="406" t="s">
        <v>16946</v>
      </c>
      <c r="C83" s="407" t="s">
        <v>16947</v>
      </c>
      <c r="D83" s="408" t="s">
        <v>23756</v>
      </c>
      <c r="E83" s="408" t="s">
        <v>23756</v>
      </c>
      <c r="F83" s="405" t="s">
        <v>16580</v>
      </c>
      <c r="G83" s="408" t="s">
        <v>16581</v>
      </c>
      <c r="H83" s="409" t="s">
        <v>16948</v>
      </c>
      <c r="I83" s="409" t="s">
        <v>16949</v>
      </c>
      <c r="J83" s="409" t="s">
        <v>16950</v>
      </c>
      <c r="K83" s="461" t="str">
        <f>HYPERLINK("https://www.google.com/maps/dir/?api=1&amp;origin=39.5311,-8.8111&amp;destination=39.5311,-8.8111&amp;travelmode=walking","🗺 Passadiços da Serra de Aire")</f>
        <v>🗺 Passadiços da Serra de Aire</v>
      </c>
    </row>
    <row r="84" spans="1:11" ht="20" customHeight="1" x14ac:dyDescent="0.4">
      <c r="A84" s="400">
        <v>79</v>
      </c>
      <c r="B84" s="401" t="s">
        <v>16951</v>
      </c>
      <c r="C84" s="402" t="s">
        <v>16952</v>
      </c>
      <c r="D84" s="403" t="s">
        <v>23757</v>
      </c>
      <c r="E84" s="403" t="s">
        <v>23945</v>
      </c>
      <c r="F84" s="400" t="s">
        <v>2868</v>
      </c>
      <c r="G84" s="403" t="s">
        <v>16575</v>
      </c>
      <c r="H84" s="404" t="s">
        <v>16953</v>
      </c>
      <c r="I84" s="404" t="s">
        <v>16954</v>
      </c>
      <c r="J84" s="404" t="s">
        <v>16955</v>
      </c>
      <c r="K84" s="460" t="str">
        <f>HYPERLINK("https://www.google.com/maps/dir/?api=1&amp;origin=38.9555,-8.5211&amp;destination=38.9611,-8.5111&amp;travelmode=walking","🗺 Ecovia do Sorraia")</f>
        <v>🗺 Ecovia do Sorraia</v>
      </c>
    </row>
    <row r="85" spans="1:11" ht="20" customHeight="1" x14ac:dyDescent="0.4">
      <c r="A85" s="405">
        <v>80</v>
      </c>
      <c r="B85" s="406" t="s">
        <v>16956</v>
      </c>
      <c r="C85" s="407" t="s">
        <v>16957</v>
      </c>
      <c r="D85" s="408" t="s">
        <v>23758</v>
      </c>
      <c r="E85" s="408" t="s">
        <v>23758</v>
      </c>
      <c r="F85" s="405" t="s">
        <v>16610</v>
      </c>
      <c r="G85" s="408" t="s">
        <v>16581</v>
      </c>
      <c r="H85" s="409" t="s">
        <v>16958</v>
      </c>
      <c r="I85" s="409" t="s">
        <v>16959</v>
      </c>
      <c r="J85" s="409" t="s">
        <v>16960</v>
      </c>
      <c r="K85" s="461" t="str">
        <f>HYPERLINK("https://www.google.com/maps/dir/?api=1&amp;origin=39.6811,-8.2311&amp;destination=39.6811,-8.2311&amp;travelmode=walking","🗺 Passadiços do Lago Azul")</f>
        <v>🗺 Passadiços do Lago Azul</v>
      </c>
    </row>
    <row r="86" spans="1:11" ht="20" customHeight="1" x14ac:dyDescent="0.45">
      <c r="A86" s="1597" t="s">
        <v>16567</v>
      </c>
      <c r="B86" s="1597"/>
      <c r="C86" s="1597"/>
      <c r="D86" s="1597"/>
      <c r="E86" s="1597"/>
      <c r="F86" s="1597"/>
      <c r="G86" s="1597"/>
      <c r="H86" s="1597"/>
      <c r="I86" s="1597"/>
      <c r="J86" s="1597"/>
      <c r="K86" s="1597"/>
    </row>
    <row r="87" spans="1:11" ht="20" customHeight="1" x14ac:dyDescent="0.4">
      <c r="A87" s="410">
        <v>81</v>
      </c>
      <c r="B87" s="411" t="s">
        <v>16961</v>
      </c>
      <c r="C87" s="412" t="s">
        <v>16962</v>
      </c>
      <c r="D87" s="413" t="s">
        <v>23759</v>
      </c>
      <c r="E87" s="413" t="s">
        <v>23946</v>
      </c>
      <c r="F87" s="410" t="s">
        <v>2868</v>
      </c>
      <c r="G87" s="413" t="s">
        <v>16581</v>
      </c>
      <c r="H87" s="414" t="s">
        <v>16963</v>
      </c>
      <c r="I87" s="414" t="s">
        <v>16964</v>
      </c>
      <c r="J87" s="414" t="s">
        <v>16965</v>
      </c>
      <c r="K87" s="464" t="str">
        <f>HYPERLINK("https://www.google.com/maps/dir/?api=1&amp;origin=38.7752,-9.2985&amp;destination=38.7911,-9.3122&amp;travelmode=walking","🗺 Passadiços da Ribeira das Jardas")</f>
        <v>🗺 Passadiços da Ribeira das Jardas</v>
      </c>
    </row>
    <row r="88" spans="1:11" ht="20" customHeight="1" x14ac:dyDescent="0.4">
      <c r="A88" s="415">
        <v>82</v>
      </c>
      <c r="B88" s="416" t="s">
        <v>16966</v>
      </c>
      <c r="C88" s="417" t="s">
        <v>1077</v>
      </c>
      <c r="D88" s="418" t="s">
        <v>23760</v>
      </c>
      <c r="E88" s="418" t="s">
        <v>23947</v>
      </c>
      <c r="F88" s="415" t="s">
        <v>2868</v>
      </c>
      <c r="G88" s="418" t="s">
        <v>16581</v>
      </c>
      <c r="H88" s="419" t="s">
        <v>16967</v>
      </c>
      <c r="I88" s="419" t="s">
        <v>16968</v>
      </c>
      <c r="J88" s="419" t="s">
        <v>16969</v>
      </c>
      <c r="K88" s="465" t="str">
        <f>HYPERLINK("https://www.google.com/maps/dir/?api=1&amp;origin=38.7011,-9.3985&amp;destination=38.6955,-9.4188&amp;travelmode=walking","🗺 Passeio Marítimo de Cascais")</f>
        <v>🗺 Passeio Marítimo de Cascais</v>
      </c>
    </row>
    <row r="89" spans="1:11" ht="20" customHeight="1" x14ac:dyDescent="0.4">
      <c r="A89" s="410">
        <v>83</v>
      </c>
      <c r="B89" s="411" t="s">
        <v>16970</v>
      </c>
      <c r="C89" s="412" t="s">
        <v>1077</v>
      </c>
      <c r="D89" s="413" t="s">
        <v>23761</v>
      </c>
      <c r="E89" s="413" t="s">
        <v>23948</v>
      </c>
      <c r="F89" s="410" t="s">
        <v>2283</v>
      </c>
      <c r="G89" s="413" t="s">
        <v>16575</v>
      </c>
      <c r="H89" s="414" t="s">
        <v>16971</v>
      </c>
      <c r="I89" s="414" t="s">
        <v>16972</v>
      </c>
      <c r="J89" s="414" t="s">
        <v>16973</v>
      </c>
      <c r="K89" s="464" t="str">
        <f>HYPERLINK("https://www.google.com/maps/dir/?api=1&amp;origin=38.6945,-9.4211&amp;destination=38.7095,-9.4715&amp;travelmode=walking","🗺 Ciclovia da Guia")</f>
        <v>🗺 Ciclovia da Guia</v>
      </c>
    </row>
    <row r="90" spans="1:11" ht="20" customHeight="1" x14ac:dyDescent="0.4">
      <c r="A90" s="415">
        <v>84</v>
      </c>
      <c r="B90" s="416" t="s">
        <v>16974</v>
      </c>
      <c r="C90" s="417" t="s">
        <v>1077</v>
      </c>
      <c r="D90" s="418" t="s">
        <v>23762</v>
      </c>
      <c r="E90" s="418" t="s">
        <v>23762</v>
      </c>
      <c r="F90" s="415" t="s">
        <v>16610</v>
      </c>
      <c r="G90" s="418" t="s">
        <v>16581</v>
      </c>
      <c r="H90" s="419" t="s">
        <v>16975</v>
      </c>
      <c r="I90" s="419" t="s">
        <v>16976</v>
      </c>
      <c r="J90" s="419" t="s">
        <v>16977</v>
      </c>
      <c r="K90" s="465" t="str">
        <f>HYPERLINK("https://www.google.com/maps/dir/?api=1&amp;origin=38.7255,-9.4750&amp;destination=38.7255,-9.4750&amp;travelmode=walking","🗺 Passadiço das Dunas do Guincho")</f>
        <v>🗺 Passadiço das Dunas do Guincho</v>
      </c>
    </row>
    <row r="91" spans="1:11" ht="20" customHeight="1" x14ac:dyDescent="0.4">
      <c r="A91" s="410">
        <v>85</v>
      </c>
      <c r="B91" s="411" t="s">
        <v>16978</v>
      </c>
      <c r="C91" s="412" t="s">
        <v>16979</v>
      </c>
      <c r="D91" s="413" t="s">
        <v>23763</v>
      </c>
      <c r="E91" s="413" t="s">
        <v>23949</v>
      </c>
      <c r="F91" s="410" t="s">
        <v>2868</v>
      </c>
      <c r="G91" s="413" t="s">
        <v>16575</v>
      </c>
      <c r="H91" s="414" t="s">
        <v>16980</v>
      </c>
      <c r="I91" s="414" t="s">
        <v>16981</v>
      </c>
      <c r="J91" s="414" t="s">
        <v>16982</v>
      </c>
      <c r="K91" s="464" t="str">
        <f>HYPERLINK("https://www.google.com/maps/dir/?api=1&amp;origin=38.9455,-9.4111&amp;destination=38.9311,-9.3985&amp;travelmode=walking","🗺 Ecovia do Rio Lizandro")</f>
        <v>🗺 Ecovia do Rio Lizandro</v>
      </c>
    </row>
    <row r="92" spans="1:11" ht="20" customHeight="1" x14ac:dyDescent="0.4">
      <c r="A92" s="415">
        <v>86</v>
      </c>
      <c r="B92" s="416" t="s">
        <v>16983</v>
      </c>
      <c r="C92" s="417" t="s">
        <v>7718</v>
      </c>
      <c r="D92" s="418" t="s">
        <v>23764</v>
      </c>
      <c r="E92" s="418" t="s">
        <v>23764</v>
      </c>
      <c r="F92" s="415" t="s">
        <v>2326</v>
      </c>
      <c r="G92" s="418" t="s">
        <v>16581</v>
      </c>
      <c r="H92" s="419" t="s">
        <v>16984</v>
      </c>
      <c r="I92" s="419" t="s">
        <v>16985</v>
      </c>
      <c r="J92" s="419" t="s">
        <v>2609</v>
      </c>
      <c r="K92" s="465" t="str">
        <f>HYPERLINK("https://www.google.com/maps/dir/?api=1&amp;origin=38.9611,-9.3111&amp;destination=38.9611,-9.3111&amp;travelmode=walking","🗺 Passadiços da Tapada de Mafra")</f>
        <v>🗺 Passadiços da Tapada de Mafra</v>
      </c>
    </row>
    <row r="93" spans="1:11" ht="20" customHeight="1" x14ac:dyDescent="0.4">
      <c r="A93" s="410">
        <v>87</v>
      </c>
      <c r="B93" s="411" t="s">
        <v>16986</v>
      </c>
      <c r="C93" s="412" t="s">
        <v>16987</v>
      </c>
      <c r="D93" s="413" t="s">
        <v>23765</v>
      </c>
      <c r="E93" s="413" t="s">
        <v>23950</v>
      </c>
      <c r="F93" s="410" t="s">
        <v>16580</v>
      </c>
      <c r="G93" s="413" t="s">
        <v>16581</v>
      </c>
      <c r="H93" s="414" t="s">
        <v>16988</v>
      </c>
      <c r="I93" s="414" t="s">
        <v>16989</v>
      </c>
      <c r="J93" s="414" t="s">
        <v>16990</v>
      </c>
      <c r="K93" s="464" t="str">
        <f>HYPERLINK("https://www.google.com/maps/dir/?api=1&amp;origin=38.8655,-9.4485&amp;destination=38.8755,-9.4511&amp;travelmode=walking","🗺 Caminho do Mar (Magoito)")</f>
        <v>🗺 Caminho do Mar (Magoito)</v>
      </c>
    </row>
    <row r="94" spans="1:11" ht="20" customHeight="1" x14ac:dyDescent="0.4">
      <c r="A94" s="415">
        <v>88</v>
      </c>
      <c r="B94" s="416" t="s">
        <v>16991</v>
      </c>
      <c r="C94" s="417" t="s">
        <v>2567</v>
      </c>
      <c r="D94" s="418" t="s">
        <v>23766</v>
      </c>
      <c r="E94" s="418" t="s">
        <v>23951</v>
      </c>
      <c r="F94" s="415" t="s">
        <v>16635</v>
      </c>
      <c r="G94" s="418" t="s">
        <v>16575</v>
      </c>
      <c r="H94" s="419" t="s">
        <v>16992</v>
      </c>
      <c r="I94" s="419" t="s">
        <v>16993</v>
      </c>
      <c r="J94" s="419" t="s">
        <v>16994</v>
      </c>
      <c r="K94" s="465" t="str">
        <f>HYPERLINK("https://www.google.com/maps/dir/?api=1&amp;origin=38.7965,-9.3961&amp;destination=38.7961,-9.4005&amp;travelmode=walking","🗺 Ecovia Regaleira — Seteais")</f>
        <v>🗺 Ecovia Regaleira — Seteais</v>
      </c>
    </row>
    <row r="95" spans="1:11" ht="20" customHeight="1" x14ac:dyDescent="0.4">
      <c r="A95" s="410">
        <v>89</v>
      </c>
      <c r="B95" s="411" t="s">
        <v>16995</v>
      </c>
      <c r="C95" s="412" t="s">
        <v>16979</v>
      </c>
      <c r="D95" s="413" t="s">
        <v>23767</v>
      </c>
      <c r="E95" s="413" t="s">
        <v>23952</v>
      </c>
      <c r="F95" s="410" t="s">
        <v>2868</v>
      </c>
      <c r="G95" s="413" t="s">
        <v>16581</v>
      </c>
      <c r="H95" s="414" t="s">
        <v>16996</v>
      </c>
      <c r="I95" s="414" t="s">
        <v>16997</v>
      </c>
      <c r="J95" s="414" t="s">
        <v>16998</v>
      </c>
      <c r="K95" s="464" t="str">
        <f>HYPERLINK("https://www.google.com/maps/dir/?api=1&amp;origin=38.9811,-9.4188&amp;destination=38.9955,-9.4211&amp;travelmode=walking","🗺 Passadiços da Ericeira")</f>
        <v>🗺 Passadiços da Ericeira</v>
      </c>
    </row>
    <row r="96" spans="1:11" ht="20" customHeight="1" x14ac:dyDescent="0.4">
      <c r="A96" s="415">
        <v>90</v>
      </c>
      <c r="B96" s="416" t="s">
        <v>16999</v>
      </c>
      <c r="C96" s="417" t="s">
        <v>5691</v>
      </c>
      <c r="D96" s="418" t="s">
        <v>23768</v>
      </c>
      <c r="E96" s="418" t="s">
        <v>23768</v>
      </c>
      <c r="F96" s="415" t="s">
        <v>16580</v>
      </c>
      <c r="G96" s="418" t="s">
        <v>16575</v>
      </c>
      <c r="H96" s="419" t="s">
        <v>17000</v>
      </c>
      <c r="I96" s="419" t="s">
        <v>17001</v>
      </c>
      <c r="J96" s="419" t="s">
        <v>17002</v>
      </c>
      <c r="K96" s="465" t="str">
        <f>HYPERLINK("https://www.google.com/maps/dir/?api=1&amp;origin=38.7055,-9.2811&amp;destination=38.7055,-9.2811&amp;travelmode=walking","🗺 Ecovia do Parque dos Poetas")</f>
        <v>🗺 Ecovia do Parque dos Poetas</v>
      </c>
    </row>
    <row r="97" spans="1:11" ht="20" customHeight="1" x14ac:dyDescent="0.4">
      <c r="A97" s="410">
        <v>91</v>
      </c>
      <c r="B97" s="411" t="s">
        <v>17003</v>
      </c>
      <c r="C97" s="412" t="s">
        <v>17004</v>
      </c>
      <c r="D97" s="413" t="s">
        <v>23769</v>
      </c>
      <c r="E97" s="413" t="s">
        <v>23953</v>
      </c>
      <c r="F97" s="410" t="s">
        <v>2326</v>
      </c>
      <c r="G97" s="413" t="s">
        <v>16581</v>
      </c>
      <c r="H97" s="414" t="s">
        <v>17005</v>
      </c>
      <c r="I97" s="414" t="s">
        <v>17006</v>
      </c>
      <c r="J97" s="414" t="s">
        <v>17007</v>
      </c>
      <c r="K97" s="464" t="str">
        <f>HYPERLINK("https://www.google.com/maps/dir/?api=1&amp;origin=38.6941,-9.2155&amp;destination=38.7055,-9.1711&amp;travelmode=walking","🗺 Passeio Ribeirinho de Belém")</f>
        <v>🗺 Passeio Ribeirinho de Belém</v>
      </c>
    </row>
    <row r="98" spans="1:11" ht="20" customHeight="1" x14ac:dyDescent="0.4">
      <c r="A98" s="415">
        <v>92</v>
      </c>
      <c r="B98" s="416" t="s">
        <v>17008</v>
      </c>
      <c r="C98" s="417" t="s">
        <v>913</v>
      </c>
      <c r="D98" s="418" t="s">
        <v>23770</v>
      </c>
      <c r="E98" s="418" t="s">
        <v>23954</v>
      </c>
      <c r="F98" s="415" t="s">
        <v>2326</v>
      </c>
      <c r="G98" s="418" t="s">
        <v>16575</v>
      </c>
      <c r="H98" s="419" t="s">
        <v>17009</v>
      </c>
      <c r="I98" s="419" t="s">
        <v>17010</v>
      </c>
      <c r="J98" s="419" t="s">
        <v>17011</v>
      </c>
      <c r="K98" s="465" t="str">
        <f>HYPERLINK("https://www.google.com/maps/dir/?api=1&amp;origin=38.7511,-9.0911&amp;destination=38.7911,-9.0955&amp;travelmode=walking","🗺 Ecovia do Parque das Nações")</f>
        <v>🗺 Ecovia do Parque das Nações</v>
      </c>
    </row>
    <row r="99" spans="1:11" ht="20" customHeight="1" x14ac:dyDescent="0.4">
      <c r="A99" s="410">
        <v>93</v>
      </c>
      <c r="B99" s="411" t="s">
        <v>17012</v>
      </c>
      <c r="C99" s="412" t="s">
        <v>17013</v>
      </c>
      <c r="D99" s="413" t="s">
        <v>23771</v>
      </c>
      <c r="E99" s="413" t="s">
        <v>23955</v>
      </c>
      <c r="F99" s="410" t="s">
        <v>2283</v>
      </c>
      <c r="G99" s="413" t="s">
        <v>16581</v>
      </c>
      <c r="H99" s="414" t="s">
        <v>17014</v>
      </c>
      <c r="I99" s="414" t="s">
        <v>17015</v>
      </c>
      <c r="J99" s="414" t="s">
        <v>17016</v>
      </c>
      <c r="K99" s="464" t="str">
        <f>HYPERLINK("https://www.google.com/maps/dir/?api=1&amp;origin=38.9511,-8.9911&amp;destination=38.9211,-9.0111&amp;travelmode=walking","🗺 Passadiço do Tejo (V. F. Xira)")</f>
        <v>🗺 Passadiço do Tejo (V. F. Xira)</v>
      </c>
    </row>
    <row r="100" spans="1:11" ht="20" customHeight="1" x14ac:dyDescent="0.4">
      <c r="A100" s="415">
        <v>94</v>
      </c>
      <c r="B100" s="416" t="s">
        <v>17017</v>
      </c>
      <c r="C100" s="417" t="s">
        <v>17013</v>
      </c>
      <c r="D100" s="418" t="s">
        <v>23772</v>
      </c>
      <c r="E100" s="418" t="s">
        <v>23956</v>
      </c>
      <c r="F100" s="415" t="s">
        <v>2868</v>
      </c>
      <c r="G100" s="418" t="s">
        <v>16581</v>
      </c>
      <c r="H100" s="419" t="s">
        <v>17018</v>
      </c>
      <c r="I100" s="419" t="s">
        <v>17019</v>
      </c>
      <c r="J100" s="419" t="s">
        <v>17020</v>
      </c>
      <c r="K100" s="465" t="str">
        <f>HYPERLINK("https://www.google.com/maps/dir/?api=1&amp;origin=38.8555,-9.0611&amp;destination=38.8711,-9.0411&amp;travelmode=walking","🗺 Passadiços da Póvoa de Sta Iria")</f>
        <v>🗺 Passadiços da Póvoa de Sta Iria</v>
      </c>
    </row>
    <row r="101" spans="1:11" ht="20" customHeight="1" x14ac:dyDescent="0.4">
      <c r="A101" s="410">
        <v>95</v>
      </c>
      <c r="B101" s="411" t="s">
        <v>17021</v>
      </c>
      <c r="C101" s="412" t="s">
        <v>17022</v>
      </c>
      <c r="D101" s="413" t="s">
        <v>23773</v>
      </c>
      <c r="E101" s="413" t="s">
        <v>23957</v>
      </c>
      <c r="F101" s="410" t="s">
        <v>2845</v>
      </c>
      <c r="G101" s="413" t="s">
        <v>16575</v>
      </c>
      <c r="H101" s="414" t="s">
        <v>17023</v>
      </c>
      <c r="I101" s="414" t="s">
        <v>17024</v>
      </c>
      <c r="J101" s="414" t="s">
        <v>17025</v>
      </c>
      <c r="K101" s="464" t="str">
        <f>HYPERLINK("https://www.google.com/maps/dir/?api=1&amp;origin=38.8055,-9.4511&amp;destination=38.8011,-9.4111&amp;travelmode=walking","🗺 Ecovia da Ribeira de Colares")</f>
        <v>🗺 Ecovia da Ribeira de Colares</v>
      </c>
    </row>
    <row r="102" spans="1:11" ht="20" customHeight="1" x14ac:dyDescent="0.4">
      <c r="A102" s="415">
        <v>96</v>
      </c>
      <c r="B102" s="416" t="s">
        <v>17026</v>
      </c>
      <c r="C102" s="417" t="s">
        <v>17013</v>
      </c>
      <c r="D102" s="418" t="s">
        <v>23774</v>
      </c>
      <c r="E102" s="418" t="s">
        <v>23774</v>
      </c>
      <c r="F102" s="415" t="s">
        <v>16580</v>
      </c>
      <c r="G102" s="418" t="s">
        <v>16581</v>
      </c>
      <c r="H102" s="419" t="s">
        <v>17027</v>
      </c>
      <c r="I102" s="419" t="s">
        <v>17028</v>
      </c>
      <c r="J102" s="419" t="s">
        <v>17029</v>
      </c>
      <c r="K102" s="465" t="str">
        <f>HYPERLINK("https://www.google.com/maps/dir/?api=1&amp;origin=38.8811,-9.0311&amp;destination=38.8811,-9.0311&amp;travelmode=walking","🗺 Passadiços de Alverca")</f>
        <v>🗺 Passadiços de Alverca</v>
      </c>
    </row>
    <row r="103" spans="1:11" ht="20" customHeight="1" x14ac:dyDescent="0.4">
      <c r="A103" s="410">
        <v>97</v>
      </c>
      <c r="B103" s="411" t="s">
        <v>17030</v>
      </c>
      <c r="C103" s="412" t="s">
        <v>17031</v>
      </c>
      <c r="D103" s="413" t="s">
        <v>23775</v>
      </c>
      <c r="E103" s="413" t="s">
        <v>23769</v>
      </c>
      <c r="F103" s="410" t="s">
        <v>16580</v>
      </c>
      <c r="G103" s="413" t="s">
        <v>16575</v>
      </c>
      <c r="H103" s="414" t="s">
        <v>17032</v>
      </c>
      <c r="I103" s="414" t="s">
        <v>17033</v>
      </c>
      <c r="J103" s="414" t="s">
        <v>17034</v>
      </c>
      <c r="K103" s="464" t="str">
        <f>HYPERLINK("https://www.google.com/maps/dir/?api=1&amp;origin=38.6955,-9.2311&amp;destination=38.6941,-9.2155&amp;travelmode=walking","🗺 Caminho Marítimo de Algés")</f>
        <v>🗺 Caminho Marítimo de Algés</v>
      </c>
    </row>
    <row r="104" spans="1:11" ht="20" customHeight="1" x14ac:dyDescent="0.4">
      <c r="A104" s="415">
        <v>98</v>
      </c>
      <c r="B104" s="416" t="s">
        <v>17035</v>
      </c>
      <c r="C104" s="417" t="s">
        <v>17031</v>
      </c>
      <c r="D104" s="418" t="s">
        <v>23776</v>
      </c>
      <c r="E104" s="418" t="s">
        <v>23776</v>
      </c>
      <c r="F104" s="415" t="s">
        <v>2868</v>
      </c>
      <c r="G104" s="418" t="s">
        <v>16575</v>
      </c>
      <c r="H104" s="419" t="s">
        <v>17036</v>
      </c>
      <c r="I104" s="419" t="s">
        <v>17037</v>
      </c>
      <c r="J104" s="419" t="s">
        <v>17038</v>
      </c>
      <c r="K104" s="465" t="str">
        <f>HYPERLINK("https://www.google.com/maps/dir/?api=1&amp;origin=38.7055,-9.2511&amp;destination=38.7055,-9.2511&amp;travelmode=walking","🗺 Ecovia do Jamor")</f>
        <v>🗺 Ecovia do Jamor</v>
      </c>
    </row>
    <row r="105" spans="1:11" ht="20" customHeight="1" x14ac:dyDescent="0.4">
      <c r="A105" s="410">
        <v>99</v>
      </c>
      <c r="B105" s="411" t="s">
        <v>17039</v>
      </c>
      <c r="C105" s="412" t="s">
        <v>17040</v>
      </c>
      <c r="D105" s="413" t="s">
        <v>23777</v>
      </c>
      <c r="E105" s="413" t="s">
        <v>23958</v>
      </c>
      <c r="F105" s="410" t="s">
        <v>2845</v>
      </c>
      <c r="G105" s="413" t="s">
        <v>16581</v>
      </c>
      <c r="H105" s="414" t="s">
        <v>17041</v>
      </c>
      <c r="I105" s="414" t="s">
        <v>17042</v>
      </c>
      <c r="J105" s="414" t="s">
        <v>17043</v>
      </c>
      <c r="K105" s="464" t="str">
        <f>HYPERLINK("https://www.google.com/maps/dir/?api=1&amp;origin=38.6411,-9.1011&amp;destination=38.6555,-9.0811&amp;travelmode=walking","🗺 Passadiços do Seixal ao Barreiro")</f>
        <v>🗺 Passadiços do Seixal ao Barreiro</v>
      </c>
    </row>
    <row r="106" spans="1:11" ht="20" customHeight="1" x14ac:dyDescent="0.4">
      <c r="A106" s="415">
        <v>100</v>
      </c>
      <c r="B106" s="416" t="s">
        <v>17044</v>
      </c>
      <c r="C106" s="417" t="s">
        <v>17045</v>
      </c>
      <c r="D106" s="418" t="s">
        <v>23778</v>
      </c>
      <c r="E106" s="418" t="s">
        <v>23959</v>
      </c>
      <c r="F106" s="415" t="s">
        <v>2868</v>
      </c>
      <c r="G106" s="418" t="s">
        <v>16581</v>
      </c>
      <c r="H106" s="419" t="s">
        <v>17046</v>
      </c>
      <c r="I106" s="419" t="s">
        <v>17047</v>
      </c>
      <c r="J106" s="419" t="s">
        <v>17048</v>
      </c>
      <c r="K106" s="465" t="str">
        <f>HYPERLINK("https://www.google.com/maps/dir/?api=1&amp;origin=38.7511,-8.9611&amp;destination=38.7411,-8.9411&amp;travelmode=walking","🗺 Passadiço de Alcochete")</f>
        <v>🗺 Passadiço de Alcochete</v>
      </c>
    </row>
    <row r="107" spans="1:11" ht="20" customHeight="1" x14ac:dyDescent="0.4">
      <c r="A107" s="410">
        <v>101</v>
      </c>
      <c r="B107" s="411" t="s">
        <v>17049</v>
      </c>
      <c r="C107" s="412" t="s">
        <v>17050</v>
      </c>
      <c r="D107" s="413" t="s">
        <v>23779</v>
      </c>
      <c r="E107" s="413" t="s">
        <v>23779</v>
      </c>
      <c r="F107" s="410" t="s">
        <v>2845</v>
      </c>
      <c r="G107" s="413" t="s">
        <v>16575</v>
      </c>
      <c r="H107" s="414" t="s">
        <v>17051</v>
      </c>
      <c r="I107" s="414" t="s">
        <v>17052</v>
      </c>
      <c r="J107" s="414" t="s">
        <v>17053</v>
      </c>
      <c r="K107" s="464" t="str">
        <f>HYPERLINK("https://www.google.com/maps/dir/?api=1&amp;origin=38.5011,-8.8111&amp;destination=38.5011,-8.8111&amp;travelmode=walking","🗺 Ecovia da Reserva do Sado")</f>
        <v>🗺 Ecovia da Reserva do Sado</v>
      </c>
    </row>
    <row r="108" spans="1:11" ht="20" customHeight="1" x14ac:dyDescent="0.4">
      <c r="A108" s="415">
        <v>102</v>
      </c>
      <c r="B108" s="416" t="s">
        <v>17054</v>
      </c>
      <c r="C108" s="417" t="s">
        <v>17055</v>
      </c>
      <c r="D108" s="418" t="s">
        <v>23780</v>
      </c>
      <c r="E108" s="418" t="s">
        <v>23780</v>
      </c>
      <c r="F108" s="415" t="s">
        <v>16580</v>
      </c>
      <c r="G108" s="418" t="s">
        <v>16581</v>
      </c>
      <c r="H108" s="419" t="s">
        <v>17056</v>
      </c>
      <c r="I108" s="419" t="s">
        <v>17057</v>
      </c>
      <c r="J108" s="419" t="s">
        <v>17058</v>
      </c>
      <c r="K108" s="465" t="str">
        <f>HYPERLINK("https://www.google.com/maps/dir/?api=1&amp;origin=38.5111,-9.1755&amp;destination=38.5111,-9.1755&amp;travelmode=walking","🗺 Passadiços da Lagoa de Albufeira")</f>
        <v>🗺 Passadiços da Lagoa de Albufeira</v>
      </c>
    </row>
    <row r="109" spans="1:11" ht="20" customHeight="1" x14ac:dyDescent="0.4">
      <c r="A109" s="410">
        <v>103</v>
      </c>
      <c r="B109" s="411" t="s">
        <v>17059</v>
      </c>
      <c r="C109" s="412" t="s">
        <v>17060</v>
      </c>
      <c r="D109" s="413" t="s">
        <v>23781</v>
      </c>
      <c r="E109" s="413" t="s">
        <v>23781</v>
      </c>
      <c r="F109" s="410" t="s">
        <v>16580</v>
      </c>
      <c r="G109" s="413" t="s">
        <v>16575</v>
      </c>
      <c r="H109" s="414" t="s">
        <v>17061</v>
      </c>
      <c r="I109" s="414" t="s">
        <v>17062</v>
      </c>
      <c r="J109" s="414" t="s">
        <v>17063</v>
      </c>
      <c r="K109" s="464" t="str">
        <f>HYPERLINK("https://www.google.com/maps/dir/?api=1&amp;origin=38.7011,-8.9711&amp;destination=38.7011,-8.9711&amp;travelmode=walking","🗺 Ecovia do Montijo")</f>
        <v>🗺 Ecovia do Montijo</v>
      </c>
    </row>
    <row r="110" spans="1:11" ht="20" customHeight="1" x14ac:dyDescent="0.4">
      <c r="A110" s="415">
        <v>104</v>
      </c>
      <c r="B110" s="416" t="s">
        <v>17064</v>
      </c>
      <c r="C110" s="417" t="s">
        <v>17040</v>
      </c>
      <c r="D110" s="418" t="s">
        <v>23782</v>
      </c>
      <c r="E110" s="418" t="s">
        <v>23782</v>
      </c>
      <c r="F110" s="415" t="s">
        <v>16610</v>
      </c>
      <c r="G110" s="418" t="s">
        <v>16581</v>
      </c>
      <c r="H110" s="419" t="s">
        <v>17065</v>
      </c>
      <c r="I110" s="419" t="s">
        <v>17066</v>
      </c>
      <c r="J110" s="419" t="s">
        <v>13142</v>
      </c>
      <c r="K110" s="465" t="str">
        <f>HYPERLINK("https://www.google.com/maps/dir/?api=1&amp;origin=38.6411,-9.1411&amp;destination=38.6411,-9.1411&amp;travelmode=walking","🗺 Passadiço de Corroios")</f>
        <v>🗺 Passadiço de Corroios</v>
      </c>
    </row>
    <row r="111" spans="1:11" ht="20" customHeight="1" x14ac:dyDescent="0.4">
      <c r="A111" s="410">
        <v>105</v>
      </c>
      <c r="B111" s="411" t="s">
        <v>17067</v>
      </c>
      <c r="C111" s="412" t="s">
        <v>17068</v>
      </c>
      <c r="D111" s="413" t="s">
        <v>23783</v>
      </c>
      <c r="E111" s="413" t="s">
        <v>23960</v>
      </c>
      <c r="F111" s="410" t="s">
        <v>16580</v>
      </c>
      <c r="G111" s="413" t="s">
        <v>16581</v>
      </c>
      <c r="H111" s="414" t="s">
        <v>17069</v>
      </c>
      <c r="I111" s="414" t="s">
        <v>17070</v>
      </c>
      <c r="J111" s="414" t="s">
        <v>17071</v>
      </c>
      <c r="K111" s="464" t="str">
        <f>HYPERLINK("https://www.google.com/maps/dir/?api=1&amp;origin=38.6855,-9.1455&amp;destination=38.6811,-9.1555&amp;travelmode=walking","🗺 Passadiços de Almada")</f>
        <v>🗺 Passadiços de Almada</v>
      </c>
    </row>
    <row r="112" spans="1:11" ht="20" customHeight="1" x14ac:dyDescent="0.4">
      <c r="A112" s="415">
        <v>106</v>
      </c>
      <c r="B112" s="416" t="s">
        <v>17072</v>
      </c>
      <c r="C112" s="417" t="s">
        <v>17073</v>
      </c>
      <c r="D112" s="418" t="s">
        <v>23784</v>
      </c>
      <c r="E112" s="418" t="s">
        <v>23784</v>
      </c>
      <c r="F112" s="415" t="s">
        <v>16580</v>
      </c>
      <c r="G112" s="418" t="s">
        <v>16581</v>
      </c>
      <c r="H112" s="419" t="s">
        <v>17074</v>
      </c>
      <c r="I112" s="419" t="s">
        <v>17075</v>
      </c>
      <c r="J112" s="419" t="s">
        <v>17076</v>
      </c>
      <c r="K112" s="465" t="str">
        <f>HYPERLINK("https://www.google.com/maps/dir/?api=1&amp;origin=38.9811,-8.7911&amp;destination=38.9811,-8.7911&amp;travelmode=walking","🗺 Passadiços de Salvaterra de Magos")</f>
        <v>🗺 Passadiços de Salvaterra de Magos</v>
      </c>
    </row>
    <row r="113" spans="1:11" ht="20" customHeight="1" x14ac:dyDescent="0.4">
      <c r="A113" s="410">
        <v>107</v>
      </c>
      <c r="B113" s="411" t="s">
        <v>16951</v>
      </c>
      <c r="C113" s="412" t="s">
        <v>17077</v>
      </c>
      <c r="D113" s="413" t="s">
        <v>23785</v>
      </c>
      <c r="E113" s="413" t="s">
        <v>23785</v>
      </c>
      <c r="F113" s="410" t="s">
        <v>2845</v>
      </c>
      <c r="G113" s="413" t="s">
        <v>16575</v>
      </c>
      <c r="H113" s="414" t="s">
        <v>17078</v>
      </c>
      <c r="I113" s="414" t="s">
        <v>17079</v>
      </c>
      <c r="J113" s="414" t="s">
        <v>8404</v>
      </c>
      <c r="K113" s="464" t="str">
        <f>HYPERLINK("https://www.google.com/maps/dir/?api=1&amp;origin=38.9811,-8.8111&amp;destination=38.9811,-8.8111&amp;travelmode=walking","🗺 Ecovia do Sorraia")</f>
        <v>🗺 Ecovia do Sorraia</v>
      </c>
    </row>
    <row r="114" spans="1:11" ht="20" customHeight="1" x14ac:dyDescent="0.4">
      <c r="A114" s="415">
        <v>108</v>
      </c>
      <c r="B114" s="416" t="s">
        <v>17080</v>
      </c>
      <c r="C114" s="417" t="s">
        <v>17073</v>
      </c>
      <c r="D114" s="418" t="s">
        <v>23786</v>
      </c>
      <c r="E114" s="418" t="s">
        <v>23786</v>
      </c>
      <c r="F114" s="415" t="s">
        <v>16635</v>
      </c>
      <c r="G114" s="418" t="s">
        <v>16581</v>
      </c>
      <c r="H114" s="419" t="s">
        <v>17081</v>
      </c>
      <c r="I114" s="419" t="s">
        <v>17082</v>
      </c>
      <c r="J114" s="419" t="s">
        <v>17083</v>
      </c>
      <c r="K114" s="465" t="str">
        <f>HYPERLINK("https://www.google.com/maps/dir/?api=1&amp;origin=39.0611,-8.7511&amp;destination=39.0611,-8.7511&amp;travelmode=walking","🗺 Passadiços do Escaroupim")</f>
        <v>🗺 Passadiços do Escaroupim</v>
      </c>
    </row>
    <row r="115" spans="1:11" ht="20" customHeight="1" x14ac:dyDescent="0.4">
      <c r="A115" s="410">
        <v>109</v>
      </c>
      <c r="B115" s="411" t="s">
        <v>17084</v>
      </c>
      <c r="C115" s="412" t="s">
        <v>17085</v>
      </c>
      <c r="D115" s="413" t="s">
        <v>23750</v>
      </c>
      <c r="E115" s="413" t="s">
        <v>23750</v>
      </c>
      <c r="F115" s="410" t="s">
        <v>16635</v>
      </c>
      <c r="G115" s="413" t="s">
        <v>16581</v>
      </c>
      <c r="H115" s="414" t="s">
        <v>13390</v>
      </c>
      <c r="I115" s="414" t="s">
        <v>17086</v>
      </c>
      <c r="J115" s="414" t="s">
        <v>17087</v>
      </c>
      <c r="K115" s="464" t="str">
        <f>HYPERLINK("https://www.google.com/maps/dir/?api=1&amp;origin=39.6055,-9.0755&amp;destination=39.6055,-9.0755&amp;travelmode=walking","🗺 Passadiço Nazaré — Praia do Norte")</f>
        <v>🗺 Passadiço Nazaré — Praia do Norte</v>
      </c>
    </row>
    <row r="116" spans="1:11" ht="20" customHeight="1" x14ac:dyDescent="0.4">
      <c r="A116" s="415">
        <v>110</v>
      </c>
      <c r="B116" s="416" t="s">
        <v>17088</v>
      </c>
      <c r="C116" s="417" t="s">
        <v>17089</v>
      </c>
      <c r="D116" s="418" t="s">
        <v>23787</v>
      </c>
      <c r="E116" s="418" t="s">
        <v>23787</v>
      </c>
      <c r="F116" s="415" t="s">
        <v>16580</v>
      </c>
      <c r="G116" s="418" t="s">
        <v>16575</v>
      </c>
      <c r="H116" s="419" t="s">
        <v>17090</v>
      </c>
      <c r="I116" s="419" t="s">
        <v>17091</v>
      </c>
      <c r="J116" s="419" t="s">
        <v>17092</v>
      </c>
      <c r="K116" s="465" t="str">
        <f>HYPERLINK("https://www.google.com/maps/dir/?api=1&amp;origin=39.5455,-8.9711&amp;destination=39.5455,-8.9711&amp;travelmode=walking","🗺 Ecovia do Rio Alcoa")</f>
        <v>🗺 Ecovia do Rio Alcoa</v>
      </c>
    </row>
    <row r="117" spans="1:11" ht="20" customHeight="1" x14ac:dyDescent="0.4">
      <c r="A117" s="410">
        <v>111</v>
      </c>
      <c r="B117" s="411" t="s">
        <v>17093</v>
      </c>
      <c r="C117" s="412" t="s">
        <v>17094</v>
      </c>
      <c r="D117" s="413" t="s">
        <v>23788</v>
      </c>
      <c r="E117" s="413" t="s">
        <v>23788</v>
      </c>
      <c r="F117" s="410" t="s">
        <v>16610</v>
      </c>
      <c r="G117" s="413" t="s">
        <v>16581</v>
      </c>
      <c r="H117" s="414" t="s">
        <v>17095</v>
      </c>
      <c r="I117" s="414" t="s">
        <v>17096</v>
      </c>
      <c r="J117" s="414" t="s">
        <v>17097</v>
      </c>
      <c r="K117" s="464" t="str">
        <f>HYPERLINK("https://www.google.com/maps/dir/?api=1&amp;origin=39.3655,-9.3755&amp;destination=39.3655,-9.3755&amp;travelmode=walking","🗺 Passadiço de Peniche")</f>
        <v>🗺 Passadiço de Peniche</v>
      </c>
    </row>
    <row r="118" spans="1:11" ht="20" customHeight="1" x14ac:dyDescent="0.4">
      <c r="A118" s="415">
        <v>112</v>
      </c>
      <c r="B118" s="416" t="s">
        <v>17098</v>
      </c>
      <c r="C118" s="417" t="s">
        <v>17099</v>
      </c>
      <c r="D118" s="418" t="s">
        <v>23789</v>
      </c>
      <c r="E118" s="418" t="s">
        <v>23789</v>
      </c>
      <c r="F118" s="415" t="s">
        <v>2868</v>
      </c>
      <c r="G118" s="418" t="s">
        <v>16575</v>
      </c>
      <c r="H118" s="419" t="s">
        <v>17100</v>
      </c>
      <c r="I118" s="419" t="s">
        <v>17101</v>
      </c>
      <c r="J118" s="419" t="s">
        <v>16897</v>
      </c>
      <c r="K118" s="465" t="str">
        <f>HYPERLINK("https://www.google.com/maps/dir/?api=1&amp;origin=39.4011,-9.1811&amp;destination=39.4011,-9.1811&amp;travelmode=walking","🗺 Ecovia de Óbidos")</f>
        <v>🗺 Ecovia de Óbidos</v>
      </c>
    </row>
    <row r="119" spans="1:11" ht="20" customHeight="1" x14ac:dyDescent="0.4">
      <c r="A119" s="410">
        <v>113</v>
      </c>
      <c r="B119" s="411" t="s">
        <v>17102</v>
      </c>
      <c r="C119" s="412" t="s">
        <v>17103</v>
      </c>
      <c r="D119" s="413" t="s">
        <v>23790</v>
      </c>
      <c r="E119" s="413" t="s">
        <v>23790</v>
      </c>
      <c r="F119" s="410" t="s">
        <v>16580</v>
      </c>
      <c r="G119" s="413" t="s">
        <v>16581</v>
      </c>
      <c r="H119" s="414" t="s">
        <v>17104</v>
      </c>
      <c r="I119" s="414" t="s">
        <v>17105</v>
      </c>
      <c r="J119" s="414" t="s">
        <v>17106</v>
      </c>
      <c r="K119" s="464" t="str">
        <f>HYPERLINK("https://www.google.com/maps/dir/?api=1&amp;origin=39.1355,-9.3711&amp;destination=39.1355,-9.3711&amp;travelmode=walking","🗺 Passadiços de Santa Cruz")</f>
        <v>🗺 Passadiços de Santa Cruz</v>
      </c>
    </row>
    <row r="120" spans="1:11" ht="20" customHeight="1" x14ac:dyDescent="0.4">
      <c r="A120" s="415">
        <v>114</v>
      </c>
      <c r="B120" s="416" t="s">
        <v>17107</v>
      </c>
      <c r="C120" s="417" t="s">
        <v>17103</v>
      </c>
      <c r="D120" s="418" t="s">
        <v>23791</v>
      </c>
      <c r="E120" s="418" t="s">
        <v>23791</v>
      </c>
      <c r="F120" s="415" t="s">
        <v>2845</v>
      </c>
      <c r="G120" s="418" t="s">
        <v>16575</v>
      </c>
      <c r="H120" s="419" t="s">
        <v>17108</v>
      </c>
      <c r="I120" s="419" t="s">
        <v>17109</v>
      </c>
      <c r="J120" s="419" t="s">
        <v>17110</v>
      </c>
      <c r="K120" s="465" t="str">
        <f>HYPERLINK("https://www.google.com/maps/dir/?api=1&amp;origin=39.0911,-9.2611&amp;destination=39.0911,-9.2611&amp;travelmode=walking","🗺 Ecovia do Rio Sizandro")</f>
        <v>🗺 Ecovia do Rio Sizandro</v>
      </c>
    </row>
    <row r="121" spans="1:11" ht="20" customHeight="1" x14ac:dyDescent="0.4">
      <c r="A121" s="410">
        <v>115</v>
      </c>
      <c r="B121" s="411" t="s">
        <v>17111</v>
      </c>
      <c r="C121" s="412" t="s">
        <v>17112</v>
      </c>
      <c r="D121" s="413" t="s">
        <v>23792</v>
      </c>
      <c r="E121" s="413" t="s">
        <v>23792</v>
      </c>
      <c r="F121" s="410" t="s">
        <v>16610</v>
      </c>
      <c r="G121" s="413" t="s">
        <v>16581</v>
      </c>
      <c r="H121" s="414" t="s">
        <v>17113</v>
      </c>
      <c r="I121" s="414" t="s">
        <v>17114</v>
      </c>
      <c r="J121" s="414" t="s">
        <v>7371</v>
      </c>
      <c r="K121" s="464" t="str">
        <f>HYPERLINK("https://www.google.com/maps/dir/?api=1&amp;origin=38.5655,-8.9011&amp;destination=38.5655,-8.9011&amp;travelmode=walking","🗺 Passadiços do Castelo de Palmela")</f>
        <v>🗺 Passadiços do Castelo de Palmela</v>
      </c>
    </row>
    <row r="122" spans="1:11" ht="20" customHeight="1" x14ac:dyDescent="0.4">
      <c r="A122" s="415">
        <v>116</v>
      </c>
      <c r="B122" s="416" t="s">
        <v>17115</v>
      </c>
      <c r="C122" s="417" t="s">
        <v>17116</v>
      </c>
      <c r="D122" s="418" t="s">
        <v>23793</v>
      </c>
      <c r="E122" s="418" t="s">
        <v>23793</v>
      </c>
      <c r="F122" s="415" t="s">
        <v>2868</v>
      </c>
      <c r="G122" s="418" t="s">
        <v>16575</v>
      </c>
      <c r="H122" s="419" t="s">
        <v>17117</v>
      </c>
      <c r="I122" s="419" t="s">
        <v>17118</v>
      </c>
      <c r="J122" s="419" t="s">
        <v>17119</v>
      </c>
      <c r="K122" s="465" t="str">
        <f>HYPERLINK("https://www.google.com/maps/dir/?api=1&amp;origin=39.4011,-8.4811&amp;destination=39.4011,-8.4811&amp;travelmode=walking","🗺 Ecovia do Almonda")</f>
        <v>🗺 Ecovia do Almonda</v>
      </c>
    </row>
    <row r="123" spans="1:11" ht="20" customHeight="1" x14ac:dyDescent="0.4">
      <c r="A123" s="410">
        <v>117</v>
      </c>
      <c r="B123" s="411" t="s">
        <v>17120</v>
      </c>
      <c r="C123" s="412" t="s">
        <v>17121</v>
      </c>
      <c r="D123" s="413" t="s">
        <v>23794</v>
      </c>
      <c r="E123" s="413" t="s">
        <v>23794</v>
      </c>
      <c r="F123" s="410" t="s">
        <v>16610</v>
      </c>
      <c r="G123" s="413" t="s">
        <v>16581</v>
      </c>
      <c r="H123" s="414" t="s">
        <v>17122</v>
      </c>
      <c r="I123" s="414" t="s">
        <v>17123</v>
      </c>
      <c r="J123" s="414" t="s">
        <v>13447</v>
      </c>
      <c r="K123" s="464" t="str">
        <f>HYPERLINK("https://www.google.com/maps/dir/?api=1&amp;origin=39.2311,-8.6755&amp;destination=39.2311,-8.6755&amp;travelmode=walking","🗺 Passadiços de Santarém")</f>
        <v>🗺 Passadiços de Santarém</v>
      </c>
    </row>
    <row r="124" spans="1:11" ht="20" customHeight="1" x14ac:dyDescent="0.4">
      <c r="A124" s="415">
        <v>118</v>
      </c>
      <c r="B124" s="416" t="s">
        <v>17124</v>
      </c>
      <c r="C124" s="417" t="s">
        <v>17116</v>
      </c>
      <c r="D124" s="418" t="s">
        <v>23795</v>
      </c>
      <c r="E124" s="418" t="s">
        <v>23795</v>
      </c>
      <c r="F124" s="415" t="s">
        <v>16580</v>
      </c>
      <c r="G124" s="418" t="s">
        <v>16581</v>
      </c>
      <c r="H124" s="419" t="s">
        <v>17125</v>
      </c>
      <c r="I124" s="419" t="s">
        <v>17126</v>
      </c>
      <c r="J124" s="419" t="s">
        <v>17127</v>
      </c>
      <c r="K124" s="465" t="str">
        <f>HYPERLINK("https://www.google.com/maps/dir/?api=1&amp;origin=39.3855,-8.5111&amp;destination=39.3855,-8.5111&amp;travelmode=walking","🗺 Passadiços do Paul do Boquilobo")</f>
        <v>🗺 Passadiços do Paul do Boquilobo</v>
      </c>
    </row>
    <row r="125" spans="1:11" ht="20" customHeight="1" x14ac:dyDescent="0.4">
      <c r="A125" s="410">
        <v>119</v>
      </c>
      <c r="B125" s="411" t="s">
        <v>16956</v>
      </c>
      <c r="C125" s="412" t="s">
        <v>17128</v>
      </c>
      <c r="D125" s="413" t="s">
        <v>23758</v>
      </c>
      <c r="E125" s="413" t="s">
        <v>23758</v>
      </c>
      <c r="F125" s="410" t="s">
        <v>16610</v>
      </c>
      <c r="G125" s="413" t="s">
        <v>16581</v>
      </c>
      <c r="H125" s="414" t="s">
        <v>16958</v>
      </c>
      <c r="I125" s="414" t="s">
        <v>17129</v>
      </c>
      <c r="J125" s="414" t="s">
        <v>16960</v>
      </c>
      <c r="K125" s="464" t="str">
        <f>HYPERLINK("https://www.google.com/maps/dir/?api=1&amp;origin=39.6811,-8.2311&amp;destination=39.6811,-8.2311&amp;travelmode=walking","🗺 Passadiços do Lago Azul")</f>
        <v>🗺 Passadiços do Lago Azul</v>
      </c>
    </row>
    <row r="126" spans="1:11" ht="20" customHeight="1" x14ac:dyDescent="0.4">
      <c r="A126" s="415">
        <v>120</v>
      </c>
      <c r="B126" s="416" t="s">
        <v>17130</v>
      </c>
      <c r="C126" s="417" t="s">
        <v>17131</v>
      </c>
      <c r="D126" s="418" t="s">
        <v>23796</v>
      </c>
      <c r="E126" s="418" t="s">
        <v>23796</v>
      </c>
      <c r="F126" s="415" t="s">
        <v>2868</v>
      </c>
      <c r="G126" s="418" t="s">
        <v>16575</v>
      </c>
      <c r="H126" s="419" t="s">
        <v>17132</v>
      </c>
      <c r="I126" s="419" t="s">
        <v>17133</v>
      </c>
      <c r="J126" s="419" t="s">
        <v>17134</v>
      </c>
      <c r="K126" s="465" t="str">
        <f>HYPERLINK("https://www.google.com/maps/dir/?api=1&amp;origin=39.0555,-8.9611&amp;destination=39.0555,-8.9611&amp;travelmode=walking","🗺 Ecovia do Rio Real")</f>
        <v>🗺 Ecovia do Rio Real</v>
      </c>
    </row>
    <row r="127" spans="1:11" ht="20" customHeight="1" x14ac:dyDescent="0.45">
      <c r="A127" s="1598" t="s">
        <v>16568</v>
      </c>
      <c r="B127" s="1598"/>
      <c r="C127" s="1598"/>
      <c r="D127" s="1598"/>
      <c r="E127" s="1598"/>
      <c r="F127" s="1598"/>
      <c r="G127" s="1598"/>
      <c r="H127" s="1598"/>
      <c r="I127" s="1598"/>
      <c r="J127" s="1598"/>
      <c r="K127" s="1598"/>
    </row>
    <row r="128" spans="1:11" ht="20" customHeight="1" x14ac:dyDescent="0.4">
      <c r="A128" s="420">
        <v>121</v>
      </c>
      <c r="B128" s="421" t="s">
        <v>17135</v>
      </c>
      <c r="C128" s="422" t="s">
        <v>17136</v>
      </c>
      <c r="D128" s="423" t="s">
        <v>23797</v>
      </c>
      <c r="E128" s="423" t="s">
        <v>23961</v>
      </c>
      <c r="F128" s="420" t="s">
        <v>16580</v>
      </c>
      <c r="G128" s="423" t="s">
        <v>16581</v>
      </c>
      <c r="H128" s="424" t="s">
        <v>17137</v>
      </c>
      <c r="I128" s="424" t="s">
        <v>17138</v>
      </c>
      <c r="J128" s="424" t="s">
        <v>17139</v>
      </c>
      <c r="K128" s="466" t="str">
        <f>HYPERLINK("https://www.google.com/maps/dir/?api=1&amp;origin=37.8515,-8.7932&amp;destination=37.8420,-8.7915&amp;travelmode=walking","🗺 Passadiços de Porto Covo")</f>
        <v>🗺 Passadiços de Porto Covo</v>
      </c>
    </row>
    <row r="129" spans="1:11" ht="20" customHeight="1" x14ac:dyDescent="0.4">
      <c r="A129" s="425">
        <v>122</v>
      </c>
      <c r="B129" s="426" t="s">
        <v>17140</v>
      </c>
      <c r="C129" s="427" t="s">
        <v>17141</v>
      </c>
      <c r="D129" s="428" t="s">
        <v>23798</v>
      </c>
      <c r="E129" s="428" t="s">
        <v>23962</v>
      </c>
      <c r="F129" s="425" t="s">
        <v>2868</v>
      </c>
      <c r="G129" s="428" t="s">
        <v>16581</v>
      </c>
      <c r="H129" s="429" t="s">
        <v>17142</v>
      </c>
      <c r="I129" s="429" t="s">
        <v>17143</v>
      </c>
      <c r="J129" s="429" t="s">
        <v>17144</v>
      </c>
      <c r="K129" s="467" t="str">
        <f>HYPERLINK("https://www.google.com/maps/dir/?api=1&amp;origin=38.1185,-8.7911&amp;destination=38.1050,-8.7850&amp;travelmode=walking","🗺 Passadiços Lagoa de Santo André")</f>
        <v>🗺 Passadiços Lagoa de Santo André</v>
      </c>
    </row>
    <row r="130" spans="1:11" ht="20" customHeight="1" x14ac:dyDescent="0.4">
      <c r="A130" s="420">
        <v>123</v>
      </c>
      <c r="B130" s="421" t="s">
        <v>17145</v>
      </c>
      <c r="C130" s="422" t="s">
        <v>17146</v>
      </c>
      <c r="D130" s="423" t="s">
        <v>23799</v>
      </c>
      <c r="E130" s="423" t="s">
        <v>23963</v>
      </c>
      <c r="F130" s="420" t="s">
        <v>16610</v>
      </c>
      <c r="G130" s="423" t="s">
        <v>16581</v>
      </c>
      <c r="H130" s="424" t="s">
        <v>17147</v>
      </c>
      <c r="I130" s="424" t="s">
        <v>17148</v>
      </c>
      <c r="J130" s="424" t="s">
        <v>6400</v>
      </c>
      <c r="K130" s="466" t="str">
        <f>HYPERLINK("https://www.google.com/maps/dir/?api=1&amp;origin=37.5235,-8.7855&amp;destination=37.5180,-8.7890&amp;travelmode=walking","🗺 Passadiços da Zambujeira do Mar")</f>
        <v>🗺 Passadiços da Zambujeira do Mar</v>
      </c>
    </row>
    <row r="131" spans="1:11" ht="20" customHeight="1" x14ac:dyDescent="0.4">
      <c r="A131" s="425">
        <v>124</v>
      </c>
      <c r="B131" s="426" t="s">
        <v>17149</v>
      </c>
      <c r="C131" s="427" t="s">
        <v>17150</v>
      </c>
      <c r="D131" s="428" t="s">
        <v>23800</v>
      </c>
      <c r="E131" s="428" t="s">
        <v>23964</v>
      </c>
      <c r="F131" s="425" t="s">
        <v>2868</v>
      </c>
      <c r="G131" s="428" t="s">
        <v>16575</v>
      </c>
      <c r="H131" s="429" t="s">
        <v>17151</v>
      </c>
      <c r="I131" s="429" t="s">
        <v>17152</v>
      </c>
      <c r="J131" s="429" t="s">
        <v>17153</v>
      </c>
      <c r="K131" s="467" t="str">
        <f>HYPERLINK("https://www.google.com/maps/dir/?api=1&amp;origin=37.7255,-8.7811&amp;destination=37.7150,-8.7710&amp;travelmode=walking","🗺 Ecovia do Rio Mira")</f>
        <v>🗺 Ecovia do Rio Mira</v>
      </c>
    </row>
    <row r="132" spans="1:11" ht="20" customHeight="1" x14ac:dyDescent="0.4">
      <c r="A132" s="420">
        <v>125</v>
      </c>
      <c r="B132" s="421" t="s">
        <v>17154</v>
      </c>
      <c r="C132" s="422" t="s">
        <v>17146</v>
      </c>
      <c r="D132" s="423" t="s">
        <v>23801</v>
      </c>
      <c r="E132" s="423" t="s">
        <v>23801</v>
      </c>
      <c r="F132" s="420" t="s">
        <v>16580</v>
      </c>
      <c r="G132" s="423" t="s">
        <v>16581</v>
      </c>
      <c r="H132" s="424" t="s">
        <v>17155</v>
      </c>
      <c r="I132" s="424" t="s">
        <v>17156</v>
      </c>
      <c r="J132" s="424" t="s">
        <v>17157</v>
      </c>
      <c r="K132" s="466" t="str">
        <f>HYPERLINK("https://www.google.com/maps/dir/?api=1&amp;origin=37.5955,-8.8150&amp;destination=37.5955,-8.8150&amp;travelmode=walking","🗺 Passadiços do Cabo Sardão")</f>
        <v>🗺 Passadiços do Cabo Sardão</v>
      </c>
    </row>
    <row r="133" spans="1:11" ht="20" customHeight="1" x14ac:dyDescent="0.4">
      <c r="A133" s="425">
        <v>126</v>
      </c>
      <c r="B133" s="426" t="s">
        <v>17158</v>
      </c>
      <c r="C133" s="427" t="s">
        <v>17159</v>
      </c>
      <c r="D133" s="428" t="s">
        <v>23802</v>
      </c>
      <c r="E133" s="428" t="s">
        <v>23802</v>
      </c>
      <c r="F133" s="425" t="s">
        <v>17160</v>
      </c>
      <c r="G133" s="428" t="s">
        <v>16581</v>
      </c>
      <c r="H133" s="429" t="s">
        <v>17161</v>
      </c>
      <c r="I133" s="429" t="s">
        <v>17162</v>
      </c>
      <c r="J133" s="429" t="s">
        <v>17163</v>
      </c>
      <c r="K133" s="467" t="str">
        <f>HYPERLINK("https://www.google.com/maps/dir/?api=1&amp;origin=37.8685,-8.7915&amp;destination=37.8685,-8.7915&amp;travelmode=walking","🗺 Passadiço Praia da Samoqueira")</f>
        <v>🗺 Passadiço Praia da Samoqueira</v>
      </c>
    </row>
    <row r="134" spans="1:11" ht="20" customHeight="1" x14ac:dyDescent="0.4">
      <c r="A134" s="420">
        <v>127</v>
      </c>
      <c r="B134" s="421" t="s">
        <v>17164</v>
      </c>
      <c r="C134" s="422" t="s">
        <v>17136</v>
      </c>
      <c r="D134" s="423" t="s">
        <v>23803</v>
      </c>
      <c r="E134" s="423" t="s">
        <v>23803</v>
      </c>
      <c r="F134" s="420" t="s">
        <v>2868</v>
      </c>
      <c r="G134" s="423" t="s">
        <v>16575</v>
      </c>
      <c r="H134" s="424" t="s">
        <v>17165</v>
      </c>
      <c r="I134" s="424" t="s">
        <v>17166</v>
      </c>
      <c r="J134" s="424" t="s">
        <v>941</v>
      </c>
      <c r="K134" s="466" t="str">
        <f>HYPERLINK("https://www.google.com/maps/dir/?api=1&amp;origin=37.9555,-8.8611&amp;destination=37.9555,-8.8611&amp;travelmode=walking","🗺 Ecovia da Represa")</f>
        <v>🗺 Ecovia da Represa</v>
      </c>
    </row>
    <row r="135" spans="1:11" ht="20" customHeight="1" x14ac:dyDescent="0.4">
      <c r="A135" s="425">
        <v>128</v>
      </c>
      <c r="B135" s="426" t="s">
        <v>17167</v>
      </c>
      <c r="C135" s="427" t="s">
        <v>17168</v>
      </c>
      <c r="D135" s="428" t="s">
        <v>23804</v>
      </c>
      <c r="E135" s="428" t="s">
        <v>23804</v>
      </c>
      <c r="F135" s="425" t="s">
        <v>16610</v>
      </c>
      <c r="G135" s="428" t="s">
        <v>16581</v>
      </c>
      <c r="H135" s="429" t="s">
        <v>17169</v>
      </c>
      <c r="I135" s="429" t="s">
        <v>17170</v>
      </c>
      <c r="J135" s="429" t="s">
        <v>10122</v>
      </c>
      <c r="K135" s="467" t="str">
        <f>HYPERLINK("https://www.google.com/maps/dir/?api=1&amp;origin=37.8055,-7.6311&amp;destination=37.8055,-7.6311&amp;travelmode=walking","🗺 Passadiços do Pulo do Lobo")</f>
        <v>🗺 Passadiços do Pulo do Lobo</v>
      </c>
    </row>
    <row r="136" spans="1:11" ht="20" customHeight="1" x14ac:dyDescent="0.4">
      <c r="A136" s="420">
        <v>129</v>
      </c>
      <c r="B136" s="421" t="s">
        <v>17171</v>
      </c>
      <c r="C136" s="422" t="s">
        <v>17172</v>
      </c>
      <c r="D136" s="423" t="s">
        <v>23805</v>
      </c>
      <c r="E136" s="423" t="s">
        <v>23965</v>
      </c>
      <c r="F136" s="420" t="s">
        <v>2845</v>
      </c>
      <c r="G136" s="423" t="s">
        <v>13596</v>
      </c>
      <c r="H136" s="424" t="s">
        <v>17173</v>
      </c>
      <c r="I136" s="424" t="s">
        <v>17174</v>
      </c>
      <c r="J136" s="424" t="s">
        <v>17175</v>
      </c>
      <c r="K136" s="466" t="str">
        <f>HYPERLINK("https://www.google.com/maps/dir/?api=1&amp;origin=38.0155,-7.8611&amp;destination=38.0311,-7.8411&amp;travelmode=walking","🗺 Ecopista de Beja")</f>
        <v>🗺 Ecopista de Beja</v>
      </c>
    </row>
    <row r="137" spans="1:11" ht="20" customHeight="1" x14ac:dyDescent="0.4">
      <c r="A137" s="425">
        <v>130</v>
      </c>
      <c r="B137" s="426" t="s">
        <v>17176</v>
      </c>
      <c r="C137" s="427" t="s">
        <v>17177</v>
      </c>
      <c r="D137" s="428" t="s">
        <v>23806</v>
      </c>
      <c r="E137" s="428" t="s">
        <v>23806</v>
      </c>
      <c r="F137" s="425" t="s">
        <v>16580</v>
      </c>
      <c r="G137" s="428" t="s">
        <v>16581</v>
      </c>
      <c r="H137" s="429" t="s">
        <v>17178</v>
      </c>
      <c r="I137" s="429" t="s">
        <v>17179</v>
      </c>
      <c r="J137" s="429" t="s">
        <v>17180</v>
      </c>
      <c r="K137" s="467" t="str">
        <f>HYPERLINK("https://www.google.com/maps/dir/?api=1&amp;origin=37.8755,-8.1611&amp;destination=37.8755,-8.1611&amp;travelmode=walking","🗺 Passadiços da Mina de Aljustrel")</f>
        <v>🗺 Passadiços da Mina de Aljustrel</v>
      </c>
    </row>
    <row r="138" spans="1:11" ht="20" customHeight="1" x14ac:dyDescent="0.4">
      <c r="A138" s="420">
        <v>131</v>
      </c>
      <c r="B138" s="421" t="s">
        <v>17181</v>
      </c>
      <c r="C138" s="422" t="s">
        <v>17168</v>
      </c>
      <c r="D138" s="423" t="s">
        <v>23807</v>
      </c>
      <c r="E138" s="423" t="s">
        <v>23807</v>
      </c>
      <c r="F138" s="420" t="s">
        <v>2868</v>
      </c>
      <c r="G138" s="423" t="s">
        <v>16575</v>
      </c>
      <c r="H138" s="424" t="s">
        <v>17182</v>
      </c>
      <c r="I138" s="424" t="s">
        <v>17183</v>
      </c>
      <c r="J138" s="424" t="s">
        <v>17184</v>
      </c>
      <c r="K138" s="466" t="str">
        <f>HYPERLINK("https://www.google.com/maps/dir/?api=1&amp;origin=37.6411,-7.6611&amp;destination=37.6411,-7.6611&amp;travelmode=walking","🗺 Ecovia do Guadiana")</f>
        <v>🗺 Ecovia do Guadiana</v>
      </c>
    </row>
    <row r="139" spans="1:11" ht="20" customHeight="1" x14ac:dyDescent="0.4">
      <c r="A139" s="425">
        <v>132</v>
      </c>
      <c r="B139" s="426" t="s">
        <v>17185</v>
      </c>
      <c r="C139" s="427" t="s">
        <v>17186</v>
      </c>
      <c r="D139" s="428" t="s">
        <v>23808</v>
      </c>
      <c r="E139" s="428" t="s">
        <v>23808</v>
      </c>
      <c r="F139" s="425" t="s">
        <v>16580</v>
      </c>
      <c r="G139" s="428" t="s">
        <v>16581</v>
      </c>
      <c r="H139" s="429" t="s">
        <v>17187</v>
      </c>
      <c r="I139" s="429" t="s">
        <v>17188</v>
      </c>
      <c r="J139" s="429" t="s">
        <v>8704</v>
      </c>
      <c r="K139" s="467" t="str">
        <f>HYPERLINK("https://www.google.com/maps/dir/?api=1&amp;origin=38.1855,-8.1511&amp;destination=38.1855,-8.1511&amp;travelmode=walking","🗺 Passadiços Barragem Odivelas")</f>
        <v>🗺 Passadiços Barragem Odivelas</v>
      </c>
    </row>
    <row r="140" spans="1:11" ht="20" customHeight="1" x14ac:dyDescent="0.4">
      <c r="A140" s="420">
        <v>133</v>
      </c>
      <c r="B140" s="421" t="s">
        <v>17189</v>
      </c>
      <c r="C140" s="422" t="s">
        <v>17190</v>
      </c>
      <c r="D140" s="423" t="s">
        <v>23809</v>
      </c>
      <c r="E140" s="423" t="s">
        <v>23809</v>
      </c>
      <c r="F140" s="420" t="s">
        <v>16580</v>
      </c>
      <c r="G140" s="423" t="s">
        <v>16575</v>
      </c>
      <c r="H140" s="424" t="s">
        <v>17191</v>
      </c>
      <c r="I140" s="424" t="s">
        <v>17192</v>
      </c>
      <c r="J140" s="424" t="s">
        <v>17193</v>
      </c>
      <c r="K140" s="466" t="str">
        <f>HYPERLINK("https://www.google.com/maps/dir/?api=1&amp;origin=37.9411,-7.5955&amp;destination=37.9411,-7.5955&amp;travelmode=walking","🗺 Ecovia das Muralhas de Serpa")</f>
        <v>🗺 Ecovia das Muralhas de Serpa</v>
      </c>
    </row>
    <row r="141" spans="1:11" ht="20" customHeight="1" x14ac:dyDescent="0.4">
      <c r="A141" s="425">
        <v>134</v>
      </c>
      <c r="B141" s="426" t="s">
        <v>17194</v>
      </c>
      <c r="C141" s="427" t="s">
        <v>17190</v>
      </c>
      <c r="D141" s="428" t="s">
        <v>23810</v>
      </c>
      <c r="E141" s="428" t="s">
        <v>23810</v>
      </c>
      <c r="F141" s="425" t="s">
        <v>16610</v>
      </c>
      <c r="G141" s="428" t="s">
        <v>16581</v>
      </c>
      <c r="H141" s="429" t="s">
        <v>17195</v>
      </c>
      <c r="I141" s="429" t="s">
        <v>17196</v>
      </c>
      <c r="J141" s="429" t="s">
        <v>17197</v>
      </c>
      <c r="K141" s="467" t="str">
        <f>HYPERLINK("https://www.google.com/maps/dir/?api=1&amp;origin=37.9511,-7.6111&amp;destination=37.9511,-7.6111&amp;travelmode=walking","🗺 Trilho da Ermida de Guadalupe")</f>
        <v>🗺 Trilho da Ermida de Guadalupe</v>
      </c>
    </row>
    <row r="142" spans="1:11" ht="20" customHeight="1" x14ac:dyDescent="0.4">
      <c r="A142" s="420">
        <v>135</v>
      </c>
      <c r="B142" s="421" t="s">
        <v>17198</v>
      </c>
      <c r="C142" s="422" t="s">
        <v>17199</v>
      </c>
      <c r="D142" s="423" t="s">
        <v>23811</v>
      </c>
      <c r="E142" s="423" t="s">
        <v>23966</v>
      </c>
      <c r="F142" s="420" t="s">
        <v>2290</v>
      </c>
      <c r="G142" s="423" t="s">
        <v>13596</v>
      </c>
      <c r="H142" s="424" t="s">
        <v>17200</v>
      </c>
      <c r="I142" s="424" t="s">
        <v>17201</v>
      </c>
      <c r="J142" s="424" t="s">
        <v>17202</v>
      </c>
      <c r="K142" s="466" t="str">
        <f>HYPERLINK("https://www.google.com/maps/dir/?api=1&amp;origin=38.5811,-7.9155&amp;destination=38.6511,-7.9411&amp;travelmode=walking","🗺 Ecopista de Évora")</f>
        <v>🗺 Ecopista de Évora</v>
      </c>
    </row>
    <row r="143" spans="1:11" ht="20" customHeight="1" x14ac:dyDescent="0.4">
      <c r="A143" s="425">
        <v>136</v>
      </c>
      <c r="B143" s="426" t="s">
        <v>17203</v>
      </c>
      <c r="C143" s="427" t="s">
        <v>17204</v>
      </c>
      <c r="D143" s="428" t="s">
        <v>23812</v>
      </c>
      <c r="E143" s="428" t="s">
        <v>23812</v>
      </c>
      <c r="F143" s="425" t="s">
        <v>16580</v>
      </c>
      <c r="G143" s="428" t="s">
        <v>16581</v>
      </c>
      <c r="H143" s="429" t="s">
        <v>17205</v>
      </c>
      <c r="I143" s="429" t="s">
        <v>17206</v>
      </c>
      <c r="J143" s="429" t="s">
        <v>17207</v>
      </c>
      <c r="K143" s="467" t="str">
        <f>HYPERLINK("https://www.google.com/maps/dir/?api=1&amp;origin=38.4411,-7.3611&amp;destination=38.4411,-7.3611&amp;travelmode=walking","🗺 Passadiços de Monsaraz")</f>
        <v>🗺 Passadiços de Monsaraz</v>
      </c>
    </row>
    <row r="144" spans="1:11" ht="20" customHeight="1" x14ac:dyDescent="0.4">
      <c r="A144" s="420">
        <v>137</v>
      </c>
      <c r="B144" s="421" t="s">
        <v>17208</v>
      </c>
      <c r="C144" s="422" t="s">
        <v>17209</v>
      </c>
      <c r="D144" s="423" t="s">
        <v>23813</v>
      </c>
      <c r="E144" s="423" t="s">
        <v>23813</v>
      </c>
      <c r="F144" s="420" t="s">
        <v>2868</v>
      </c>
      <c r="G144" s="423" t="s">
        <v>16575</v>
      </c>
      <c r="H144" s="424" t="s">
        <v>17210</v>
      </c>
      <c r="I144" s="424" t="s">
        <v>17211</v>
      </c>
      <c r="J144" s="424" t="s">
        <v>17212</v>
      </c>
      <c r="K144" s="466" t="str">
        <f>HYPERLINK("https://www.google.com/maps/dir/?api=1&amp;origin=38.7255,-7.9855&amp;destination=38.7255,-7.9855&amp;travelmode=walking","🗺 Ecovia de Arraiolos")</f>
        <v>🗺 Ecovia de Arraiolos</v>
      </c>
    </row>
    <row r="145" spans="1:11" ht="20" customHeight="1" x14ac:dyDescent="0.4">
      <c r="A145" s="425">
        <v>138</v>
      </c>
      <c r="B145" s="426" t="s">
        <v>17213</v>
      </c>
      <c r="C145" s="427" t="s">
        <v>17214</v>
      </c>
      <c r="D145" s="428" t="s">
        <v>23814</v>
      </c>
      <c r="E145" s="428" t="s">
        <v>23814</v>
      </c>
      <c r="F145" s="425" t="s">
        <v>16610</v>
      </c>
      <c r="G145" s="428" t="s">
        <v>16581</v>
      </c>
      <c r="H145" s="429" t="s">
        <v>17215</v>
      </c>
      <c r="I145" s="429" t="s">
        <v>17216</v>
      </c>
      <c r="J145" s="429" t="s">
        <v>17217</v>
      </c>
      <c r="K145" s="467" t="str">
        <f>HYPERLINK("https://www.google.com/maps/dir/?api=1&amp;origin=38.2755,-7.5311&amp;destination=38.2755,-7.5311&amp;travelmode=walking","🗺 Passadiços da Amieira")</f>
        <v>🗺 Passadiços da Amieira</v>
      </c>
    </row>
    <row r="146" spans="1:11" ht="20" customHeight="1" x14ac:dyDescent="0.4">
      <c r="A146" s="420">
        <v>139</v>
      </c>
      <c r="B146" s="421" t="s">
        <v>17218</v>
      </c>
      <c r="C146" s="422" t="s">
        <v>17219</v>
      </c>
      <c r="D146" s="423" t="s">
        <v>23815</v>
      </c>
      <c r="E146" s="423" t="s">
        <v>23815</v>
      </c>
      <c r="F146" s="420" t="s">
        <v>16580</v>
      </c>
      <c r="G146" s="423" t="s">
        <v>16575</v>
      </c>
      <c r="H146" s="424" t="s">
        <v>17220</v>
      </c>
      <c r="I146" s="424" t="s">
        <v>17221</v>
      </c>
      <c r="J146" s="424" t="s">
        <v>17222</v>
      </c>
      <c r="K146" s="466" t="str">
        <f>HYPERLINK("https://www.google.com/maps/dir/?api=1&amp;origin=38.7811,-7.4211&amp;destination=38.7811,-7.4211&amp;travelmode=walking","🗺 Ecovia de Vila Viçosa")</f>
        <v>🗺 Ecovia de Vila Viçosa</v>
      </c>
    </row>
    <row r="147" spans="1:11" ht="20" customHeight="1" x14ac:dyDescent="0.4">
      <c r="A147" s="425">
        <v>140</v>
      </c>
      <c r="B147" s="426" t="s">
        <v>17223</v>
      </c>
      <c r="C147" s="427" t="s">
        <v>17224</v>
      </c>
      <c r="D147" s="428" t="s">
        <v>23816</v>
      </c>
      <c r="E147" s="428" t="s">
        <v>23816</v>
      </c>
      <c r="F147" s="425" t="s">
        <v>16635</v>
      </c>
      <c r="G147" s="428" t="s">
        <v>16581</v>
      </c>
      <c r="H147" s="429" t="s">
        <v>17225</v>
      </c>
      <c r="I147" s="429" t="s">
        <v>17226</v>
      </c>
      <c r="J147" s="429" t="s">
        <v>17227</v>
      </c>
      <c r="K147" s="467" t="str">
        <f>HYPERLINK("https://www.google.com/maps/dir/?api=1&amp;origin=38.2111,-7.3411&amp;destination=38.2111,-7.3411&amp;travelmode=walking","🗺 Passadiços do Alqueva (Estrela)")</f>
        <v>🗺 Passadiços do Alqueva (Estrela)</v>
      </c>
    </row>
    <row r="148" spans="1:11" ht="20" customHeight="1" x14ac:dyDescent="0.4">
      <c r="A148" s="420">
        <v>141</v>
      </c>
      <c r="B148" s="421" t="s">
        <v>17228</v>
      </c>
      <c r="C148" s="422" t="s">
        <v>17204</v>
      </c>
      <c r="D148" s="423" t="s">
        <v>23817</v>
      </c>
      <c r="E148" s="423" t="s">
        <v>23817</v>
      </c>
      <c r="F148" s="420" t="s">
        <v>16580</v>
      </c>
      <c r="G148" s="423" t="s">
        <v>16575</v>
      </c>
      <c r="H148" s="424" t="s">
        <v>17229</v>
      </c>
      <c r="I148" s="424" t="s">
        <v>17230</v>
      </c>
      <c r="J148" s="424" t="s">
        <v>17231</v>
      </c>
      <c r="K148" s="466" t="str">
        <f>HYPERLINK("https://www.google.com/maps/dir/?api=1&amp;origin=38.4111,-7.5111&amp;destination=38.4111,-7.5111&amp;travelmode=walking","🗺 Ecovia do Rio Degebe")</f>
        <v>🗺 Ecovia do Rio Degebe</v>
      </c>
    </row>
    <row r="149" spans="1:11" ht="20" customHeight="1" x14ac:dyDescent="0.4">
      <c r="A149" s="425">
        <v>142</v>
      </c>
      <c r="B149" s="426" t="s">
        <v>17232</v>
      </c>
      <c r="C149" s="427" t="s">
        <v>17233</v>
      </c>
      <c r="D149" s="428" t="s">
        <v>23818</v>
      </c>
      <c r="E149" s="428" t="s">
        <v>23967</v>
      </c>
      <c r="F149" s="425" t="s">
        <v>2868</v>
      </c>
      <c r="G149" s="428" t="s">
        <v>16581</v>
      </c>
      <c r="H149" s="429" t="s">
        <v>17234</v>
      </c>
      <c r="I149" s="429" t="s">
        <v>17235</v>
      </c>
      <c r="J149" s="429" t="s">
        <v>17236</v>
      </c>
      <c r="K149" s="467" t="str">
        <f>HYPERLINK("https://www.google.com/maps/dir/?api=1&amp;origin=39.4855,-7.9611&amp;destination=39.4755,-7.9811&amp;travelmode=walking","🗺 Passadiços da Alamal")</f>
        <v>🗺 Passadiços da Alamal</v>
      </c>
    </row>
    <row r="150" spans="1:11" ht="20" customHeight="1" x14ac:dyDescent="0.4">
      <c r="A150" s="420">
        <v>143</v>
      </c>
      <c r="B150" s="421" t="s">
        <v>17237</v>
      </c>
      <c r="C150" s="422" t="s">
        <v>17238</v>
      </c>
      <c r="D150" s="423" t="s">
        <v>23819</v>
      </c>
      <c r="E150" s="423" t="s">
        <v>23819</v>
      </c>
      <c r="F150" s="420" t="s">
        <v>2326</v>
      </c>
      <c r="G150" s="423" t="s">
        <v>13596</v>
      </c>
      <c r="H150" s="424" t="s">
        <v>17239</v>
      </c>
      <c r="I150" s="424" t="s">
        <v>17240</v>
      </c>
      <c r="J150" s="424" t="s">
        <v>17241</v>
      </c>
      <c r="K150" s="466" t="str">
        <f>HYPERLINK("https://www.google.com/maps/dir/?api=1&amp;origin=39.4155,-7.4555&amp;destination=39.4155,-7.4555&amp;travelmode=walking","🗺 Ecopista de Castelo de Vide")</f>
        <v>🗺 Ecopista de Castelo de Vide</v>
      </c>
    </row>
    <row r="151" spans="1:11" ht="20" customHeight="1" x14ac:dyDescent="0.4">
      <c r="A151" s="425">
        <v>144</v>
      </c>
      <c r="B151" s="426" t="s">
        <v>17242</v>
      </c>
      <c r="C151" s="427" t="s">
        <v>17243</v>
      </c>
      <c r="D151" s="428" t="s">
        <v>23820</v>
      </c>
      <c r="E151" s="428" t="s">
        <v>23820</v>
      </c>
      <c r="F151" s="425" t="s">
        <v>16610</v>
      </c>
      <c r="G151" s="428" t="s">
        <v>16581</v>
      </c>
      <c r="H151" s="429" t="s">
        <v>17244</v>
      </c>
      <c r="I151" s="429" t="s">
        <v>17245</v>
      </c>
      <c r="J151" s="429" t="s">
        <v>17246</v>
      </c>
      <c r="K151" s="467" t="str">
        <f>HYPERLINK("https://www.google.com/maps/dir/?api=1&amp;origin=39.3811,-7.3855&amp;destination=39.3811,-7.3855&amp;travelmode=walking","🗺 Passadiços de Marvão")</f>
        <v>🗺 Passadiços de Marvão</v>
      </c>
    </row>
    <row r="152" spans="1:11" ht="20" customHeight="1" x14ac:dyDescent="0.4">
      <c r="A152" s="420">
        <v>145</v>
      </c>
      <c r="B152" s="421" t="s">
        <v>17247</v>
      </c>
      <c r="C152" s="422" t="s">
        <v>17248</v>
      </c>
      <c r="D152" s="423" t="s">
        <v>23821</v>
      </c>
      <c r="E152" s="423" t="s">
        <v>23821</v>
      </c>
      <c r="F152" s="420" t="s">
        <v>2845</v>
      </c>
      <c r="G152" s="423" t="s">
        <v>16575</v>
      </c>
      <c r="H152" s="424" t="s">
        <v>17249</v>
      </c>
      <c r="I152" s="424" t="s">
        <v>17250</v>
      </c>
      <c r="J152" s="424" t="s">
        <v>17251</v>
      </c>
      <c r="K152" s="466" t="str">
        <f>HYPERLINK("https://www.google.com/maps/dir/?api=1&amp;origin=38.6411,-8.2111&amp;destination=38.6411,-8.2111&amp;travelmode=walking","🗺 Ecovia do Montado")</f>
        <v>🗺 Ecovia do Montado</v>
      </c>
    </row>
    <row r="153" spans="1:11" ht="20" customHeight="1" x14ac:dyDescent="0.4">
      <c r="A153" s="425">
        <v>146</v>
      </c>
      <c r="B153" s="426" t="s">
        <v>17252</v>
      </c>
      <c r="C153" s="427" t="s">
        <v>17253</v>
      </c>
      <c r="D153" s="428" t="s">
        <v>23822</v>
      </c>
      <c r="E153" s="428" t="s">
        <v>23822</v>
      </c>
      <c r="F153" s="425" t="s">
        <v>16580</v>
      </c>
      <c r="G153" s="428" t="s">
        <v>16581</v>
      </c>
      <c r="H153" s="429" t="s">
        <v>17254</v>
      </c>
      <c r="I153" s="429" t="s">
        <v>17255</v>
      </c>
      <c r="J153" s="429" t="s">
        <v>866</v>
      </c>
      <c r="K153" s="467" t="str">
        <f>HYPERLINK("https://www.google.com/maps/dir/?api=1&amp;origin=39.0711,-8.1711&amp;destination=39.0711,-8.1711&amp;travelmode=walking","🗺 Passadiços de Montargil")</f>
        <v>🗺 Passadiços de Montargil</v>
      </c>
    </row>
    <row r="154" spans="1:11" ht="20" customHeight="1" x14ac:dyDescent="0.4">
      <c r="A154" s="420">
        <v>147</v>
      </c>
      <c r="B154" s="421" t="s">
        <v>17256</v>
      </c>
      <c r="C154" s="422" t="s">
        <v>17253</v>
      </c>
      <c r="D154" s="423" t="s">
        <v>23823</v>
      </c>
      <c r="E154" s="423" t="s">
        <v>23823</v>
      </c>
      <c r="F154" s="420" t="s">
        <v>2868</v>
      </c>
      <c r="G154" s="423" t="s">
        <v>13596</v>
      </c>
      <c r="H154" s="424" t="s">
        <v>17257</v>
      </c>
      <c r="I154" s="424" t="s">
        <v>17258</v>
      </c>
      <c r="J154" s="424" t="s">
        <v>17259</v>
      </c>
      <c r="K154" s="466" t="str">
        <f>HYPERLINK("https://www.google.com/maps/dir/?api=1&amp;origin=39.2511,-8.0111&amp;destination=39.2511,-8.0111&amp;travelmode=walking","🗺 Ecopista de Ponte de Sor")</f>
        <v>🗺 Ecopista de Ponte de Sor</v>
      </c>
    </row>
    <row r="155" spans="1:11" ht="20" customHeight="1" x14ac:dyDescent="0.4">
      <c r="A155" s="425">
        <v>148</v>
      </c>
      <c r="B155" s="426" t="s">
        <v>17260</v>
      </c>
      <c r="C155" s="427" t="s">
        <v>17261</v>
      </c>
      <c r="D155" s="428" t="s">
        <v>23824</v>
      </c>
      <c r="E155" s="428" t="s">
        <v>23824</v>
      </c>
      <c r="F155" s="425" t="s">
        <v>16580</v>
      </c>
      <c r="G155" s="428" t="s">
        <v>16581</v>
      </c>
      <c r="H155" s="429" t="s">
        <v>17262</v>
      </c>
      <c r="I155" s="429" t="s">
        <v>17263</v>
      </c>
      <c r="J155" s="429" t="s">
        <v>5102</v>
      </c>
      <c r="K155" s="467" t="str">
        <f>HYPERLINK("https://www.google.com/maps/dir/?api=1&amp;origin=38.9411,-8.1655&amp;destination=38.9411,-8.1655&amp;travelmode=walking","🗺 Passadiços do Gameiro")</f>
        <v>🗺 Passadiços do Gameiro</v>
      </c>
    </row>
    <row r="156" spans="1:11" ht="20" customHeight="1" x14ac:dyDescent="0.4">
      <c r="A156" s="420">
        <v>149</v>
      </c>
      <c r="B156" s="421" t="s">
        <v>17264</v>
      </c>
      <c r="C156" s="422" t="s">
        <v>17265</v>
      </c>
      <c r="D156" s="423" t="s">
        <v>23825</v>
      </c>
      <c r="E156" s="423" t="s">
        <v>23825</v>
      </c>
      <c r="F156" s="420" t="s">
        <v>16580</v>
      </c>
      <c r="G156" s="423" t="s">
        <v>16575</v>
      </c>
      <c r="H156" s="424" t="s">
        <v>17266</v>
      </c>
      <c r="I156" s="424" t="s">
        <v>17267</v>
      </c>
      <c r="J156" s="424" t="s">
        <v>17268</v>
      </c>
      <c r="K156" s="466" t="str">
        <f>HYPERLINK("https://www.google.com/maps/dir/?api=1&amp;origin=39.0111,-7.0711&amp;destination=39.0111,-7.0711&amp;travelmode=walking","🗺 Ecovia do Rio Caia")</f>
        <v>🗺 Ecovia do Rio Caia</v>
      </c>
    </row>
    <row r="157" spans="1:11" ht="20" customHeight="1" x14ac:dyDescent="0.4">
      <c r="A157" s="425">
        <v>150</v>
      </c>
      <c r="B157" s="426" t="s">
        <v>17269</v>
      </c>
      <c r="C157" s="427" t="s">
        <v>17270</v>
      </c>
      <c r="D157" s="428" t="s">
        <v>23826</v>
      </c>
      <c r="E157" s="428" t="s">
        <v>23826</v>
      </c>
      <c r="F157" s="425" t="s">
        <v>16580</v>
      </c>
      <c r="G157" s="428" t="s">
        <v>16581</v>
      </c>
      <c r="H157" s="429" t="s">
        <v>17271</v>
      </c>
      <c r="I157" s="429" t="s">
        <v>17272</v>
      </c>
      <c r="J157" s="429" t="s">
        <v>17273</v>
      </c>
      <c r="K157" s="467" t="str">
        <f>HYPERLINK("https://www.google.com/maps/dir/?api=1&amp;origin=39.1911,-7.6511&amp;destination=39.1911,-7.6511&amp;travelmode=walking","🗺 Passadiços de Alter do Chão")</f>
        <v>🗺 Passadiços de Alter do Chão</v>
      </c>
    </row>
    <row r="158" spans="1:11" ht="20" customHeight="1" x14ac:dyDescent="0.4">
      <c r="A158" s="420">
        <v>151</v>
      </c>
      <c r="B158" s="421" t="s">
        <v>17274</v>
      </c>
      <c r="C158" s="422" t="s">
        <v>17275</v>
      </c>
      <c r="D158" s="423" t="s">
        <v>23827</v>
      </c>
      <c r="E158" s="423" t="s">
        <v>23827</v>
      </c>
      <c r="F158" s="420" t="s">
        <v>16580</v>
      </c>
      <c r="G158" s="423" t="s">
        <v>16575</v>
      </c>
      <c r="H158" s="424" t="s">
        <v>17276</v>
      </c>
      <c r="I158" s="424" t="s">
        <v>17277</v>
      </c>
      <c r="J158" s="424" t="s">
        <v>17278</v>
      </c>
      <c r="K158" s="466" t="str">
        <f>HYPERLINK("https://www.google.com/maps/dir/?api=1&amp;origin=38.8955,-7.1611&amp;destination=38.8955,-7.1611&amp;travelmode=walking","🗺 Ecovia de Elvas")</f>
        <v>🗺 Ecovia de Elvas</v>
      </c>
    </row>
    <row r="159" spans="1:11" ht="20" customHeight="1" x14ac:dyDescent="0.4">
      <c r="A159" s="425">
        <v>152</v>
      </c>
      <c r="B159" s="426" t="s">
        <v>17279</v>
      </c>
      <c r="C159" s="427" t="s">
        <v>17280</v>
      </c>
      <c r="D159" s="428" t="s">
        <v>23828</v>
      </c>
      <c r="E159" s="428" t="s">
        <v>23828</v>
      </c>
      <c r="F159" s="425" t="s">
        <v>16580</v>
      </c>
      <c r="G159" s="428" t="s">
        <v>16581</v>
      </c>
      <c r="H159" s="429" t="s">
        <v>17281</v>
      </c>
      <c r="I159" s="429" t="s">
        <v>17282</v>
      </c>
      <c r="J159" s="429" t="s">
        <v>17283</v>
      </c>
      <c r="K159" s="467" t="str">
        <f>HYPERLINK("https://www.google.com/maps/dir/?api=1&amp;origin=39.2911,-7.4211&amp;destination=39.2911,-7.4211&amp;travelmode=walking","🗺 Passadiços Serra S. Mamede")</f>
        <v>🗺 Passadiços Serra S. Mamede</v>
      </c>
    </row>
    <row r="160" spans="1:11" ht="20" customHeight="1" x14ac:dyDescent="0.4">
      <c r="A160" s="420">
        <v>153</v>
      </c>
      <c r="B160" s="421" t="s">
        <v>17284</v>
      </c>
      <c r="C160" s="422" t="s">
        <v>17285</v>
      </c>
      <c r="D160" s="423" t="s">
        <v>23829</v>
      </c>
      <c r="E160" s="423" t="s">
        <v>23829</v>
      </c>
      <c r="F160" s="420" t="s">
        <v>16610</v>
      </c>
      <c r="G160" s="423" t="s">
        <v>16581</v>
      </c>
      <c r="H160" s="424" t="s">
        <v>17286</v>
      </c>
      <c r="I160" s="424" t="s">
        <v>17287</v>
      </c>
      <c r="J160" s="424" t="s">
        <v>17288</v>
      </c>
      <c r="K160" s="466" t="str">
        <f>HYPERLINK("https://www.google.com/maps/dir/?api=1&amp;origin=39.3111,-7.4311&amp;destination=39.3111,-7.4311&amp;travelmode=walking","🗺 Passadiço Ribeira de Nisa")</f>
        <v>🗺 Passadiço Ribeira de Nisa</v>
      </c>
    </row>
    <row r="161" spans="1:11" ht="20" customHeight="1" x14ac:dyDescent="0.4">
      <c r="A161" s="425">
        <v>154</v>
      </c>
      <c r="B161" s="426" t="s">
        <v>17289</v>
      </c>
      <c r="C161" s="427" t="s">
        <v>17290</v>
      </c>
      <c r="D161" s="428" t="s">
        <v>23830</v>
      </c>
      <c r="E161" s="428" t="s">
        <v>23830</v>
      </c>
      <c r="F161" s="425" t="s">
        <v>2868</v>
      </c>
      <c r="G161" s="428" t="s">
        <v>16575</v>
      </c>
      <c r="H161" s="429" t="s">
        <v>17291</v>
      </c>
      <c r="I161" s="429" t="s">
        <v>17292</v>
      </c>
      <c r="J161" s="429" t="s">
        <v>8671</v>
      </c>
      <c r="K161" s="467" t="str">
        <f>HYPERLINK("https://www.google.com/maps/dir/?api=1&amp;origin=39.0555,-7.8911&amp;destination=39.0555,-7.8911&amp;travelmode=walking","🗺 Ecovia de Avis")</f>
        <v>🗺 Ecovia de Avis</v>
      </c>
    </row>
    <row r="162" spans="1:11" ht="20" customHeight="1" x14ac:dyDescent="0.4">
      <c r="A162" s="420">
        <v>155</v>
      </c>
      <c r="B162" s="421" t="s">
        <v>17293</v>
      </c>
      <c r="C162" s="422" t="s">
        <v>17214</v>
      </c>
      <c r="D162" s="423" t="s">
        <v>23831</v>
      </c>
      <c r="E162" s="423" t="s">
        <v>23831</v>
      </c>
      <c r="F162" s="420" t="s">
        <v>16635</v>
      </c>
      <c r="G162" s="423" t="s">
        <v>16581</v>
      </c>
      <c r="H162" s="424" t="s">
        <v>17294</v>
      </c>
      <c r="I162" s="424" t="s">
        <v>17295</v>
      </c>
      <c r="J162" s="424" t="s">
        <v>17296</v>
      </c>
      <c r="K162" s="466" t="str">
        <f>HYPERLINK("https://www.google.com/maps/dir/?api=1&amp;origin=38.1955,-7.4511&amp;destination=38.1955,-7.4511&amp;travelmode=walking","🗺 Passadiço Albufeira Alqueva")</f>
        <v>🗺 Passadiço Albufeira Alqueva</v>
      </c>
    </row>
    <row r="163" spans="1:11" ht="20" customHeight="1" x14ac:dyDescent="0.4">
      <c r="A163" s="425">
        <v>156</v>
      </c>
      <c r="B163" s="426" t="s">
        <v>17297</v>
      </c>
      <c r="C163" s="427" t="s">
        <v>17298</v>
      </c>
      <c r="D163" s="428" t="s">
        <v>23832</v>
      </c>
      <c r="E163" s="428" t="s">
        <v>23832</v>
      </c>
      <c r="F163" s="425" t="s">
        <v>16580</v>
      </c>
      <c r="G163" s="428" t="s">
        <v>16575</v>
      </c>
      <c r="H163" s="429" t="s">
        <v>17299</v>
      </c>
      <c r="I163" s="429" t="s">
        <v>17300</v>
      </c>
      <c r="J163" s="429" t="s">
        <v>17301</v>
      </c>
      <c r="K163" s="467" t="str">
        <f>HYPERLINK("https://www.google.com/maps/dir/?api=1&amp;origin=38.6755,-8.4511&amp;destination=38.6755,-8.4511&amp;travelmode=walking","🗺 Ecovia de Vendas Novas")</f>
        <v>🗺 Ecovia de Vendas Novas</v>
      </c>
    </row>
    <row r="164" spans="1:11" ht="20" customHeight="1" x14ac:dyDescent="0.4">
      <c r="A164" s="420">
        <v>157</v>
      </c>
      <c r="B164" s="421" t="s">
        <v>17302</v>
      </c>
      <c r="C164" s="422" t="s">
        <v>17224</v>
      </c>
      <c r="D164" s="423" t="s">
        <v>23833</v>
      </c>
      <c r="E164" s="423" t="s">
        <v>23833</v>
      </c>
      <c r="F164" s="420" t="s">
        <v>16580</v>
      </c>
      <c r="G164" s="423" t="s">
        <v>16575</v>
      </c>
      <c r="H164" s="424" t="s">
        <v>17303</v>
      </c>
      <c r="I164" s="424" t="s">
        <v>17304</v>
      </c>
      <c r="J164" s="424" t="s">
        <v>17305</v>
      </c>
      <c r="K164" s="466" t="str">
        <f>HYPERLINK("https://www.google.com/maps/dir/?api=1&amp;origin=38.3111,-7.3211&amp;destination=38.3111,-7.3211&amp;travelmode=walking","🗺 Passadiço Guadiana (Moura)")</f>
        <v>🗺 Passadiço Guadiana (Moura)</v>
      </c>
    </row>
    <row r="165" spans="1:11" ht="20" customHeight="1" x14ac:dyDescent="0.4">
      <c r="A165" s="425">
        <v>158</v>
      </c>
      <c r="B165" s="426" t="s">
        <v>17306</v>
      </c>
      <c r="C165" s="427" t="s">
        <v>17307</v>
      </c>
      <c r="D165" s="428" t="s">
        <v>23834</v>
      </c>
      <c r="E165" s="428" t="s">
        <v>23834</v>
      </c>
      <c r="F165" s="425" t="s">
        <v>16580</v>
      </c>
      <c r="G165" s="428" t="s">
        <v>16581</v>
      </c>
      <c r="H165" s="429" t="s">
        <v>17308</v>
      </c>
      <c r="I165" s="429" t="s">
        <v>17309</v>
      </c>
      <c r="J165" s="429" t="s">
        <v>17310</v>
      </c>
      <c r="K165" s="467" t="str">
        <f>HYPERLINK("https://www.google.com/maps/dir/?api=1&amp;origin=40.0411,-7.0111&amp;destination=40.0411,-7.0111&amp;travelmode=walking","🗺 Passadiços de Penha Garcia")</f>
        <v>🗺 Passadiços de Penha Garcia</v>
      </c>
    </row>
    <row r="166" spans="1:11" ht="20" customHeight="1" x14ac:dyDescent="0.4">
      <c r="A166" s="420">
        <v>159</v>
      </c>
      <c r="B166" s="421" t="s">
        <v>17311</v>
      </c>
      <c r="C166" s="422" t="s">
        <v>17204</v>
      </c>
      <c r="D166" s="423" t="s">
        <v>23835</v>
      </c>
      <c r="E166" s="423" t="s">
        <v>23835</v>
      </c>
      <c r="F166" s="420" t="s">
        <v>16635</v>
      </c>
      <c r="G166" s="423" t="s">
        <v>16581</v>
      </c>
      <c r="H166" s="424" t="s">
        <v>17312</v>
      </c>
      <c r="I166" s="424" t="s">
        <v>17313</v>
      </c>
      <c r="J166" s="424" t="s">
        <v>17314</v>
      </c>
      <c r="K166" s="466" t="str">
        <f>HYPERLINK("https://www.google.com/maps/dir/?api=1&amp;origin=38.4411,-7.3811&amp;destination=38.4411,-7.3811&amp;travelmode=walking","🗺 Passadiço Monsaraz (Aldeia)")</f>
        <v>🗺 Passadiço Monsaraz (Aldeia)</v>
      </c>
    </row>
    <row r="167" spans="1:11" ht="20" customHeight="1" x14ac:dyDescent="0.4">
      <c r="A167" s="425">
        <v>160</v>
      </c>
      <c r="B167" s="426" t="s">
        <v>17315</v>
      </c>
      <c r="C167" s="427" t="s">
        <v>17168</v>
      </c>
      <c r="D167" s="428" t="s">
        <v>23836</v>
      </c>
      <c r="E167" s="428" t="s">
        <v>23836</v>
      </c>
      <c r="F167" s="425" t="s">
        <v>16580</v>
      </c>
      <c r="G167" s="428" t="s">
        <v>16581</v>
      </c>
      <c r="H167" s="429" t="s">
        <v>17316</v>
      </c>
      <c r="I167" s="429" t="s">
        <v>17317</v>
      </c>
      <c r="J167" s="429" t="s">
        <v>17318</v>
      </c>
      <c r="K167" s="467" t="str">
        <f>HYPERLINK("https://www.google.com/maps/dir/?api=1&amp;origin=37.6711,-7.5011&amp;destination=37.6711,-7.5011&amp;travelmode=walking","🗺 Passadiço Mina S. Domingos")</f>
        <v>🗺 Passadiço Mina S. Domingos</v>
      </c>
    </row>
    <row r="168" spans="1:11" ht="20" customHeight="1" x14ac:dyDescent="0.45">
      <c r="A168" s="1599" t="s">
        <v>16569</v>
      </c>
      <c r="B168" s="1599"/>
      <c r="C168" s="1599"/>
      <c r="D168" s="1599"/>
      <c r="E168" s="1599"/>
      <c r="F168" s="1599"/>
      <c r="G168" s="1599"/>
      <c r="H168" s="1599"/>
      <c r="I168" s="1599"/>
      <c r="J168" s="1599"/>
      <c r="K168" s="1599"/>
    </row>
    <row r="169" spans="1:11" ht="20" customHeight="1" x14ac:dyDescent="0.4">
      <c r="A169" s="430">
        <v>161</v>
      </c>
      <c r="B169" s="431" t="s">
        <v>17319</v>
      </c>
      <c r="C169" s="432" t="s">
        <v>17320</v>
      </c>
      <c r="D169" s="433" t="s">
        <v>23837</v>
      </c>
      <c r="E169" s="433" t="s">
        <v>23968</v>
      </c>
      <c r="F169" s="430" t="s">
        <v>2868</v>
      </c>
      <c r="G169" s="433" t="s">
        <v>16581</v>
      </c>
      <c r="H169" s="434" t="s">
        <v>17321</v>
      </c>
      <c r="I169" s="434" t="s">
        <v>17322</v>
      </c>
      <c r="J169" s="434" t="s">
        <v>17323</v>
      </c>
      <c r="K169" s="468" t="str">
        <f>HYPERLINK("https://www.google.com/maps/dir/?api=1&amp;origin=37.1855,-7.4211&amp;destination=37.1711,-7.4350&amp;travelmode=walking","🗺 Passadiços de VRSA")</f>
        <v>🗺 Passadiços de VRSA</v>
      </c>
    </row>
    <row r="170" spans="1:11" ht="20" customHeight="1" x14ac:dyDescent="0.4">
      <c r="A170" s="435">
        <v>162</v>
      </c>
      <c r="B170" s="436" t="s">
        <v>17324</v>
      </c>
      <c r="C170" s="437" t="s">
        <v>17325</v>
      </c>
      <c r="D170" s="438" t="s">
        <v>23838</v>
      </c>
      <c r="E170" s="438" t="s">
        <v>23969</v>
      </c>
      <c r="F170" s="435" t="s">
        <v>16580</v>
      </c>
      <c r="G170" s="438" t="s">
        <v>16581</v>
      </c>
      <c r="H170" s="439" t="s">
        <v>17326</v>
      </c>
      <c r="I170" s="439" t="s">
        <v>17327</v>
      </c>
      <c r="J170" s="439" t="s">
        <v>17328</v>
      </c>
      <c r="K170" s="469" t="str">
        <f>HYPERLINK("https://www.google.com/maps/dir/?api=1&amp;origin=37.1655,-7.5211&amp;destination=37.1611,-7.5350&amp;travelmode=walking","🗺 Passadiços da Manta Rota")</f>
        <v>🗺 Passadiços da Manta Rota</v>
      </c>
    </row>
    <row r="171" spans="1:11" ht="20" customHeight="1" x14ac:dyDescent="0.4">
      <c r="A171" s="430">
        <v>163</v>
      </c>
      <c r="B171" s="431" t="s">
        <v>17329</v>
      </c>
      <c r="C171" s="432" t="s">
        <v>17330</v>
      </c>
      <c r="D171" s="433" t="s">
        <v>23839</v>
      </c>
      <c r="E171" s="433" t="s">
        <v>23970</v>
      </c>
      <c r="F171" s="430" t="s">
        <v>2296</v>
      </c>
      <c r="G171" s="433" t="s">
        <v>16575</v>
      </c>
      <c r="H171" s="434" t="s">
        <v>17331</v>
      </c>
      <c r="I171" s="434" t="s">
        <v>17332</v>
      </c>
      <c r="J171" s="434" t="s">
        <v>17333</v>
      </c>
      <c r="K171" s="468" t="str">
        <f>HYPERLINK("https://www.google.com/maps/dir/?api=1&amp;origin=37.1555,-7.5450&amp;destination=37.1255,-7.6411&amp;travelmode=walking","🗺 Ecovia Cacela Velha — Tavira")</f>
        <v>🗺 Ecovia Cacela Velha — Tavira</v>
      </c>
    </row>
    <row r="172" spans="1:11" ht="20" customHeight="1" x14ac:dyDescent="0.4">
      <c r="A172" s="435">
        <v>164</v>
      </c>
      <c r="B172" s="436" t="s">
        <v>17334</v>
      </c>
      <c r="C172" s="437" t="s">
        <v>17330</v>
      </c>
      <c r="D172" s="438" t="s">
        <v>23840</v>
      </c>
      <c r="E172" s="438" t="s">
        <v>23840</v>
      </c>
      <c r="F172" s="435" t="s">
        <v>16580</v>
      </c>
      <c r="G172" s="438" t="s">
        <v>16581</v>
      </c>
      <c r="H172" s="439" t="s">
        <v>17335</v>
      </c>
      <c r="I172" s="439" t="s">
        <v>17336</v>
      </c>
      <c r="J172" s="439" t="s">
        <v>17337</v>
      </c>
      <c r="K172" s="469" t="str">
        <f>HYPERLINK("https://www.google.com/maps/dir/?api=1&amp;origin=37.1111,-7.6255&amp;destination=37.1111,-7.6255&amp;travelmode=walking","🗺 Passadiços Ilha de Tavira")</f>
        <v>🗺 Passadiços Ilha de Tavira</v>
      </c>
    </row>
    <row r="173" spans="1:11" ht="20" customHeight="1" x14ac:dyDescent="0.4">
      <c r="A173" s="430">
        <v>165</v>
      </c>
      <c r="B173" s="431" t="s">
        <v>17338</v>
      </c>
      <c r="C173" s="432" t="s">
        <v>17339</v>
      </c>
      <c r="D173" s="433" t="s">
        <v>23841</v>
      </c>
      <c r="E173" s="433" t="s">
        <v>23841</v>
      </c>
      <c r="F173" s="430" t="s">
        <v>2868</v>
      </c>
      <c r="G173" s="433" t="s">
        <v>16581</v>
      </c>
      <c r="H173" s="434" t="s">
        <v>17340</v>
      </c>
      <c r="I173" s="434" t="s">
        <v>17341</v>
      </c>
      <c r="J173" s="434" t="s">
        <v>17342</v>
      </c>
      <c r="K173" s="468" t="str">
        <f>HYPERLINK("https://www.google.com/maps/dir/?api=1&amp;origin=37.0911,-7.6611&amp;destination=37.0911,-7.6611&amp;travelmode=walking","🗺 Passadiços do Barril")</f>
        <v>🗺 Passadiços do Barril</v>
      </c>
    </row>
    <row r="174" spans="1:11" ht="20" customHeight="1" x14ac:dyDescent="0.4">
      <c r="A174" s="435">
        <v>166</v>
      </c>
      <c r="B174" s="436" t="s">
        <v>17343</v>
      </c>
      <c r="C174" s="437" t="s">
        <v>17344</v>
      </c>
      <c r="D174" s="438" t="s">
        <v>23842</v>
      </c>
      <c r="E174" s="438" t="s">
        <v>23971</v>
      </c>
      <c r="F174" s="435" t="s">
        <v>2868</v>
      </c>
      <c r="G174" s="438" t="s">
        <v>16575</v>
      </c>
      <c r="H174" s="439" t="s">
        <v>17345</v>
      </c>
      <c r="I174" s="439" t="s">
        <v>17346</v>
      </c>
      <c r="J174" s="439" t="s">
        <v>17347</v>
      </c>
      <c r="K174" s="469" t="str">
        <f>HYPERLINK("https://www.google.com/maps/dir/?api=1&amp;origin=37.0255,-7.8411&amp;destination=37.0355,-7.8211&amp;travelmode=walking","🗺 Ecovia da Ria Formosa")</f>
        <v>🗺 Ecovia da Ria Formosa</v>
      </c>
    </row>
    <row r="175" spans="1:11" ht="20" customHeight="1" x14ac:dyDescent="0.4">
      <c r="A175" s="430">
        <v>167</v>
      </c>
      <c r="B175" s="431" t="s">
        <v>17348</v>
      </c>
      <c r="C175" s="432" t="s">
        <v>17349</v>
      </c>
      <c r="D175" s="433" t="s">
        <v>23843</v>
      </c>
      <c r="E175" s="433" t="s">
        <v>23972</v>
      </c>
      <c r="F175" s="430" t="s">
        <v>2845</v>
      </c>
      <c r="G175" s="433" t="s">
        <v>16581</v>
      </c>
      <c r="H175" s="434" t="s">
        <v>17350</v>
      </c>
      <c r="I175" s="434" t="s">
        <v>17351</v>
      </c>
      <c r="J175" s="434" t="s">
        <v>17352</v>
      </c>
      <c r="K175" s="468" t="str">
        <f>HYPERLINK("https://www.google.com/maps/dir/?api=1&amp;origin=37.0311,-7.9855&amp;destination=37.0155,-8.0111&amp;travelmode=walking","🗺 Passadiços do Ludo")</f>
        <v>🗺 Passadiços do Ludo</v>
      </c>
    </row>
    <row r="176" spans="1:11" ht="20" customHeight="1" x14ac:dyDescent="0.4">
      <c r="A176" s="435">
        <v>168</v>
      </c>
      <c r="B176" s="436" t="s">
        <v>17353</v>
      </c>
      <c r="C176" s="437" t="s">
        <v>17349</v>
      </c>
      <c r="D176" s="438" t="s">
        <v>23844</v>
      </c>
      <c r="E176" s="438" t="s">
        <v>23844</v>
      </c>
      <c r="F176" s="435" t="s">
        <v>16580</v>
      </c>
      <c r="G176" s="438" t="s">
        <v>16581</v>
      </c>
      <c r="H176" s="439" t="s">
        <v>17354</v>
      </c>
      <c r="I176" s="439" t="s">
        <v>17355</v>
      </c>
      <c r="J176" s="439" t="s">
        <v>17356</v>
      </c>
      <c r="K176" s="469" t="str">
        <f>HYPERLINK("https://www.google.com/maps/dir/?api=1&amp;origin=37.0085,-7.9911&amp;destination=37.0085,-7.9911&amp;travelmode=walking","🗺 Passadiço Praia de Faro")</f>
        <v>🗺 Passadiço Praia de Faro</v>
      </c>
    </row>
    <row r="177" spans="1:11" ht="20" customHeight="1" x14ac:dyDescent="0.4">
      <c r="A177" s="430">
        <v>169</v>
      </c>
      <c r="B177" s="431" t="s">
        <v>17357</v>
      </c>
      <c r="C177" s="432" t="s">
        <v>17358</v>
      </c>
      <c r="D177" s="433" t="s">
        <v>23845</v>
      </c>
      <c r="E177" s="433" t="s">
        <v>23845</v>
      </c>
      <c r="F177" s="430" t="s">
        <v>16610</v>
      </c>
      <c r="G177" s="433" t="s">
        <v>16581</v>
      </c>
      <c r="H177" s="434" t="s">
        <v>17359</v>
      </c>
      <c r="I177" s="434" t="s">
        <v>17360</v>
      </c>
      <c r="J177" s="434" t="s">
        <v>17361</v>
      </c>
      <c r="K177" s="468" t="str">
        <f>HYPERLINK("https://www.google.com/maps/dir/?api=1&amp;origin=37.0255,-8.0155&amp;destination=37.0255,-8.0155&amp;travelmode=walking","🗺 Passadiços Quinta do Lago")</f>
        <v>🗺 Passadiços Quinta do Lago</v>
      </c>
    </row>
    <row r="178" spans="1:11" ht="20" customHeight="1" x14ac:dyDescent="0.4">
      <c r="A178" s="435">
        <v>170</v>
      </c>
      <c r="B178" s="436" t="s">
        <v>17362</v>
      </c>
      <c r="C178" s="437" t="s">
        <v>17358</v>
      </c>
      <c r="D178" s="438" t="s">
        <v>23846</v>
      </c>
      <c r="E178" s="438" t="s">
        <v>23846</v>
      </c>
      <c r="F178" s="435" t="s">
        <v>16610</v>
      </c>
      <c r="G178" s="438" t="s">
        <v>16581</v>
      </c>
      <c r="H178" s="439" t="s">
        <v>17363</v>
      </c>
      <c r="I178" s="439" t="s">
        <v>17364</v>
      </c>
      <c r="J178" s="439" t="s">
        <v>17365</v>
      </c>
      <c r="K178" s="469" t="str">
        <f>HYPERLINK("https://www.google.com/maps/dir/?api=1&amp;origin=37.0511,-8.0611&amp;destination=37.0511,-8.0611&amp;travelmode=walking","🗺 Passadiços Vale do Lobo")</f>
        <v>🗺 Passadiços Vale do Lobo</v>
      </c>
    </row>
    <row r="179" spans="1:11" ht="20" customHeight="1" x14ac:dyDescent="0.4">
      <c r="A179" s="430">
        <v>171</v>
      </c>
      <c r="B179" s="431" t="s">
        <v>17366</v>
      </c>
      <c r="C179" s="432" t="s">
        <v>17358</v>
      </c>
      <c r="D179" s="433" t="s">
        <v>23847</v>
      </c>
      <c r="E179" s="433" t="s">
        <v>23973</v>
      </c>
      <c r="F179" s="430" t="s">
        <v>2868</v>
      </c>
      <c r="G179" s="433" t="s">
        <v>16581</v>
      </c>
      <c r="H179" s="434" t="s">
        <v>17367</v>
      </c>
      <c r="I179" s="434" t="s">
        <v>17368</v>
      </c>
      <c r="J179" s="434" t="s">
        <v>17369</v>
      </c>
      <c r="K179" s="468" t="str">
        <f>HYPERLINK("https://www.google.com/maps/dir/?api=1&amp;origin=37.0755,-8.1255&amp;destination=37.0855,-8.1511&amp;travelmode=walking","🗺 Passadiço de Vilamoura")</f>
        <v>🗺 Passadiço de Vilamoura</v>
      </c>
    </row>
    <row r="180" spans="1:11" ht="20" customHeight="1" x14ac:dyDescent="0.4">
      <c r="A180" s="435">
        <v>172</v>
      </c>
      <c r="B180" s="436" t="s">
        <v>17370</v>
      </c>
      <c r="C180" s="437" t="s">
        <v>17371</v>
      </c>
      <c r="D180" s="438" t="s">
        <v>23848</v>
      </c>
      <c r="E180" s="438" t="s">
        <v>23848</v>
      </c>
      <c r="F180" s="435" t="s">
        <v>16580</v>
      </c>
      <c r="G180" s="438" t="s">
        <v>16581</v>
      </c>
      <c r="H180" s="439" t="s">
        <v>17372</v>
      </c>
      <c r="I180" s="439" t="s">
        <v>17373</v>
      </c>
      <c r="J180" s="439" t="s">
        <v>6869</v>
      </c>
      <c r="K180" s="469" t="str">
        <f>HYPERLINK("https://www.google.com/maps/dir/?api=1&amp;origin=37.0855,-8.3255&amp;destination=37.0855,-8.3255&amp;travelmode=walking","🗺 Passadiços Lagoa Salgados")</f>
        <v>🗺 Passadiços Lagoa Salgados</v>
      </c>
    </row>
    <row r="181" spans="1:11" ht="20" customHeight="1" x14ac:dyDescent="0.4">
      <c r="A181" s="430">
        <v>173</v>
      </c>
      <c r="B181" s="431" t="s">
        <v>17374</v>
      </c>
      <c r="C181" s="432" t="s">
        <v>17375</v>
      </c>
      <c r="D181" s="433" t="s">
        <v>23849</v>
      </c>
      <c r="E181" s="433" t="s">
        <v>23974</v>
      </c>
      <c r="F181" s="430" t="s">
        <v>16580</v>
      </c>
      <c r="G181" s="433" t="s">
        <v>16581</v>
      </c>
      <c r="H181" s="434" t="s">
        <v>17376</v>
      </c>
      <c r="I181" s="434" t="s">
        <v>17377</v>
      </c>
      <c r="J181" s="434" t="s">
        <v>17378</v>
      </c>
      <c r="K181" s="468" t="str">
        <f>HYPERLINK("https://www.google.com/maps/dir/?api=1&amp;origin=37.1011,-8.3555&amp;destination=37.1055,-8.3711&amp;travelmode=walking","🗺 Passadiços Armação de Pêra")</f>
        <v>🗺 Passadiços Armação de Pêra</v>
      </c>
    </row>
    <row r="182" spans="1:11" ht="20" customHeight="1" x14ac:dyDescent="0.4">
      <c r="A182" s="435">
        <v>174</v>
      </c>
      <c r="B182" s="436" t="s">
        <v>17379</v>
      </c>
      <c r="C182" s="437" t="s">
        <v>17375</v>
      </c>
      <c r="D182" s="438" t="s">
        <v>23850</v>
      </c>
      <c r="E182" s="438" t="s">
        <v>23850</v>
      </c>
      <c r="F182" s="435" t="s">
        <v>2868</v>
      </c>
      <c r="G182" s="438" t="s">
        <v>16575</v>
      </c>
      <c r="H182" s="439" t="s">
        <v>17380</v>
      </c>
      <c r="I182" s="439" t="s">
        <v>17381</v>
      </c>
      <c r="J182" s="439" t="s">
        <v>7479</v>
      </c>
      <c r="K182" s="469" t="str">
        <f>HYPERLINK("https://www.google.com/maps/dir/?api=1&amp;origin=37.1855,-8.4411&amp;destination=37.1855,-8.4411&amp;travelmode=walking","🗺 Ecovia do Arade")</f>
        <v>🗺 Ecovia do Arade</v>
      </c>
    </row>
    <row r="183" spans="1:11" ht="20" customHeight="1" x14ac:dyDescent="0.4">
      <c r="A183" s="430">
        <v>175</v>
      </c>
      <c r="B183" s="431" t="s">
        <v>17382</v>
      </c>
      <c r="C183" s="432" t="s">
        <v>17383</v>
      </c>
      <c r="D183" s="433" t="s">
        <v>23851</v>
      </c>
      <c r="E183" s="433" t="s">
        <v>23975</v>
      </c>
      <c r="F183" s="430" t="s">
        <v>2283</v>
      </c>
      <c r="G183" s="433" t="s">
        <v>16581</v>
      </c>
      <c r="H183" s="434" t="s">
        <v>17384</v>
      </c>
      <c r="I183" s="434" t="s">
        <v>17385</v>
      </c>
      <c r="J183" s="434" t="s">
        <v>17386</v>
      </c>
      <c r="K183" s="468" t="str">
        <f>HYPERLINK("https://www.google.com/maps/dir/?api=1&amp;origin=37.1255,-8.5955&amp;destination=37.1211,-8.6111&amp;travelmode=walking","🗺 Passadiços do Alvor")</f>
        <v>🗺 Passadiços do Alvor</v>
      </c>
    </row>
    <row r="184" spans="1:11" ht="20" customHeight="1" x14ac:dyDescent="0.4">
      <c r="A184" s="435">
        <v>176</v>
      </c>
      <c r="B184" s="436" t="s">
        <v>17387</v>
      </c>
      <c r="C184" s="437" t="s">
        <v>17388</v>
      </c>
      <c r="D184" s="438" t="s">
        <v>23852</v>
      </c>
      <c r="E184" s="438" t="s">
        <v>23976</v>
      </c>
      <c r="F184" s="435" t="s">
        <v>16610</v>
      </c>
      <c r="G184" s="438" t="s">
        <v>16581</v>
      </c>
      <c r="H184" s="439" t="s">
        <v>17389</v>
      </c>
      <c r="I184" s="439" t="s">
        <v>17390</v>
      </c>
      <c r="J184" s="439" t="s">
        <v>17391</v>
      </c>
      <c r="K184" s="469" t="str">
        <f>HYPERLINK("https://www.google.com/maps/dir/?api=1&amp;origin=37.0945,-8.4685&amp;destination=37.0965,-8.4611&amp;travelmode=walking","🗺 Passadiços do Carvoeiro")</f>
        <v>🗺 Passadiços do Carvoeiro</v>
      </c>
    </row>
    <row r="185" spans="1:11" ht="20" customHeight="1" x14ac:dyDescent="0.4">
      <c r="A185" s="430">
        <v>177</v>
      </c>
      <c r="B185" s="431" t="s">
        <v>17392</v>
      </c>
      <c r="C185" s="432" t="s">
        <v>17388</v>
      </c>
      <c r="D185" s="433" t="s">
        <v>23853</v>
      </c>
      <c r="E185" s="433" t="s">
        <v>23853</v>
      </c>
      <c r="F185" s="430" t="s">
        <v>16635</v>
      </c>
      <c r="G185" s="433" t="s">
        <v>16581</v>
      </c>
      <c r="H185" s="434" t="s">
        <v>17393</v>
      </c>
      <c r="I185" s="434" t="s">
        <v>17394</v>
      </c>
      <c r="J185" s="434" t="s">
        <v>17395</v>
      </c>
      <c r="K185" s="468" t="str">
        <f>HYPERLINK("https://www.google.com/maps/dir/?api=1&amp;origin=37.1111,-8.5211&amp;destination=37.1111,-8.5211&amp;travelmode=walking","🗺 Passadiço de Ferragudo")</f>
        <v>🗺 Passadiço de Ferragudo</v>
      </c>
    </row>
    <row r="186" spans="1:11" ht="20" customHeight="1" x14ac:dyDescent="0.4">
      <c r="A186" s="435">
        <v>178</v>
      </c>
      <c r="B186" s="436" t="s">
        <v>17396</v>
      </c>
      <c r="C186" s="437" t="s">
        <v>17397</v>
      </c>
      <c r="D186" s="438" t="s">
        <v>23854</v>
      </c>
      <c r="E186" s="438" t="s">
        <v>23977</v>
      </c>
      <c r="F186" s="435" t="s">
        <v>16580</v>
      </c>
      <c r="G186" s="438" t="s">
        <v>16581</v>
      </c>
      <c r="H186" s="439" t="s">
        <v>17398</v>
      </c>
      <c r="I186" s="439" t="s">
        <v>17399</v>
      </c>
      <c r="J186" s="439" t="s">
        <v>13658</v>
      </c>
      <c r="K186" s="469" t="str">
        <f>HYPERLINK("https://www.google.com/maps/dir/?api=1&amp;origin=37.0811,-8.6695&amp;destination=37.0911,-8.6755&amp;travelmode=walking","🗺 Passadiços Ponta da Piedade")</f>
        <v>🗺 Passadiços Ponta da Piedade</v>
      </c>
    </row>
    <row r="187" spans="1:11" ht="20" customHeight="1" x14ac:dyDescent="0.4">
      <c r="A187" s="430">
        <v>179</v>
      </c>
      <c r="B187" s="431" t="s">
        <v>17400</v>
      </c>
      <c r="C187" s="432" t="s">
        <v>17397</v>
      </c>
      <c r="D187" s="433" t="s">
        <v>23855</v>
      </c>
      <c r="E187" s="433" t="s">
        <v>23978</v>
      </c>
      <c r="F187" s="430" t="s">
        <v>2845</v>
      </c>
      <c r="G187" s="433" t="s">
        <v>16581</v>
      </c>
      <c r="H187" s="434" t="s">
        <v>17401</v>
      </c>
      <c r="I187" s="434" t="s">
        <v>17402</v>
      </c>
      <c r="J187" s="434" t="s">
        <v>17403</v>
      </c>
      <c r="K187" s="468" t="str">
        <f>HYPERLINK("https://www.google.com/maps/dir/?api=1&amp;origin=37.1155,-8.6411&amp;destination=37.1255,-8.6211&amp;travelmode=walking","🗺 Passadiço da Meia Praia")</f>
        <v>🗺 Passadiço da Meia Praia</v>
      </c>
    </row>
    <row r="188" spans="1:11" ht="20" customHeight="1" x14ac:dyDescent="0.4">
      <c r="A188" s="435">
        <v>180</v>
      </c>
      <c r="B188" s="436" t="s">
        <v>17404</v>
      </c>
      <c r="C188" s="437" t="s">
        <v>17397</v>
      </c>
      <c r="D188" s="438" t="s">
        <v>23856</v>
      </c>
      <c r="E188" s="438" t="s">
        <v>23856</v>
      </c>
      <c r="F188" s="435" t="s">
        <v>16610</v>
      </c>
      <c r="G188" s="438" t="s">
        <v>16581</v>
      </c>
      <c r="H188" s="439" t="s">
        <v>17405</v>
      </c>
      <c r="I188" s="439" t="s">
        <v>17406</v>
      </c>
      <c r="J188" s="439" t="s">
        <v>17407</v>
      </c>
      <c r="K188" s="469" t="str">
        <f>HYPERLINK("https://www.google.com/maps/dir/?api=1&amp;origin=37.0855,-8.7255&amp;destination=37.0855,-8.7255&amp;travelmode=walking","🗺 Passadiço Praia da Luz")</f>
        <v>🗺 Passadiço Praia da Luz</v>
      </c>
    </row>
    <row r="189" spans="1:11" ht="20" customHeight="1" x14ac:dyDescent="0.4">
      <c r="A189" s="430">
        <v>181</v>
      </c>
      <c r="B189" s="431" t="s">
        <v>17408</v>
      </c>
      <c r="C189" s="432" t="s">
        <v>17409</v>
      </c>
      <c r="D189" s="433" t="s">
        <v>23857</v>
      </c>
      <c r="E189" s="433" t="s">
        <v>23857</v>
      </c>
      <c r="F189" s="430" t="s">
        <v>16580</v>
      </c>
      <c r="G189" s="433" t="s">
        <v>16581</v>
      </c>
      <c r="H189" s="434" t="s">
        <v>17410</v>
      </c>
      <c r="I189" s="434" t="s">
        <v>17411</v>
      </c>
      <c r="J189" s="434" t="s">
        <v>7494</v>
      </c>
      <c r="K189" s="468" t="str">
        <f>HYPERLINK("https://www.google.com/maps/dir/?api=1&amp;origin=36.9955,-8.9485&amp;destination=36.9955,-8.9485&amp;travelmode=walking","🗺 Passadiços de Sagres")</f>
        <v>🗺 Passadiços de Sagres</v>
      </c>
    </row>
    <row r="190" spans="1:11" ht="20" customHeight="1" x14ac:dyDescent="0.4">
      <c r="A190" s="435">
        <v>182</v>
      </c>
      <c r="B190" s="436" t="s">
        <v>17412</v>
      </c>
      <c r="C190" s="437" t="s">
        <v>17413</v>
      </c>
      <c r="D190" s="438" t="s">
        <v>23858</v>
      </c>
      <c r="E190" s="438" t="s">
        <v>23858</v>
      </c>
      <c r="F190" s="435" t="s">
        <v>17160</v>
      </c>
      <c r="G190" s="438" t="s">
        <v>16581</v>
      </c>
      <c r="H190" s="439" t="s">
        <v>17414</v>
      </c>
      <c r="I190" s="439" t="s">
        <v>17415</v>
      </c>
      <c r="J190" s="439" t="s">
        <v>17416</v>
      </c>
      <c r="K190" s="469" t="str">
        <f>HYPERLINK("https://www.google.com/maps/dir/?api=1&amp;origin=37.0211,-8.9611&amp;destination=37.0211,-8.9611&amp;travelmode=walking","🗺 Passadiços do Beliche")</f>
        <v>🗺 Passadiços do Beliche</v>
      </c>
    </row>
    <row r="191" spans="1:11" ht="20" customHeight="1" x14ac:dyDescent="0.4">
      <c r="A191" s="430">
        <v>183</v>
      </c>
      <c r="B191" s="431" t="s">
        <v>17417</v>
      </c>
      <c r="C191" s="432" t="s">
        <v>17418</v>
      </c>
      <c r="D191" s="433" t="s">
        <v>23859</v>
      </c>
      <c r="E191" s="433" t="s">
        <v>23979</v>
      </c>
      <c r="F191" s="430" t="s">
        <v>2868</v>
      </c>
      <c r="G191" s="433" t="s">
        <v>16581</v>
      </c>
      <c r="H191" s="434" t="s">
        <v>17419</v>
      </c>
      <c r="I191" s="434" t="s">
        <v>17420</v>
      </c>
      <c r="J191" s="434" t="s">
        <v>17421</v>
      </c>
      <c r="K191" s="468" t="str">
        <f>HYPERLINK("https://www.google.com/maps/dir/?api=1&amp;origin=37.1911,-8.9011&amp;destination=37.1955,-8.9111&amp;travelmode=walking","🗺 Passadiço da Bordeira")</f>
        <v>🗺 Passadiço da Bordeira</v>
      </c>
    </row>
    <row r="192" spans="1:11" ht="20" customHeight="1" x14ac:dyDescent="0.4">
      <c r="A192" s="435">
        <v>184</v>
      </c>
      <c r="B192" s="436" t="s">
        <v>17422</v>
      </c>
      <c r="C192" s="437" t="s">
        <v>17418</v>
      </c>
      <c r="D192" s="438" t="s">
        <v>23860</v>
      </c>
      <c r="E192" s="438" t="s">
        <v>23860</v>
      </c>
      <c r="F192" s="435" t="s">
        <v>16635</v>
      </c>
      <c r="G192" s="438" t="s">
        <v>16581</v>
      </c>
      <c r="H192" s="439" t="s">
        <v>17423</v>
      </c>
      <c r="I192" s="439" t="s">
        <v>17424</v>
      </c>
      <c r="J192" s="439" t="s">
        <v>8140</v>
      </c>
      <c r="K192" s="469" t="str">
        <f>HYPERLINK("https://www.google.com/maps/dir/?api=1&amp;origin=37.1655,-8.9011&amp;destination=37.1655,-8.9011&amp;travelmode=walking","🗺 Passadiço do Amado")</f>
        <v>🗺 Passadiço do Amado</v>
      </c>
    </row>
    <row r="193" spans="1:11" ht="20" customHeight="1" x14ac:dyDescent="0.4">
      <c r="A193" s="430">
        <v>185</v>
      </c>
      <c r="B193" s="431" t="s">
        <v>17425</v>
      </c>
      <c r="C193" s="432" t="s">
        <v>17418</v>
      </c>
      <c r="D193" s="433" t="s">
        <v>23861</v>
      </c>
      <c r="E193" s="433" t="s">
        <v>23861</v>
      </c>
      <c r="F193" s="430" t="s">
        <v>16580</v>
      </c>
      <c r="G193" s="433" t="s">
        <v>16581</v>
      </c>
      <c r="H193" s="434" t="s">
        <v>17426</v>
      </c>
      <c r="I193" s="434" t="s">
        <v>17427</v>
      </c>
      <c r="J193" s="434" t="s">
        <v>17428</v>
      </c>
      <c r="K193" s="468" t="str">
        <f>HYPERLINK("https://www.google.com/maps/dir/?api=1&amp;origin=37.4411,-8.7985&amp;destination=37.4411,-8.7985&amp;travelmode=walking","🗺 Passadiços de Odeceixe")</f>
        <v>🗺 Passadiços de Odeceixe</v>
      </c>
    </row>
    <row r="194" spans="1:11" ht="20" customHeight="1" x14ac:dyDescent="0.4">
      <c r="A194" s="435">
        <v>186</v>
      </c>
      <c r="B194" s="436" t="s">
        <v>17429</v>
      </c>
      <c r="C194" s="437" t="s">
        <v>17418</v>
      </c>
      <c r="D194" s="438" t="s">
        <v>23862</v>
      </c>
      <c r="E194" s="438" t="s">
        <v>23862</v>
      </c>
      <c r="F194" s="435" t="s">
        <v>16635</v>
      </c>
      <c r="G194" s="438" t="s">
        <v>16581</v>
      </c>
      <c r="H194" s="439" t="s">
        <v>17430</v>
      </c>
      <c r="I194" s="439" t="s">
        <v>17431</v>
      </c>
      <c r="J194" s="439" t="s">
        <v>17432</v>
      </c>
      <c r="K194" s="469" t="str">
        <f>HYPERLINK("https://www.google.com/maps/dir/?api=1&amp;origin=37.3411,-8.8511&amp;destination=37.3411,-8.8511&amp;travelmode=walking","🗺 Passadiços de Monte Clérigo")</f>
        <v>🗺 Passadiços de Monte Clérigo</v>
      </c>
    </row>
    <row r="195" spans="1:11" ht="20" customHeight="1" x14ac:dyDescent="0.4">
      <c r="A195" s="430">
        <v>187</v>
      </c>
      <c r="B195" s="431" t="s">
        <v>17433</v>
      </c>
      <c r="C195" s="432" t="s">
        <v>17434</v>
      </c>
      <c r="D195" s="433" t="s">
        <v>23863</v>
      </c>
      <c r="E195" s="433" t="s">
        <v>23980</v>
      </c>
      <c r="F195" s="430" t="s">
        <v>2296</v>
      </c>
      <c r="G195" s="433" t="s">
        <v>13596</v>
      </c>
      <c r="H195" s="434" t="s">
        <v>17435</v>
      </c>
      <c r="I195" s="434" t="s">
        <v>17436</v>
      </c>
      <c r="J195" s="434" t="s">
        <v>17437</v>
      </c>
      <c r="K195" s="468" t="str">
        <f>HYPERLINK("https://www.google.com/maps/dir/?api=1&amp;origin=37.0311,-7.8411&amp;destination=37.0511,-7.7450&amp;travelmode=walking","🗺 Ecopista Olhão — Fuseta")</f>
        <v>🗺 Ecopista Olhão — Fuseta</v>
      </c>
    </row>
    <row r="196" spans="1:11" ht="20" customHeight="1" x14ac:dyDescent="0.4">
      <c r="A196" s="435">
        <v>188</v>
      </c>
      <c r="B196" s="436" t="s">
        <v>17438</v>
      </c>
      <c r="C196" s="437" t="s">
        <v>17439</v>
      </c>
      <c r="D196" s="438" t="s">
        <v>23864</v>
      </c>
      <c r="E196" s="438" t="s">
        <v>23864</v>
      </c>
      <c r="F196" s="435" t="s">
        <v>16610</v>
      </c>
      <c r="G196" s="438" t="s">
        <v>16581</v>
      </c>
      <c r="H196" s="439" t="s">
        <v>17440</v>
      </c>
      <c r="I196" s="439" t="s">
        <v>17441</v>
      </c>
      <c r="J196" s="439" t="s">
        <v>17442</v>
      </c>
      <c r="K196" s="469" t="str">
        <f>HYPERLINK("https://www.google.com/maps/dir/?api=1&amp;origin=37.3311,-7.4855&amp;destination=37.3311,-7.4855&amp;travelmode=walking","🗺 Passadiços Barragem Odeleite")</f>
        <v>🗺 Passadiços Barragem Odeleite</v>
      </c>
    </row>
    <row r="197" spans="1:11" ht="20" customHeight="1" x14ac:dyDescent="0.4">
      <c r="A197" s="430">
        <v>189</v>
      </c>
      <c r="B197" s="431" t="s">
        <v>17443</v>
      </c>
      <c r="C197" s="432" t="s">
        <v>17444</v>
      </c>
      <c r="D197" s="433" t="s">
        <v>23865</v>
      </c>
      <c r="E197" s="433" t="s">
        <v>23865</v>
      </c>
      <c r="F197" s="430" t="s">
        <v>2868</v>
      </c>
      <c r="G197" s="433" t="s">
        <v>16575</v>
      </c>
      <c r="H197" s="434" t="s">
        <v>17445</v>
      </c>
      <c r="I197" s="434" t="s">
        <v>17446</v>
      </c>
      <c r="J197" s="434" t="s">
        <v>17447</v>
      </c>
      <c r="K197" s="468" t="str">
        <f>HYPERLINK("https://www.google.com/maps/dir/?api=1&amp;origin=37.4711,-7.4711&amp;destination=37.4711,-7.4711&amp;travelmode=walking","🗺 Ecovia do Rio Guadiana")</f>
        <v>🗺 Ecovia do Rio Guadiana</v>
      </c>
    </row>
    <row r="198" spans="1:11" ht="20" customHeight="1" x14ac:dyDescent="0.4">
      <c r="A198" s="435">
        <v>190</v>
      </c>
      <c r="B198" s="436" t="s">
        <v>17448</v>
      </c>
      <c r="C198" s="437" t="s">
        <v>17449</v>
      </c>
      <c r="D198" s="438" t="s">
        <v>23866</v>
      </c>
      <c r="E198" s="438" t="s">
        <v>23866</v>
      </c>
      <c r="F198" s="435" t="s">
        <v>16580</v>
      </c>
      <c r="G198" s="438" t="s">
        <v>16581</v>
      </c>
      <c r="H198" s="439" t="s">
        <v>17450</v>
      </c>
      <c r="I198" s="439" t="s">
        <v>17451</v>
      </c>
      <c r="J198" s="439" t="s">
        <v>17452</v>
      </c>
      <c r="K198" s="469" t="str">
        <f>HYPERLINK("https://www.google.com/maps/dir/?api=1&amp;origin=37.3111,-8.5511&amp;destination=37.3111,-8.5511&amp;travelmode=walking","🗺 Passadiços de Monchique")</f>
        <v>🗺 Passadiços de Monchique</v>
      </c>
    </row>
    <row r="199" spans="1:11" ht="20" customHeight="1" x14ac:dyDescent="0.4">
      <c r="A199" s="430">
        <v>191</v>
      </c>
      <c r="B199" s="431" t="s">
        <v>17453</v>
      </c>
      <c r="C199" s="432" t="s">
        <v>17439</v>
      </c>
      <c r="D199" s="433" t="s">
        <v>23867</v>
      </c>
      <c r="E199" s="433" t="s">
        <v>23867</v>
      </c>
      <c r="F199" s="430" t="s">
        <v>2868</v>
      </c>
      <c r="G199" s="433" t="s">
        <v>16575</v>
      </c>
      <c r="H199" s="434" t="s">
        <v>17454</v>
      </c>
      <c r="I199" s="434" t="s">
        <v>17455</v>
      </c>
      <c r="J199" s="434" t="s">
        <v>17456</v>
      </c>
      <c r="K199" s="468" t="str">
        <f>HYPERLINK("https://www.google.com/maps/dir/?api=1&amp;origin=37.2111,-7.4511&amp;destination=37.2111,-7.4511&amp;travelmode=walking","🗺 Ecovia Reserva Castro Marim")</f>
        <v>🗺 Ecovia Reserva Castro Marim</v>
      </c>
    </row>
    <row r="200" spans="1:11" ht="20" customHeight="1" x14ac:dyDescent="0.4">
      <c r="A200" s="435">
        <v>192</v>
      </c>
      <c r="B200" s="436" t="s">
        <v>17457</v>
      </c>
      <c r="C200" s="437" t="s">
        <v>17458</v>
      </c>
      <c r="D200" s="438" t="s">
        <v>23868</v>
      </c>
      <c r="E200" s="438" t="s">
        <v>23868</v>
      </c>
      <c r="F200" s="435" t="s">
        <v>16610</v>
      </c>
      <c r="G200" s="438" t="s">
        <v>16581</v>
      </c>
      <c r="H200" s="439" t="s">
        <v>17459</v>
      </c>
      <c r="I200" s="439" t="s">
        <v>17460</v>
      </c>
      <c r="J200" s="439" t="s">
        <v>6088</v>
      </c>
      <c r="K200" s="469" t="str">
        <f>HYPERLINK("https://www.google.com/maps/dir/?api=1&amp;origin=37.1955,-8.0011&amp;destination=37.1955,-8.0011&amp;travelmode=walking","🗺 Passadiço Fonte Benémola")</f>
        <v>🗺 Passadiço Fonte Benémola</v>
      </c>
    </row>
    <row r="201" spans="1:11" ht="20" customHeight="1" x14ac:dyDescent="0.4">
      <c r="A201" s="430">
        <v>193</v>
      </c>
      <c r="B201" s="431" t="s">
        <v>17461</v>
      </c>
      <c r="C201" s="432" t="s">
        <v>17458</v>
      </c>
      <c r="D201" s="433" t="s">
        <v>23869</v>
      </c>
      <c r="E201" s="433" t="s">
        <v>23869</v>
      </c>
      <c r="F201" s="430" t="s">
        <v>16580</v>
      </c>
      <c r="G201" s="433" t="s">
        <v>16581</v>
      </c>
      <c r="H201" s="434" t="s">
        <v>17462</v>
      </c>
      <c r="I201" s="434" t="s">
        <v>17463</v>
      </c>
      <c r="J201" s="434" t="s">
        <v>5523</v>
      </c>
      <c r="K201" s="468" t="str">
        <f>HYPERLINK("https://www.google.com/maps/dir/?api=1&amp;origin=37.2511,-8.0955&amp;destination=37.2511,-8.0955&amp;travelmode=walking","🗺 Passadiço Rocha da Pena")</f>
        <v>🗺 Passadiço Rocha da Pena</v>
      </c>
    </row>
    <row r="202" spans="1:11" ht="20" customHeight="1" x14ac:dyDescent="0.4">
      <c r="A202" s="435">
        <v>194</v>
      </c>
      <c r="B202" s="436" t="s">
        <v>17464</v>
      </c>
      <c r="C202" s="437" t="s">
        <v>17434</v>
      </c>
      <c r="D202" s="438" t="s">
        <v>23870</v>
      </c>
      <c r="E202" s="438" t="s">
        <v>23870</v>
      </c>
      <c r="F202" s="435" t="s">
        <v>16580</v>
      </c>
      <c r="G202" s="438" t="s">
        <v>16575</v>
      </c>
      <c r="H202" s="439" t="s">
        <v>17465</v>
      </c>
      <c r="I202" s="439" t="s">
        <v>17466</v>
      </c>
      <c r="J202" s="439" t="s">
        <v>17467</v>
      </c>
      <c r="K202" s="469" t="str">
        <f>HYPERLINK("https://www.google.com/maps/dir/?api=1&amp;origin=37.0855,-7.8611&amp;destination=37.0855,-7.8611&amp;travelmode=walking","🗺 Ecovia Cerro da Cabeça")</f>
        <v>🗺 Ecovia Cerro da Cabeça</v>
      </c>
    </row>
    <row r="203" spans="1:11" ht="20" customHeight="1" x14ac:dyDescent="0.4">
      <c r="A203" s="430">
        <v>195</v>
      </c>
      <c r="B203" s="431" t="s">
        <v>17468</v>
      </c>
      <c r="C203" s="432" t="s">
        <v>17469</v>
      </c>
      <c r="D203" s="433" t="s">
        <v>23871</v>
      </c>
      <c r="E203" s="433" t="s">
        <v>23871</v>
      </c>
      <c r="F203" s="430" t="s">
        <v>16580</v>
      </c>
      <c r="G203" s="433" t="s">
        <v>16581</v>
      </c>
      <c r="H203" s="434" t="s">
        <v>17470</v>
      </c>
      <c r="I203" s="434" t="s">
        <v>17471</v>
      </c>
      <c r="J203" s="434" t="s">
        <v>17472</v>
      </c>
      <c r="K203" s="468" t="str">
        <f>HYPERLINK("https://www.google.com/maps/dir/?api=1&amp;origin=37.1255,-7.6450&amp;destination=37.1255,-7.6450&amp;travelmode=walking","🗺 Passadiços do Rio Gilão")</f>
        <v>🗺 Passadiços do Rio Gilão</v>
      </c>
    </row>
    <row r="204" spans="1:11" ht="20" customHeight="1" x14ac:dyDescent="0.4">
      <c r="A204" s="435">
        <v>196</v>
      </c>
      <c r="B204" s="436" t="s">
        <v>17473</v>
      </c>
      <c r="C204" s="437" t="s">
        <v>17474</v>
      </c>
      <c r="D204" s="438" t="s">
        <v>23872</v>
      </c>
      <c r="E204" s="438" t="s">
        <v>23872</v>
      </c>
      <c r="F204" s="435" t="s">
        <v>2868</v>
      </c>
      <c r="G204" s="438" t="s">
        <v>16575</v>
      </c>
      <c r="H204" s="439" t="s">
        <v>17475</v>
      </c>
      <c r="I204" s="439" t="s">
        <v>17476</v>
      </c>
      <c r="J204" s="439" t="s">
        <v>17477</v>
      </c>
      <c r="K204" s="469" t="str">
        <f>HYPERLINK("https://www.google.com/maps/dir/?api=1&amp;origin=37.1355,-8.6211&amp;destination=37.1355,-8.6211&amp;travelmode=walking","🗺 Ecovia Ria de Alvor")</f>
        <v>🗺 Ecovia Ria de Alvor</v>
      </c>
    </row>
    <row r="205" spans="1:11" ht="20" customHeight="1" x14ac:dyDescent="0.4">
      <c r="A205" s="430">
        <v>197</v>
      </c>
      <c r="B205" s="431" t="s">
        <v>17478</v>
      </c>
      <c r="C205" s="432" t="s">
        <v>17458</v>
      </c>
      <c r="D205" s="433" t="s">
        <v>23873</v>
      </c>
      <c r="E205" s="433" t="s">
        <v>23873</v>
      </c>
      <c r="F205" s="430" t="s">
        <v>16610</v>
      </c>
      <c r="G205" s="433" t="s">
        <v>16581</v>
      </c>
      <c r="H205" s="434" t="s">
        <v>17479</v>
      </c>
      <c r="I205" s="434" t="s">
        <v>17480</v>
      </c>
      <c r="J205" s="434" t="s">
        <v>17481</v>
      </c>
      <c r="K205" s="468" t="str">
        <f>HYPERLINK("https://www.google.com/maps/dir/?api=1&amp;origin=37.2355,-8.1755&amp;destination=37.2355,-8.1755&amp;travelmode=walking","🗺 Passadiço Ribeira de Alte")</f>
        <v>🗺 Passadiço Ribeira de Alte</v>
      </c>
    </row>
    <row r="206" spans="1:11" ht="20" customHeight="1" x14ac:dyDescent="0.4">
      <c r="A206" s="435">
        <v>198</v>
      </c>
      <c r="B206" s="436" t="s">
        <v>17482</v>
      </c>
      <c r="C206" s="437" t="s">
        <v>17375</v>
      </c>
      <c r="D206" s="438" t="s">
        <v>23874</v>
      </c>
      <c r="E206" s="438" t="s">
        <v>23874</v>
      </c>
      <c r="F206" s="435" t="s">
        <v>16580</v>
      </c>
      <c r="G206" s="438" t="s">
        <v>16581</v>
      </c>
      <c r="H206" s="439" t="s">
        <v>17483</v>
      </c>
      <c r="I206" s="439" t="s">
        <v>17484</v>
      </c>
      <c r="J206" s="439" t="s">
        <v>17485</v>
      </c>
      <c r="K206" s="469" t="str">
        <f>HYPERLINK("https://www.google.com/maps/dir/?api=1&amp;origin=37.0955,-8.3311&amp;destination=37.0955,-8.3311&amp;travelmode=walking","🗺 Passadiços Praia Grande")</f>
        <v>🗺 Passadiços Praia Grande</v>
      </c>
    </row>
    <row r="207" spans="1:11" ht="20" customHeight="1" x14ac:dyDescent="0.4">
      <c r="A207" s="430">
        <v>199</v>
      </c>
      <c r="B207" s="431" t="s">
        <v>17486</v>
      </c>
      <c r="C207" s="432" t="s">
        <v>17487</v>
      </c>
      <c r="D207" s="433" t="s">
        <v>23875</v>
      </c>
      <c r="E207" s="433" t="s">
        <v>23875</v>
      </c>
      <c r="F207" s="430" t="s">
        <v>16580</v>
      </c>
      <c r="G207" s="433" t="s">
        <v>16575</v>
      </c>
      <c r="H207" s="434" t="s">
        <v>17488</v>
      </c>
      <c r="I207" s="434" t="s">
        <v>17489</v>
      </c>
      <c r="J207" s="434" t="s">
        <v>17490</v>
      </c>
      <c r="K207" s="468" t="str">
        <f>HYPERLINK("https://www.google.com/maps/dir/?api=1&amp;origin=37.1811,-7.4111&amp;destination=37.1811,-7.4111&amp;travelmode=walking","🗺 Ecovia do Camaleão")</f>
        <v>🗺 Ecovia do Camaleão</v>
      </c>
    </row>
    <row r="208" spans="1:11" ht="20" customHeight="1" x14ac:dyDescent="0.4">
      <c r="A208" s="435">
        <v>200</v>
      </c>
      <c r="B208" s="436" t="s">
        <v>17491</v>
      </c>
      <c r="C208" s="437" t="s">
        <v>17444</v>
      </c>
      <c r="D208" s="438" t="s">
        <v>23876</v>
      </c>
      <c r="E208" s="438" t="s">
        <v>23876</v>
      </c>
      <c r="F208" s="435" t="s">
        <v>2868</v>
      </c>
      <c r="G208" s="438" t="s">
        <v>16581</v>
      </c>
      <c r="H208" s="439" t="s">
        <v>17492</v>
      </c>
      <c r="I208" s="439" t="s">
        <v>17493</v>
      </c>
      <c r="J208" s="439" t="s">
        <v>17494</v>
      </c>
      <c r="K208" s="469" t="str">
        <f>HYPERLINK("https://www.google.com/maps/dir/?api=1&amp;origin=37.8011,-7.6111&amp;destination=37.8011,-7.6111&amp;travelmode=walking","🗺 Passadiços Pulo do Lobo (Alcoutim)")</f>
        <v>🗺 Passadiços Pulo do Lobo (Alcoutim)</v>
      </c>
    </row>
    <row r="209" spans="1:11" ht="20" customHeight="1" x14ac:dyDescent="0.45">
      <c r="A209" s="1600" t="s">
        <v>16570</v>
      </c>
      <c r="B209" s="1600"/>
      <c r="C209" s="1600"/>
      <c r="D209" s="1600"/>
      <c r="E209" s="1600"/>
      <c r="F209" s="1600"/>
      <c r="G209" s="1600"/>
      <c r="H209" s="1600"/>
      <c r="I209" s="1600"/>
      <c r="J209" s="1600"/>
      <c r="K209" s="1600"/>
    </row>
    <row r="210" spans="1:11" ht="20" customHeight="1" x14ac:dyDescent="0.4">
      <c r="A210" s="440">
        <v>201</v>
      </c>
      <c r="B210" s="441" t="s">
        <v>17495</v>
      </c>
      <c r="C210" s="442" t="s">
        <v>2815</v>
      </c>
      <c r="D210" s="443" t="s">
        <v>22627</v>
      </c>
      <c r="E210" s="443" t="s">
        <v>22627</v>
      </c>
      <c r="F210" s="440" t="s">
        <v>16580</v>
      </c>
      <c r="G210" s="443" t="s">
        <v>16581</v>
      </c>
      <c r="H210" s="444" t="s">
        <v>17496</v>
      </c>
      <c r="I210" s="444" t="s">
        <v>17497</v>
      </c>
      <c r="J210" s="444" t="s">
        <v>17498</v>
      </c>
      <c r="K210" s="470" t="str">
        <f>HYPERLINK("https://www.google.com/maps/dir/?api=1&amp;origin=37.7555,-25.3211&amp;destination=37.7555,-25.3211&amp;travelmode=walking","🗺 Passadiços Lagoa das Furnas")</f>
        <v>🗺 Passadiços Lagoa das Furnas</v>
      </c>
    </row>
    <row r="211" spans="1:11" ht="20" customHeight="1" x14ac:dyDescent="0.4">
      <c r="A211" s="445">
        <v>202</v>
      </c>
      <c r="B211" s="446" t="s">
        <v>17499</v>
      </c>
      <c r="C211" s="447" t="s">
        <v>17500</v>
      </c>
      <c r="D211" s="448" t="s">
        <v>22628</v>
      </c>
      <c r="E211" s="448" t="s">
        <v>22628</v>
      </c>
      <c r="F211" s="445" t="s">
        <v>16635</v>
      </c>
      <c r="G211" s="448" t="s">
        <v>16581</v>
      </c>
      <c r="H211" s="449" t="s">
        <v>17501</v>
      </c>
      <c r="I211" s="449" t="s">
        <v>17502</v>
      </c>
      <c r="J211" s="449" t="s">
        <v>17503</v>
      </c>
      <c r="K211" s="471" t="str">
        <f>HYPERLINK("https://www.google.com/maps/dir/?api=1&amp;origin=37.7811,-25.5011&amp;destination=37.7811,-25.5011&amp;travelmode=walking","🗺 Passadiços da Caldeira Velha")</f>
        <v>🗺 Passadiços da Caldeira Velha</v>
      </c>
    </row>
    <row r="212" spans="1:11" ht="20" customHeight="1" x14ac:dyDescent="0.4">
      <c r="A212" s="440">
        <v>203</v>
      </c>
      <c r="B212" s="441" t="s">
        <v>17504</v>
      </c>
      <c r="C212" s="442" t="s">
        <v>2815</v>
      </c>
      <c r="D212" s="443" t="s">
        <v>22629</v>
      </c>
      <c r="E212" s="443" t="s">
        <v>22629</v>
      </c>
      <c r="F212" s="440" t="s">
        <v>2868</v>
      </c>
      <c r="G212" s="443" t="s">
        <v>16581</v>
      </c>
      <c r="H212" s="444" t="s">
        <v>17505</v>
      </c>
      <c r="I212" s="444" t="s">
        <v>17506</v>
      </c>
      <c r="J212" s="444" t="s">
        <v>6628</v>
      </c>
      <c r="K212" s="470" t="str">
        <f>HYPERLINK("https://www.google.com/maps/dir/?api=1&amp;origin=37.7711,-25.4855&amp;destination=37.7711,-25.4855&amp;travelmode=walking","🗺 Trilho da Lagoa do Fogo")</f>
        <v>🗺 Trilho da Lagoa do Fogo</v>
      </c>
    </row>
    <row r="213" spans="1:11" ht="20" customHeight="1" x14ac:dyDescent="0.4">
      <c r="A213" s="445">
        <v>204</v>
      </c>
      <c r="B213" s="446" t="s">
        <v>17507</v>
      </c>
      <c r="C213" s="447" t="s">
        <v>17508</v>
      </c>
      <c r="D213" s="448" t="s">
        <v>22630</v>
      </c>
      <c r="E213" s="448" t="s">
        <v>22630</v>
      </c>
      <c r="F213" s="445" t="s">
        <v>2326</v>
      </c>
      <c r="G213" s="448" t="s">
        <v>16575</v>
      </c>
      <c r="H213" s="449" t="s">
        <v>17509</v>
      </c>
      <c r="I213" s="449" t="s">
        <v>17510</v>
      </c>
      <c r="J213" s="449" t="s">
        <v>17511</v>
      </c>
      <c r="K213" s="471" t="str">
        <f>HYPERLINK("https://www.google.com/maps/dir/?api=1&amp;origin=37.7385,-25.6611&amp;destination=37.7385,-25.6611&amp;travelmode=walking","🗺 Ecovia Orla Marítima")</f>
        <v>🗺 Ecovia Orla Marítima</v>
      </c>
    </row>
    <row r="214" spans="1:11" ht="20" customHeight="1" x14ac:dyDescent="0.4">
      <c r="A214" s="440">
        <v>205</v>
      </c>
      <c r="B214" s="441" t="s">
        <v>17512</v>
      </c>
      <c r="C214" s="442" t="s">
        <v>17513</v>
      </c>
      <c r="D214" s="443" t="s">
        <v>22631</v>
      </c>
      <c r="E214" s="443" t="s">
        <v>22631</v>
      </c>
      <c r="F214" s="440" t="s">
        <v>17160</v>
      </c>
      <c r="G214" s="443" t="s">
        <v>16581</v>
      </c>
      <c r="H214" s="444" t="s">
        <v>17514</v>
      </c>
      <c r="I214" s="444" t="s">
        <v>17515</v>
      </c>
      <c r="J214" s="444" t="s">
        <v>17516</v>
      </c>
      <c r="K214" s="470" t="str">
        <f>HYPERLINK("https://www.google.com/maps/dir/?api=1&amp;origin=37.8411,-25.7611&amp;destination=37.8411,-25.7611&amp;travelmode=walking","🗺 Passadiços Boca do Inferno")</f>
        <v>🗺 Passadiços Boca do Inferno</v>
      </c>
    </row>
    <row r="215" spans="1:11" ht="20" customHeight="1" x14ac:dyDescent="0.4">
      <c r="A215" s="445">
        <v>206</v>
      </c>
      <c r="B215" s="446" t="s">
        <v>17517</v>
      </c>
      <c r="C215" s="447" t="s">
        <v>17518</v>
      </c>
      <c r="D215" s="448" t="s">
        <v>22632</v>
      </c>
      <c r="E215" s="448" t="s">
        <v>22632</v>
      </c>
      <c r="F215" s="445" t="s">
        <v>16580</v>
      </c>
      <c r="G215" s="448" t="s">
        <v>16581</v>
      </c>
      <c r="H215" s="449" t="s">
        <v>17519</v>
      </c>
      <c r="I215" s="449" t="s">
        <v>17520</v>
      </c>
      <c r="J215" s="449" t="s">
        <v>17521</v>
      </c>
      <c r="K215" s="471" t="str">
        <f>HYPERLINK("https://www.google.com/maps/dir/?api=1&amp;origin=37.7355,-25.1955&amp;destination=37.7355,-25.1955&amp;travelmode=walking","🗺 Passadiços Salto do Prego")</f>
        <v>🗺 Passadiços Salto do Prego</v>
      </c>
    </row>
    <row r="216" spans="1:11" ht="20" customHeight="1" x14ac:dyDescent="0.4">
      <c r="A216" s="440">
        <v>207</v>
      </c>
      <c r="B216" s="441" t="s">
        <v>17522</v>
      </c>
      <c r="C216" s="442" t="s">
        <v>17500</v>
      </c>
      <c r="D216" s="443" t="s">
        <v>22633</v>
      </c>
      <c r="E216" s="443" t="s">
        <v>22633</v>
      </c>
      <c r="F216" s="440" t="s">
        <v>16580</v>
      </c>
      <c r="G216" s="443" t="s">
        <v>16575</v>
      </c>
      <c r="H216" s="444" t="s">
        <v>17523</v>
      </c>
      <c r="I216" s="444" t="s">
        <v>17524</v>
      </c>
      <c r="J216" s="444" t="s">
        <v>17525</v>
      </c>
      <c r="K216" s="470" t="str">
        <f>HYPERLINK("https://www.google.com/maps/dir/?api=1&amp;origin=37.8188,-25.5411&amp;destination=37.8188,-25.5411&amp;travelmode=walking","🗺 Ecovia de Santa Bárbara")</f>
        <v>🗺 Ecovia de Santa Bárbara</v>
      </c>
    </row>
    <row r="217" spans="1:11" ht="20" customHeight="1" x14ac:dyDescent="0.4">
      <c r="A217" s="445">
        <v>208</v>
      </c>
      <c r="B217" s="446" t="s">
        <v>17526</v>
      </c>
      <c r="C217" s="447" t="s">
        <v>2815</v>
      </c>
      <c r="D217" s="448" t="s">
        <v>22634</v>
      </c>
      <c r="E217" s="448" t="s">
        <v>22634</v>
      </c>
      <c r="F217" s="445" t="s">
        <v>16610</v>
      </c>
      <c r="G217" s="448" t="s">
        <v>16581</v>
      </c>
      <c r="H217" s="449" t="s">
        <v>17527</v>
      </c>
      <c r="I217" s="449" t="s">
        <v>17528</v>
      </c>
      <c r="J217" s="449" t="s">
        <v>17529</v>
      </c>
      <c r="K217" s="471" t="str">
        <f>HYPERLINK("https://www.google.com/maps/dir/?api=1&amp;origin=37.8411,-25.3855&amp;destination=37.8411,-25.3855&amp;travelmode=walking","🗺 Passadiços Lomba da Maia")</f>
        <v>🗺 Passadiços Lomba da Maia</v>
      </c>
    </row>
    <row r="218" spans="1:11" ht="20" customHeight="1" x14ac:dyDescent="0.4">
      <c r="A218" s="440">
        <v>209</v>
      </c>
      <c r="B218" s="441" t="s">
        <v>17530</v>
      </c>
      <c r="C218" s="442" t="s">
        <v>2841</v>
      </c>
      <c r="D218" s="443" t="s">
        <v>22635</v>
      </c>
      <c r="E218" s="443" t="s">
        <v>22635</v>
      </c>
      <c r="F218" s="440" t="s">
        <v>17160</v>
      </c>
      <c r="G218" s="443" t="s">
        <v>16581</v>
      </c>
      <c r="H218" s="444" t="s">
        <v>17531</v>
      </c>
      <c r="I218" s="444" t="s">
        <v>17532</v>
      </c>
      <c r="J218" s="444" t="s">
        <v>17533</v>
      </c>
      <c r="K218" s="470" t="str">
        <f>HYPERLINK("https://www.google.com/maps/dir/?api=1&amp;origin=38.7285,-27.2155&amp;destination=38.7285,-27.2155&amp;travelmode=walking","🗺 Passadiços Algar do Carvão")</f>
        <v>🗺 Passadiços Algar do Carvão</v>
      </c>
    </row>
    <row r="219" spans="1:11" ht="20" customHeight="1" x14ac:dyDescent="0.4">
      <c r="A219" s="445">
        <v>210</v>
      </c>
      <c r="B219" s="446" t="s">
        <v>17534</v>
      </c>
      <c r="C219" s="447" t="s">
        <v>2841</v>
      </c>
      <c r="D219" s="448" t="s">
        <v>22636</v>
      </c>
      <c r="E219" s="448" t="s">
        <v>22636</v>
      </c>
      <c r="F219" s="445" t="s">
        <v>16635</v>
      </c>
      <c r="G219" s="448" t="s">
        <v>16581</v>
      </c>
      <c r="H219" s="449" t="s">
        <v>17535</v>
      </c>
      <c r="I219" s="449" t="s">
        <v>17536</v>
      </c>
      <c r="J219" s="449" t="s">
        <v>17537</v>
      </c>
      <c r="K219" s="471" t="str">
        <f>HYPERLINK("https://www.google.com/maps/dir/?api=1&amp;origin=38.7255,-27.2285&amp;destination=38.7255,-27.2285&amp;travelmode=walking","🗺 Passadiços Furnas Enxofre")</f>
        <v>🗺 Passadiços Furnas Enxofre</v>
      </c>
    </row>
    <row r="220" spans="1:11" ht="20" customHeight="1" x14ac:dyDescent="0.4">
      <c r="A220" s="440">
        <v>211</v>
      </c>
      <c r="B220" s="441" t="s">
        <v>17538</v>
      </c>
      <c r="C220" s="442" t="s">
        <v>17539</v>
      </c>
      <c r="D220" s="443" t="s">
        <v>22637</v>
      </c>
      <c r="E220" s="443" t="s">
        <v>22637</v>
      </c>
      <c r="F220" s="440" t="s">
        <v>2845</v>
      </c>
      <c r="G220" s="443" t="s">
        <v>16581</v>
      </c>
      <c r="H220" s="444" t="s">
        <v>17540</v>
      </c>
      <c r="I220" s="444" t="s">
        <v>17541</v>
      </c>
      <c r="J220" s="444" t="s">
        <v>17542</v>
      </c>
      <c r="K220" s="470" t="str">
        <f>HYPERLINK("https://www.google.com/maps/dir/?api=1&amp;origin=38.6511,-27.2255&amp;destination=38.6511,-27.2255&amp;travelmode=walking","🗺 Passadiços Monte Brasil")</f>
        <v>🗺 Passadiços Monte Brasil</v>
      </c>
    </row>
    <row r="221" spans="1:11" ht="20" customHeight="1" x14ac:dyDescent="0.4">
      <c r="A221" s="445">
        <v>212</v>
      </c>
      <c r="B221" s="446" t="s">
        <v>17543</v>
      </c>
      <c r="C221" s="447" t="s">
        <v>2841</v>
      </c>
      <c r="D221" s="448" t="s">
        <v>22638</v>
      </c>
      <c r="E221" s="448" t="s">
        <v>22638</v>
      </c>
      <c r="F221" s="445" t="s">
        <v>2868</v>
      </c>
      <c r="G221" s="448" t="s">
        <v>16581</v>
      </c>
      <c r="H221" s="449" t="s">
        <v>17544</v>
      </c>
      <c r="I221" s="449" t="s">
        <v>17545</v>
      </c>
      <c r="J221" s="449" t="s">
        <v>17546</v>
      </c>
      <c r="K221" s="471" t="str">
        <f>HYPERLINK("https://www.google.com/maps/dir/?api=1&amp;origin=38.7311,-27.0611&amp;destination=38.7311,-27.0611&amp;travelmode=walking","🗺 Passadiço Praia da Vitória")</f>
        <v>🗺 Passadiço Praia da Vitória</v>
      </c>
    </row>
    <row r="222" spans="1:11" ht="20" customHeight="1" x14ac:dyDescent="0.4">
      <c r="A222" s="440">
        <v>213</v>
      </c>
      <c r="B222" s="441" t="s">
        <v>17547</v>
      </c>
      <c r="C222" s="442" t="s">
        <v>2841</v>
      </c>
      <c r="D222" s="443" t="s">
        <v>22639</v>
      </c>
      <c r="E222" s="443" t="s">
        <v>22639</v>
      </c>
      <c r="F222" s="440" t="s">
        <v>16635</v>
      </c>
      <c r="G222" s="443" t="s">
        <v>16581</v>
      </c>
      <c r="H222" s="444" t="s">
        <v>17548</v>
      </c>
      <c r="I222" s="444" t="s">
        <v>17549</v>
      </c>
      <c r="J222" s="444" t="s">
        <v>17550</v>
      </c>
      <c r="K222" s="470" t="str">
        <f>HYPERLINK("https://www.google.com/maps/dir/?api=1&amp;origin=38.7955,-27.2411&amp;destination=38.7955,-27.2411&amp;travelmode=walking","🗺 Passadiços dos Biscoitos")</f>
        <v>🗺 Passadiços dos Biscoitos</v>
      </c>
    </row>
    <row r="223" spans="1:11" ht="20" customHeight="1" x14ac:dyDescent="0.4">
      <c r="A223" s="445">
        <v>214</v>
      </c>
      <c r="B223" s="446" t="s">
        <v>17551</v>
      </c>
      <c r="C223" s="447" t="s">
        <v>2841</v>
      </c>
      <c r="D223" s="448" t="s">
        <v>22640</v>
      </c>
      <c r="E223" s="448" t="s">
        <v>22640</v>
      </c>
      <c r="F223" s="445" t="s">
        <v>17160</v>
      </c>
      <c r="G223" s="448" t="s">
        <v>16581</v>
      </c>
      <c r="H223" s="449" t="s">
        <v>17552</v>
      </c>
      <c r="I223" s="449" t="s">
        <v>17553</v>
      </c>
      <c r="J223" s="449" t="s">
        <v>17554</v>
      </c>
      <c r="K223" s="471" t="str">
        <f>HYPERLINK("https://www.google.com/maps/dir/?api=1&amp;origin=38.7111,-27.1155&amp;destination=38.7111,-27.1155&amp;travelmode=walking","🗺 Passadiço Serra do Cume")</f>
        <v>🗺 Passadiço Serra do Cume</v>
      </c>
    </row>
    <row r="224" spans="1:11" ht="20" customHeight="1" x14ac:dyDescent="0.4">
      <c r="A224" s="440">
        <v>215</v>
      </c>
      <c r="B224" s="441" t="s">
        <v>17555</v>
      </c>
      <c r="C224" s="442" t="s">
        <v>2828</v>
      </c>
      <c r="D224" s="443" t="s">
        <v>22641</v>
      </c>
      <c r="E224" s="443" t="s">
        <v>22641</v>
      </c>
      <c r="F224" s="440" t="s">
        <v>2868</v>
      </c>
      <c r="G224" s="443" t="s">
        <v>16575</v>
      </c>
      <c r="H224" s="444" t="s">
        <v>17556</v>
      </c>
      <c r="I224" s="444" t="s">
        <v>17557</v>
      </c>
      <c r="J224" s="444" t="s">
        <v>17558</v>
      </c>
      <c r="K224" s="470" t="str">
        <f>HYPERLINK("https://www.google.com/maps/dir/?api=1&amp;origin=38.5355,-28.5285&amp;destination=38.5355,-28.5285&amp;travelmode=walking","🗺 Ecovia da Madalena")</f>
        <v>🗺 Ecovia da Madalena</v>
      </c>
    </row>
    <row r="225" spans="1:11" ht="20" customHeight="1" x14ac:dyDescent="0.4">
      <c r="A225" s="445">
        <v>216</v>
      </c>
      <c r="B225" s="446" t="s">
        <v>17559</v>
      </c>
      <c r="C225" s="447" t="s">
        <v>2828</v>
      </c>
      <c r="D225" s="448" t="s">
        <v>22642</v>
      </c>
      <c r="E225" s="448" t="s">
        <v>22642</v>
      </c>
      <c r="F225" s="445" t="s">
        <v>16580</v>
      </c>
      <c r="G225" s="448" t="s">
        <v>16581</v>
      </c>
      <c r="H225" s="449" t="s">
        <v>17560</v>
      </c>
      <c r="I225" s="449" t="s">
        <v>17561</v>
      </c>
      <c r="J225" s="449" t="s">
        <v>17562</v>
      </c>
      <c r="K225" s="471" t="str">
        <f>HYPERLINK("https://www.google.com/maps/dir/?api=1&amp;origin=38.5211,-28.5355&amp;destination=38.5211,-28.5355&amp;travelmode=walking","🗺 Passadiços Vinhas Criação Velha")</f>
        <v>🗺 Passadiços Vinhas Criação Velha</v>
      </c>
    </row>
    <row r="226" spans="1:11" ht="20" customHeight="1" x14ac:dyDescent="0.4">
      <c r="A226" s="440">
        <v>217</v>
      </c>
      <c r="B226" s="441" t="s">
        <v>17563</v>
      </c>
      <c r="C226" s="442" t="s">
        <v>2828</v>
      </c>
      <c r="D226" s="443" t="s">
        <v>22643</v>
      </c>
      <c r="E226" s="443" t="s">
        <v>22643</v>
      </c>
      <c r="F226" s="440" t="s">
        <v>16635</v>
      </c>
      <c r="G226" s="443" t="s">
        <v>16581</v>
      </c>
      <c r="H226" s="444" t="s">
        <v>17564</v>
      </c>
      <c r="I226" s="444" t="s">
        <v>17565</v>
      </c>
      <c r="J226" s="444" t="s">
        <v>17566</v>
      </c>
      <c r="K226" s="470" t="str">
        <f>HYPERLINK("https://www.google.com/maps/dir/?api=1&amp;origin=38.4855,-28.5011&amp;destination=38.4855,-28.5011&amp;travelmode=walking","🗺 Passadiços Gruta das Torres")</f>
        <v>🗺 Passadiços Gruta das Torres</v>
      </c>
    </row>
    <row r="227" spans="1:11" ht="20" customHeight="1" x14ac:dyDescent="0.4">
      <c r="A227" s="445">
        <v>218</v>
      </c>
      <c r="B227" s="446" t="s">
        <v>17567</v>
      </c>
      <c r="C227" s="447" t="s">
        <v>2828</v>
      </c>
      <c r="D227" s="448" t="s">
        <v>22644</v>
      </c>
      <c r="E227" s="448" t="s">
        <v>22644</v>
      </c>
      <c r="F227" s="445" t="s">
        <v>16580</v>
      </c>
      <c r="G227" s="448" t="s">
        <v>16575</v>
      </c>
      <c r="H227" s="449" t="s">
        <v>17568</v>
      </c>
      <c r="I227" s="449" t="s">
        <v>17569</v>
      </c>
      <c r="J227" s="449" t="s">
        <v>17570</v>
      </c>
      <c r="K227" s="471" t="str">
        <f>HYPERLINK("https://www.google.com/maps/dir/?api=1&amp;origin=38.3955,-28.2511&amp;destination=38.3955,-28.2511&amp;travelmode=walking","🗺 Marginal das Lajes do Pico")</f>
        <v>🗺 Marginal das Lajes do Pico</v>
      </c>
    </row>
    <row r="228" spans="1:11" ht="20" customHeight="1" x14ac:dyDescent="0.4">
      <c r="A228" s="440">
        <v>219</v>
      </c>
      <c r="B228" s="441" t="s">
        <v>17571</v>
      </c>
      <c r="C228" s="442" t="s">
        <v>2828</v>
      </c>
      <c r="D228" s="443" t="s">
        <v>22645</v>
      </c>
      <c r="E228" s="443" t="s">
        <v>22645</v>
      </c>
      <c r="F228" s="440" t="s">
        <v>16635</v>
      </c>
      <c r="G228" s="443" t="s">
        <v>16581</v>
      </c>
      <c r="H228" s="444" t="s">
        <v>17465</v>
      </c>
      <c r="I228" s="444" t="s">
        <v>17572</v>
      </c>
      <c r="J228" s="444" t="s">
        <v>17573</v>
      </c>
      <c r="K228" s="470" t="str">
        <f>HYPERLINK("https://www.google.com/maps/dir/?api=1&amp;origin=38.4811,-28.3211&amp;destination=38.4811,-28.3211&amp;travelmode=walking","🗺 Passadiço Lagoa do Capitão")</f>
        <v>🗺 Passadiço Lagoa do Capitão</v>
      </c>
    </row>
    <row r="229" spans="1:11" ht="20" customHeight="1" x14ac:dyDescent="0.4">
      <c r="A229" s="445">
        <v>220</v>
      </c>
      <c r="B229" s="446" t="s">
        <v>17574</v>
      </c>
      <c r="C229" s="447" t="s">
        <v>2848</v>
      </c>
      <c r="D229" s="448" t="s">
        <v>22646</v>
      </c>
      <c r="E229" s="448" t="s">
        <v>22646</v>
      </c>
      <c r="F229" s="445" t="s">
        <v>16610</v>
      </c>
      <c r="G229" s="448" t="s">
        <v>16581</v>
      </c>
      <c r="H229" s="449" t="s">
        <v>17575</v>
      </c>
      <c r="I229" s="449" t="s">
        <v>17576</v>
      </c>
      <c r="J229" s="449" t="s">
        <v>17577</v>
      </c>
      <c r="K229" s="471" t="str">
        <f>HYPERLINK("https://www.google.com/maps/dir/?api=1&amp;origin=38.6411,-27.9711&amp;destination=38.6411,-27.9711&amp;travelmode=walking","🗺 Passadiço Fajã dos Cubres")</f>
        <v>🗺 Passadiço Fajã dos Cubres</v>
      </c>
    </row>
    <row r="230" spans="1:11" ht="20" customHeight="1" x14ac:dyDescent="0.4">
      <c r="A230" s="440">
        <v>221</v>
      </c>
      <c r="B230" s="441" t="s">
        <v>17578</v>
      </c>
      <c r="C230" s="442" t="s">
        <v>2848</v>
      </c>
      <c r="D230" s="443" t="s">
        <v>22647</v>
      </c>
      <c r="E230" s="443" t="s">
        <v>22647</v>
      </c>
      <c r="F230" s="440" t="s">
        <v>2868</v>
      </c>
      <c r="G230" s="443" t="s">
        <v>16581</v>
      </c>
      <c r="H230" s="444" t="s">
        <v>17579</v>
      </c>
      <c r="I230" s="444" t="s">
        <v>17580</v>
      </c>
      <c r="J230" s="444" t="s">
        <v>17581</v>
      </c>
      <c r="K230" s="470" t="str">
        <f>HYPERLINK("https://www.google.com/maps/dir/?api=1&amp;origin=38.6311,-27.9255&amp;destination=38.6311,-27.9255&amp;travelmode=walking","🗺 Escadarias Fajã Sto Cristo")</f>
        <v>🗺 Escadarias Fajã Sto Cristo</v>
      </c>
    </row>
    <row r="231" spans="1:11" ht="20" customHeight="1" x14ac:dyDescent="0.4">
      <c r="A231" s="445">
        <v>222</v>
      </c>
      <c r="B231" s="446" t="s">
        <v>17582</v>
      </c>
      <c r="C231" s="447" t="s">
        <v>2848</v>
      </c>
      <c r="D231" s="448" t="s">
        <v>22648</v>
      </c>
      <c r="E231" s="448" t="s">
        <v>22648</v>
      </c>
      <c r="F231" s="445" t="s">
        <v>16635</v>
      </c>
      <c r="G231" s="448" t="s">
        <v>16581</v>
      </c>
      <c r="H231" s="449" t="s">
        <v>17583</v>
      </c>
      <c r="I231" s="449" t="s">
        <v>17584</v>
      </c>
      <c r="J231" s="449" t="s">
        <v>17585</v>
      </c>
      <c r="K231" s="471" t="str">
        <f>HYPERLINK("https://www.google.com/maps/dir/?api=1&amp;origin=38.7511,-28.2511&amp;destination=38.7511,-28.2511&amp;travelmode=walking","🗺 Passadiço Sete Fontes")</f>
        <v>🗺 Passadiço Sete Fontes</v>
      </c>
    </row>
    <row r="232" spans="1:11" ht="20" customHeight="1" x14ac:dyDescent="0.4">
      <c r="A232" s="440">
        <v>223</v>
      </c>
      <c r="B232" s="441" t="s">
        <v>17586</v>
      </c>
      <c r="C232" s="442" t="s">
        <v>2848</v>
      </c>
      <c r="D232" s="443" t="s">
        <v>22649</v>
      </c>
      <c r="E232" s="443" t="s">
        <v>22649</v>
      </c>
      <c r="F232" s="440" t="s">
        <v>16580</v>
      </c>
      <c r="G232" s="443" t="s">
        <v>16575</v>
      </c>
      <c r="H232" s="444" t="s">
        <v>17587</v>
      </c>
      <c r="I232" s="444" t="s">
        <v>17588</v>
      </c>
      <c r="J232" s="444" t="s">
        <v>17589</v>
      </c>
      <c r="K232" s="470" t="str">
        <f>HYPERLINK("https://www.google.com/maps/dir/?api=1&amp;origin=38.6811,-28.2111&amp;destination=38.6811,-28.2111&amp;travelmode=walking","🗺 Ecovia das Velas")</f>
        <v>🗺 Ecovia das Velas</v>
      </c>
    </row>
    <row r="233" spans="1:11" ht="20" customHeight="1" x14ac:dyDescent="0.4">
      <c r="A233" s="445">
        <v>224</v>
      </c>
      <c r="B233" s="446" t="s">
        <v>17590</v>
      </c>
      <c r="C233" s="447" t="s">
        <v>2823</v>
      </c>
      <c r="D233" s="448" t="s">
        <v>22650</v>
      </c>
      <c r="E233" s="448" t="s">
        <v>22650</v>
      </c>
      <c r="F233" s="445" t="s">
        <v>2868</v>
      </c>
      <c r="G233" s="448" t="s">
        <v>16581</v>
      </c>
      <c r="H233" s="449" t="s">
        <v>17591</v>
      </c>
      <c r="I233" s="449" t="s">
        <v>17592</v>
      </c>
      <c r="J233" s="449" t="s">
        <v>895</v>
      </c>
      <c r="K233" s="471" t="str">
        <f>HYPERLINK("https://www.google.com/maps/dir/?api=1&amp;origin=38.5855,-28.7111&amp;destination=38.5855,-28.7111&amp;travelmode=walking","🗺 Passadiços Caldeira Faial")</f>
        <v>🗺 Passadiços Caldeira Faial</v>
      </c>
    </row>
    <row r="234" spans="1:11" ht="20" customHeight="1" x14ac:dyDescent="0.4">
      <c r="A234" s="440">
        <v>225</v>
      </c>
      <c r="B234" s="441" t="s">
        <v>17593</v>
      </c>
      <c r="C234" s="442" t="s">
        <v>2823</v>
      </c>
      <c r="D234" s="443" t="s">
        <v>22651</v>
      </c>
      <c r="E234" s="443" t="s">
        <v>22651</v>
      </c>
      <c r="F234" s="440" t="s">
        <v>16580</v>
      </c>
      <c r="G234" s="443" t="s">
        <v>16575</v>
      </c>
      <c r="H234" s="444" t="s">
        <v>17594</v>
      </c>
      <c r="I234" s="444" t="s">
        <v>17595</v>
      </c>
      <c r="J234" s="444" t="s">
        <v>17596</v>
      </c>
      <c r="K234" s="470" t="str">
        <f>HYPERLINK("https://www.google.com/maps/dir/?api=1&amp;origin=38.5955,-28.8311&amp;destination=38.5955,-28.8311&amp;travelmode=walking","🗺 Ecovia Vulcão Capelinhos")</f>
        <v>🗺 Ecovia Vulcão Capelinhos</v>
      </c>
    </row>
    <row r="235" spans="1:11" ht="20" customHeight="1" x14ac:dyDescent="0.4">
      <c r="A235" s="445">
        <v>226</v>
      </c>
      <c r="B235" s="446" t="s">
        <v>17597</v>
      </c>
      <c r="C235" s="447" t="s">
        <v>17598</v>
      </c>
      <c r="D235" s="448" t="s">
        <v>22652</v>
      </c>
      <c r="E235" s="448" t="s">
        <v>22652</v>
      </c>
      <c r="F235" s="445" t="s">
        <v>16610</v>
      </c>
      <c r="G235" s="448" t="s">
        <v>16581</v>
      </c>
      <c r="H235" s="449" t="s">
        <v>17599</v>
      </c>
      <c r="I235" s="449" t="s">
        <v>17600</v>
      </c>
      <c r="J235" s="449" t="s">
        <v>17601</v>
      </c>
      <c r="K235" s="471" t="str">
        <f>HYPERLINK("https://www.google.com/maps/dir/?api=1&amp;origin=38.5255,-28.6255&amp;destination=38.5255,-28.6255&amp;travelmode=walking","🗺 Passadiço Porto Pim")</f>
        <v>🗺 Passadiço Porto Pim</v>
      </c>
    </row>
    <row r="236" spans="1:11" ht="20" customHeight="1" x14ac:dyDescent="0.4">
      <c r="A236" s="440">
        <v>227</v>
      </c>
      <c r="B236" s="441" t="s">
        <v>17602</v>
      </c>
      <c r="C236" s="442" t="s">
        <v>2850</v>
      </c>
      <c r="D236" s="443" t="s">
        <v>22653</v>
      </c>
      <c r="E236" s="443" t="s">
        <v>22653</v>
      </c>
      <c r="F236" s="440" t="s">
        <v>16635</v>
      </c>
      <c r="G236" s="443" t="s">
        <v>16581</v>
      </c>
      <c r="H236" s="444" t="s">
        <v>17603</v>
      </c>
      <c r="I236" s="444" t="s">
        <v>17604</v>
      </c>
      <c r="J236" s="444" t="s">
        <v>17605</v>
      </c>
      <c r="K236" s="470" t="str">
        <f>HYPERLINK("https://www.google.com/maps/dir/?api=1&amp;origin=37.0011,-25.1311&amp;destination=37.0011,-25.1311&amp;travelmode=walking","🗺 Passadiço Barreiro Faneca")</f>
        <v>🗺 Passadiço Barreiro Faneca</v>
      </c>
    </row>
    <row r="237" spans="1:11" ht="20" customHeight="1" x14ac:dyDescent="0.4">
      <c r="A237" s="445">
        <v>228</v>
      </c>
      <c r="B237" s="446" t="s">
        <v>17606</v>
      </c>
      <c r="C237" s="447" t="s">
        <v>2850</v>
      </c>
      <c r="D237" s="448" t="s">
        <v>22654</v>
      </c>
      <c r="E237" s="448" t="s">
        <v>22654</v>
      </c>
      <c r="F237" s="445" t="s">
        <v>16610</v>
      </c>
      <c r="G237" s="448" t="s">
        <v>16581</v>
      </c>
      <c r="H237" s="449" t="s">
        <v>17607</v>
      </c>
      <c r="I237" s="449" t="s">
        <v>17608</v>
      </c>
      <c r="J237" s="449" t="s">
        <v>17609</v>
      </c>
      <c r="K237" s="471" t="str">
        <f>HYPERLINK("https://www.google.com/maps/dir/?api=1&amp;origin=36.9955,-25.0511&amp;destination=36.9955,-25.0511&amp;travelmode=walking","🗺 Passadiços Baía S. Lourenço")</f>
        <v>🗺 Passadiços Baía S. Lourenço</v>
      </c>
    </row>
    <row r="238" spans="1:11" ht="20" customHeight="1" x14ac:dyDescent="0.4">
      <c r="A238" s="440">
        <v>229</v>
      </c>
      <c r="B238" s="441" t="s">
        <v>17610</v>
      </c>
      <c r="C238" s="442" t="s">
        <v>2850</v>
      </c>
      <c r="D238" s="443" t="s">
        <v>22655</v>
      </c>
      <c r="E238" s="443" t="s">
        <v>22655</v>
      </c>
      <c r="F238" s="440" t="s">
        <v>16580</v>
      </c>
      <c r="G238" s="443" t="s">
        <v>16575</v>
      </c>
      <c r="H238" s="444" t="s">
        <v>17611</v>
      </c>
      <c r="I238" s="444" t="s">
        <v>17612</v>
      </c>
      <c r="J238" s="444" t="s">
        <v>17613</v>
      </c>
      <c r="K238" s="470" t="str">
        <f>HYPERLINK("https://www.google.com/maps/dir/?api=1&amp;origin=36.9455,-25.1411&amp;destination=36.9455,-25.1411&amp;travelmode=walking","🗺 Ecovia Vila do Porto")</f>
        <v>🗺 Ecovia Vila do Porto</v>
      </c>
    </row>
    <row r="239" spans="1:11" ht="20" customHeight="1" x14ac:dyDescent="0.4">
      <c r="A239" s="445">
        <v>230</v>
      </c>
      <c r="B239" s="446" t="s">
        <v>17614</v>
      </c>
      <c r="C239" s="447" t="s">
        <v>2833</v>
      </c>
      <c r="D239" s="448" t="s">
        <v>22656</v>
      </c>
      <c r="E239" s="448" t="s">
        <v>22656</v>
      </c>
      <c r="F239" s="445" t="s">
        <v>16580</v>
      </c>
      <c r="G239" s="448" t="s">
        <v>16581</v>
      </c>
      <c r="H239" s="449" t="s">
        <v>17615</v>
      </c>
      <c r="I239" s="449" t="s">
        <v>17616</v>
      </c>
      <c r="J239" s="449" t="s">
        <v>17617</v>
      </c>
      <c r="K239" s="471" t="str">
        <f>HYPERLINK("https://www.google.com/maps/dir/?api=1&amp;origin=39.4311,-31.2511&amp;destination=39.4311,-31.2511&amp;travelmode=walking","🗺 Passadiço Poço da Alagoinha")</f>
        <v>🗺 Passadiço Poço da Alagoinha</v>
      </c>
    </row>
    <row r="240" spans="1:11" ht="20" customHeight="1" x14ac:dyDescent="0.4">
      <c r="A240" s="440">
        <v>231</v>
      </c>
      <c r="B240" s="441" t="s">
        <v>17618</v>
      </c>
      <c r="C240" s="442" t="s">
        <v>2833</v>
      </c>
      <c r="D240" s="443" t="s">
        <v>22657</v>
      </c>
      <c r="E240" s="443" t="s">
        <v>22657</v>
      </c>
      <c r="F240" s="440" t="s">
        <v>16580</v>
      </c>
      <c r="G240" s="443" t="s">
        <v>16575</v>
      </c>
      <c r="H240" s="444" t="s">
        <v>17619</v>
      </c>
      <c r="I240" s="444" t="s">
        <v>17620</v>
      </c>
      <c r="J240" s="444" t="s">
        <v>17621</v>
      </c>
      <c r="K240" s="470" t="str">
        <f>HYPERLINK("https://www.google.com/maps/dir/?api=1&amp;origin=39.4555,-31.1211&amp;destination=39.4555,-31.1211&amp;travelmode=walking","🗺 Ecovia Sta Cruz Flores")</f>
        <v>🗺 Ecovia Sta Cruz Flores</v>
      </c>
    </row>
    <row r="241" spans="1:11" ht="20" customHeight="1" x14ac:dyDescent="0.4">
      <c r="A241" s="445">
        <v>232</v>
      </c>
      <c r="B241" s="446" t="s">
        <v>17622</v>
      </c>
      <c r="C241" s="447" t="s">
        <v>2833</v>
      </c>
      <c r="D241" s="448" t="s">
        <v>22658</v>
      </c>
      <c r="E241" s="448" t="s">
        <v>22658</v>
      </c>
      <c r="F241" s="445" t="s">
        <v>16610</v>
      </c>
      <c r="G241" s="448" t="s">
        <v>16581</v>
      </c>
      <c r="H241" s="449" t="s">
        <v>17623</v>
      </c>
      <c r="I241" s="449" t="s">
        <v>17624</v>
      </c>
      <c r="J241" s="449" t="s">
        <v>17625</v>
      </c>
      <c r="K241" s="471" t="str">
        <f>HYPERLINK("https://www.google.com/maps/dir/?api=1&amp;origin=39.4111,-31.2111&amp;destination=39.4111,-31.2111&amp;travelmode=walking","🗺 Passadiço Sete Lagoas")</f>
        <v>🗺 Passadiço Sete Lagoas</v>
      </c>
    </row>
    <row r="242" spans="1:11" ht="20" customHeight="1" x14ac:dyDescent="0.4">
      <c r="A242" s="440">
        <v>233</v>
      </c>
      <c r="B242" s="441" t="s">
        <v>17626</v>
      </c>
      <c r="C242" s="442" t="s">
        <v>2844</v>
      </c>
      <c r="D242" s="443" t="s">
        <v>22659</v>
      </c>
      <c r="E242" s="443" t="s">
        <v>22659</v>
      </c>
      <c r="F242" s="440" t="s">
        <v>16635</v>
      </c>
      <c r="G242" s="443" t="s">
        <v>16581</v>
      </c>
      <c r="H242" s="444" t="s">
        <v>17627</v>
      </c>
      <c r="I242" s="444" t="s">
        <v>17628</v>
      </c>
      <c r="J242" s="444" t="s">
        <v>17629</v>
      </c>
      <c r="K242" s="470" t="str">
        <f>HYPERLINK("https://www.google.com/maps/dir/?api=1&amp;origin=39.6711,-31.1111&amp;destination=39.6711,-31.1111&amp;travelmode=walking","🗺 Passadiço Vila do Corvo")</f>
        <v>🗺 Passadiço Vila do Corvo</v>
      </c>
    </row>
    <row r="243" spans="1:11" ht="20" customHeight="1" x14ac:dyDescent="0.4">
      <c r="A243" s="445">
        <v>234</v>
      </c>
      <c r="B243" s="446" t="s">
        <v>17630</v>
      </c>
      <c r="C243" s="447" t="s">
        <v>2844</v>
      </c>
      <c r="D243" s="448" t="s">
        <v>22660</v>
      </c>
      <c r="E243" s="448" t="s">
        <v>22660</v>
      </c>
      <c r="F243" s="445" t="s">
        <v>16635</v>
      </c>
      <c r="G243" s="448" t="s">
        <v>16581</v>
      </c>
      <c r="H243" s="449" t="s">
        <v>17631</v>
      </c>
      <c r="I243" s="449" t="s">
        <v>17632</v>
      </c>
      <c r="J243" s="449" t="s">
        <v>17633</v>
      </c>
      <c r="K243" s="471" t="str">
        <f>HYPERLINK("https://www.google.com/maps/dir/?api=1&amp;origin=39.7111,-31.1111&amp;destination=39.7111,-31.1111&amp;travelmode=walking","🗺 Escadarias do Caldeirão")</f>
        <v>🗺 Escadarias do Caldeirão</v>
      </c>
    </row>
    <row r="244" spans="1:11" ht="20" customHeight="1" x14ac:dyDescent="0.4">
      <c r="A244" s="440">
        <v>235</v>
      </c>
      <c r="B244" s="441" t="s">
        <v>17634</v>
      </c>
      <c r="C244" s="442" t="s">
        <v>2837</v>
      </c>
      <c r="D244" s="443" t="s">
        <v>22661</v>
      </c>
      <c r="E244" s="443" t="s">
        <v>22661</v>
      </c>
      <c r="F244" s="440" t="s">
        <v>16610</v>
      </c>
      <c r="G244" s="443" t="s">
        <v>16581</v>
      </c>
      <c r="H244" s="444" t="s">
        <v>17635</v>
      </c>
      <c r="I244" s="444" t="s">
        <v>17636</v>
      </c>
      <c r="J244" s="444" t="s">
        <v>15512</v>
      </c>
      <c r="K244" s="470" t="str">
        <f>HYPERLINK("https://www.google.com/maps/dir/?api=1&amp;origin=39.0255,-27.9711&amp;destination=39.0255,-27.9711&amp;travelmode=walking","🗺 Passadiços Caldeira Graciosa")</f>
        <v>🗺 Passadiços Caldeira Graciosa</v>
      </c>
    </row>
    <row r="245" spans="1:11" ht="20" customHeight="1" x14ac:dyDescent="0.4">
      <c r="A245" s="445">
        <v>236</v>
      </c>
      <c r="B245" s="446" t="s">
        <v>17637</v>
      </c>
      <c r="C245" s="447" t="s">
        <v>2837</v>
      </c>
      <c r="D245" s="448" t="s">
        <v>22662</v>
      </c>
      <c r="E245" s="448" t="s">
        <v>22662</v>
      </c>
      <c r="F245" s="445" t="s">
        <v>16635</v>
      </c>
      <c r="G245" s="448" t="s">
        <v>16581</v>
      </c>
      <c r="H245" s="449" t="s">
        <v>17638</v>
      </c>
      <c r="I245" s="449" t="s">
        <v>17639</v>
      </c>
      <c r="J245" s="449" t="s">
        <v>17640</v>
      </c>
      <c r="K245" s="471" t="str">
        <f>HYPERLINK("https://www.google.com/maps/dir/?api=1&amp;origin=39.0111,-27.9855&amp;destination=39.0111,-27.9855&amp;travelmode=walking","🗺 Passadiço Termas Carapacho")</f>
        <v>🗺 Passadiço Termas Carapacho</v>
      </c>
    </row>
    <row r="246" spans="1:11" ht="20" customHeight="1" x14ac:dyDescent="0.4">
      <c r="A246" s="440">
        <v>237</v>
      </c>
      <c r="B246" s="441" t="s">
        <v>17641</v>
      </c>
      <c r="C246" s="442" t="s">
        <v>2837</v>
      </c>
      <c r="D246" s="443" t="s">
        <v>22663</v>
      </c>
      <c r="E246" s="443" t="s">
        <v>22663</v>
      </c>
      <c r="F246" s="440" t="s">
        <v>16580</v>
      </c>
      <c r="G246" s="443" t="s">
        <v>16575</v>
      </c>
      <c r="H246" s="444" t="s">
        <v>17642</v>
      </c>
      <c r="I246" s="444" t="s">
        <v>17643</v>
      </c>
      <c r="J246" s="444" t="s">
        <v>17644</v>
      </c>
      <c r="K246" s="470" t="str">
        <f>HYPERLINK("https://www.google.com/maps/dir/?api=1&amp;origin=39.0811,-28.0011&amp;destination=39.0811,-28.0011&amp;travelmode=walking","🗺 Ecovia Sta Cruz Graciosa")</f>
        <v>🗺 Ecovia Sta Cruz Graciosa</v>
      </c>
    </row>
    <row r="247" spans="1:11" ht="20" customHeight="1" x14ac:dyDescent="0.4">
      <c r="A247" s="445">
        <v>238</v>
      </c>
      <c r="B247" s="446" t="s">
        <v>17645</v>
      </c>
      <c r="C247" s="447" t="s">
        <v>2848</v>
      </c>
      <c r="D247" s="448" t="s">
        <v>22664</v>
      </c>
      <c r="E247" s="448" t="s">
        <v>22664</v>
      </c>
      <c r="F247" s="445" t="s">
        <v>16635</v>
      </c>
      <c r="G247" s="448" t="s">
        <v>16581</v>
      </c>
      <c r="H247" s="449" t="s">
        <v>17646</v>
      </c>
      <c r="I247" s="449" t="s">
        <v>17647</v>
      </c>
      <c r="J247" s="449" t="s">
        <v>17648</v>
      </c>
      <c r="K247" s="471" t="str">
        <f>HYPERLINK("https://www.google.com/maps/dir/?api=1&amp;origin=38.6855,-28.0311&amp;destination=38.6855,-28.0311&amp;travelmode=walking","🗺 Passadiços Fajã do Ouvidor")</f>
        <v>🗺 Passadiços Fajã do Ouvidor</v>
      </c>
    </row>
    <row r="248" spans="1:11" ht="20" customHeight="1" x14ac:dyDescent="0.4">
      <c r="A248" s="440">
        <v>239</v>
      </c>
      <c r="B248" s="441" t="s">
        <v>17649</v>
      </c>
      <c r="C248" s="442" t="s">
        <v>2848</v>
      </c>
      <c r="D248" s="443" t="s">
        <v>22665</v>
      </c>
      <c r="E248" s="443" t="s">
        <v>22665</v>
      </c>
      <c r="F248" s="440" t="s">
        <v>16635</v>
      </c>
      <c r="G248" s="443" t="s">
        <v>16581</v>
      </c>
      <c r="H248" s="444" t="s">
        <v>17650</v>
      </c>
      <c r="I248" s="444" t="s">
        <v>17651</v>
      </c>
      <c r="J248" s="444" t="s">
        <v>17652</v>
      </c>
      <c r="K248" s="470" t="str">
        <f>HYPERLINK("https://www.google.com/maps/dir/?api=1&amp;origin=38.5811,-27.9811&amp;destination=38.5811,-27.9811&amp;travelmode=walking","🗺 Passadiços Fajã de São João")</f>
        <v>🗺 Passadiços Fajã de São João</v>
      </c>
    </row>
    <row r="249" spans="1:11" ht="20" customHeight="1" x14ac:dyDescent="0.4">
      <c r="A249" s="445">
        <v>240</v>
      </c>
      <c r="B249" s="446" t="s">
        <v>17653</v>
      </c>
      <c r="C249" s="447" t="s">
        <v>2848</v>
      </c>
      <c r="D249" s="448" t="s">
        <v>22666</v>
      </c>
      <c r="E249" s="448" t="s">
        <v>22666</v>
      </c>
      <c r="F249" s="445" t="s">
        <v>16580</v>
      </c>
      <c r="G249" s="448" t="s">
        <v>16575</v>
      </c>
      <c r="H249" s="449" t="s">
        <v>17654</v>
      </c>
      <c r="I249" s="449" t="s">
        <v>17655</v>
      </c>
      <c r="J249" s="449" t="s">
        <v>17656</v>
      </c>
      <c r="K249" s="471" t="str">
        <f>HYPERLINK("https://www.google.com/maps/dir/?api=1&amp;origin=38.5411,-27.7611&amp;destination=38.5411,-27.7611&amp;travelmode=walking","🗺 Ecovia do Topo")</f>
        <v>🗺 Ecovia do Topo</v>
      </c>
    </row>
    <row r="250" spans="1:11" ht="20" customHeight="1" x14ac:dyDescent="0.45">
      <c r="A250" s="1591" t="s">
        <v>16571</v>
      </c>
      <c r="B250" s="1591"/>
      <c r="C250" s="1591"/>
      <c r="D250" s="1591"/>
      <c r="E250" s="1591"/>
      <c r="F250" s="1591"/>
      <c r="G250" s="1591"/>
      <c r="H250" s="1591"/>
      <c r="I250" s="1591"/>
      <c r="J250" s="1591"/>
      <c r="K250" s="1591"/>
    </row>
    <row r="251" spans="1:11" ht="20" customHeight="1" x14ac:dyDescent="0.4">
      <c r="A251" s="450">
        <v>241</v>
      </c>
      <c r="B251" s="451" t="s">
        <v>17657</v>
      </c>
      <c r="C251" s="452" t="s">
        <v>17658</v>
      </c>
      <c r="D251" s="453" t="s">
        <v>22667</v>
      </c>
      <c r="E251" s="453" t="s">
        <v>22706</v>
      </c>
      <c r="F251" s="450" t="s">
        <v>2868</v>
      </c>
      <c r="G251" s="453" t="s">
        <v>16581</v>
      </c>
      <c r="H251" s="454" t="s">
        <v>17659</v>
      </c>
      <c r="I251" s="454" t="s">
        <v>17660</v>
      </c>
      <c r="J251" s="454" t="s">
        <v>17661</v>
      </c>
      <c r="K251" s="472" t="str">
        <f>HYPERLINK("https://www.google.com/maps/dir/?api=1&amp;origin=32.6375,-16.9312&amp;destination=32.6355,-16.9550&amp;travelmode=walking","🗺 Passeio Marítimo Funchal")</f>
        <v>🗺 Passeio Marítimo Funchal</v>
      </c>
    </row>
    <row r="252" spans="1:11" ht="20" customHeight="1" x14ac:dyDescent="0.4">
      <c r="A252" s="455">
        <v>242</v>
      </c>
      <c r="B252" s="456" t="s">
        <v>17662</v>
      </c>
      <c r="C252" s="457" t="s">
        <v>2219</v>
      </c>
      <c r="D252" s="458" t="s">
        <v>22668</v>
      </c>
      <c r="E252" s="458" t="s">
        <v>22707</v>
      </c>
      <c r="F252" s="455" t="s">
        <v>16580</v>
      </c>
      <c r="G252" s="458" t="s">
        <v>16581</v>
      </c>
      <c r="H252" s="459" t="s">
        <v>17663</v>
      </c>
      <c r="I252" s="459" t="s">
        <v>17664</v>
      </c>
      <c r="J252" s="459" t="s">
        <v>17665</v>
      </c>
      <c r="K252" s="473" t="str">
        <f>HYPERLINK("https://www.google.com/maps/dir/?api=1&amp;origin=32.6385,-16.9585&amp;destination=32.6415,-16.9750&amp;travelmode=walking","🗺 Passadiços Praia Formosa")</f>
        <v>🗺 Passadiços Praia Formosa</v>
      </c>
    </row>
    <row r="253" spans="1:11" ht="20" customHeight="1" x14ac:dyDescent="0.4">
      <c r="A253" s="450">
        <v>243</v>
      </c>
      <c r="B253" s="451" t="s">
        <v>17666</v>
      </c>
      <c r="C253" s="452" t="s">
        <v>17667</v>
      </c>
      <c r="D253" s="453" t="s">
        <v>22669</v>
      </c>
      <c r="E253" s="453" t="s">
        <v>22708</v>
      </c>
      <c r="F253" s="450" t="s">
        <v>16610</v>
      </c>
      <c r="G253" s="453" t="s">
        <v>16575</v>
      </c>
      <c r="H253" s="454" t="s">
        <v>17668</v>
      </c>
      <c r="I253" s="454" t="s">
        <v>17669</v>
      </c>
      <c r="J253" s="454" t="s">
        <v>17670</v>
      </c>
      <c r="K253" s="472" t="str">
        <f>HYPERLINK("https://www.google.com/maps/dir/?api=1&amp;origin=32.6485,-16.9755&amp;destination=32.6480,-16.9815&amp;travelmode=walking","🗺 Ecovia Câmara de Lobos")</f>
        <v>🗺 Ecovia Câmara de Lobos</v>
      </c>
    </row>
    <row r="254" spans="1:11" ht="20" customHeight="1" x14ac:dyDescent="0.4">
      <c r="A254" s="455">
        <v>244</v>
      </c>
      <c r="B254" s="456" t="s">
        <v>17671</v>
      </c>
      <c r="C254" s="457" t="s">
        <v>2219</v>
      </c>
      <c r="D254" s="458" t="s">
        <v>22670</v>
      </c>
      <c r="E254" s="458" t="s">
        <v>22670</v>
      </c>
      <c r="F254" s="455" t="s">
        <v>2868</v>
      </c>
      <c r="G254" s="458" t="s">
        <v>16575</v>
      </c>
      <c r="H254" s="459" t="s">
        <v>17672</v>
      </c>
      <c r="I254" s="459" t="s">
        <v>17673</v>
      </c>
      <c r="J254" s="459" t="s">
        <v>17674</v>
      </c>
      <c r="K254" s="473" t="str">
        <f>HYPERLINK("https://www.google.com/maps/dir/?api=1&amp;origin=32.6480,-16.9450&amp;destination=32.6480,-16.9450&amp;travelmode=walking","🗺 Levada dos Piornais")</f>
        <v>🗺 Levada dos Piornais</v>
      </c>
    </row>
    <row r="255" spans="1:11" ht="20" customHeight="1" x14ac:dyDescent="0.4">
      <c r="A255" s="450">
        <v>245</v>
      </c>
      <c r="B255" s="451" t="s">
        <v>17675</v>
      </c>
      <c r="C255" s="452" t="s">
        <v>17676</v>
      </c>
      <c r="D255" s="453" t="s">
        <v>22671</v>
      </c>
      <c r="E255" s="453" t="s">
        <v>22671</v>
      </c>
      <c r="F255" s="450" t="s">
        <v>16610</v>
      </c>
      <c r="G255" s="453" t="s">
        <v>16581</v>
      </c>
      <c r="H255" s="454" t="s">
        <v>17677</v>
      </c>
      <c r="I255" s="454" t="s">
        <v>17678</v>
      </c>
      <c r="J255" s="454" t="s">
        <v>17679</v>
      </c>
      <c r="K255" s="472" t="str">
        <f>HYPERLINK("https://www.google.com/maps/dir/?api=1&amp;origin=32.6755,-16.9011&amp;destination=32.6755,-16.9011&amp;travelmode=walking","🗺 Passadiços do Monte")</f>
        <v>🗺 Passadiços do Monte</v>
      </c>
    </row>
    <row r="256" spans="1:11" ht="20" customHeight="1" x14ac:dyDescent="0.4">
      <c r="A256" s="455">
        <v>246</v>
      </c>
      <c r="B256" s="456" t="s">
        <v>17680</v>
      </c>
      <c r="C256" s="457" t="s">
        <v>17681</v>
      </c>
      <c r="D256" s="458" t="s">
        <v>22672</v>
      </c>
      <c r="E256" s="458" t="s">
        <v>22709</v>
      </c>
      <c r="F256" s="455" t="s">
        <v>2845</v>
      </c>
      <c r="G256" s="458" t="s">
        <v>16581</v>
      </c>
      <c r="H256" s="459" t="s">
        <v>17682</v>
      </c>
      <c r="I256" s="459" t="s">
        <v>17683</v>
      </c>
      <c r="J256" s="459" t="s">
        <v>6727</v>
      </c>
      <c r="K256" s="473" t="str">
        <f>HYPERLINK("https://www.google.com/maps/dir/?api=1&amp;origin=32.7431,-16.7011&amp;destination=32.7555,-16.6811&amp;travelmode=walking","🗺 Vereda Ponta S. Lourenço")</f>
        <v>🗺 Vereda Ponta S. Lourenço</v>
      </c>
    </row>
    <row r="257" spans="1:11" ht="20" customHeight="1" x14ac:dyDescent="0.4">
      <c r="A257" s="450">
        <v>247</v>
      </c>
      <c r="B257" s="451" t="s">
        <v>17684</v>
      </c>
      <c r="C257" s="452" t="s">
        <v>17685</v>
      </c>
      <c r="D257" s="453" t="s">
        <v>22673</v>
      </c>
      <c r="E257" s="453" t="s">
        <v>22673</v>
      </c>
      <c r="F257" s="450" t="s">
        <v>16635</v>
      </c>
      <c r="G257" s="453" t="s">
        <v>16581</v>
      </c>
      <c r="H257" s="454" t="s">
        <v>17686</v>
      </c>
      <c r="I257" s="454" t="s">
        <v>17687</v>
      </c>
      <c r="J257" s="454" t="s">
        <v>17688</v>
      </c>
      <c r="K257" s="472" t="str">
        <f>HYPERLINK("https://www.google.com/maps/dir/?api=1&amp;origin=32.6381,-16.8511&amp;destination=32.6381,-16.8511&amp;travelmode=walking","🗺 Passadiços Ponta Garajau")</f>
        <v>🗺 Passadiços Ponta Garajau</v>
      </c>
    </row>
    <row r="258" spans="1:11" ht="20" customHeight="1" x14ac:dyDescent="0.4">
      <c r="A258" s="455">
        <v>248</v>
      </c>
      <c r="B258" s="456" t="s">
        <v>17689</v>
      </c>
      <c r="C258" s="457" t="s">
        <v>17690</v>
      </c>
      <c r="D258" s="458" t="s">
        <v>22674</v>
      </c>
      <c r="E258" s="458" t="s">
        <v>22674</v>
      </c>
      <c r="F258" s="455" t="s">
        <v>16580</v>
      </c>
      <c r="G258" s="458" t="s">
        <v>16575</v>
      </c>
      <c r="H258" s="459" t="s">
        <v>17691</v>
      </c>
      <c r="I258" s="459" t="s">
        <v>17692</v>
      </c>
      <c r="J258" s="459" t="s">
        <v>17693</v>
      </c>
      <c r="K258" s="473" t="str">
        <f>HYPERLINK("https://www.google.com/maps/dir/?api=1&amp;origin=32.7185,-16.7611&amp;destination=32.7185,-16.7611&amp;travelmode=walking","🗺 Ecovia de Machico")</f>
        <v>🗺 Ecovia de Machico</v>
      </c>
    </row>
    <row r="259" spans="1:11" ht="20" customHeight="1" x14ac:dyDescent="0.4">
      <c r="A259" s="450">
        <v>249</v>
      </c>
      <c r="B259" s="451" t="s">
        <v>17694</v>
      </c>
      <c r="C259" s="452" t="s">
        <v>17695</v>
      </c>
      <c r="D259" s="453" t="s">
        <v>22675</v>
      </c>
      <c r="E259" s="453" t="s">
        <v>22675</v>
      </c>
      <c r="F259" s="450" t="s">
        <v>16610</v>
      </c>
      <c r="G259" s="453" t="s">
        <v>16581</v>
      </c>
      <c r="H259" s="454" t="s">
        <v>17696</v>
      </c>
      <c r="I259" s="454" t="s">
        <v>17697</v>
      </c>
      <c r="J259" s="454" t="s">
        <v>17698</v>
      </c>
      <c r="K259" s="472" t="str">
        <f>HYPERLINK("https://www.google.com/maps/dir/?api=1&amp;origin=32.7355,-16.8855&amp;destination=32.7355,-16.8855&amp;travelmode=walking","🗺 Vereda dos Balcões")</f>
        <v>🗺 Vereda dos Balcões</v>
      </c>
    </row>
    <row r="260" spans="1:11" ht="20" customHeight="1" x14ac:dyDescent="0.4">
      <c r="A260" s="455">
        <v>250</v>
      </c>
      <c r="B260" s="456" t="s">
        <v>17699</v>
      </c>
      <c r="C260" s="457" t="s">
        <v>17700</v>
      </c>
      <c r="D260" s="458" t="s">
        <v>22676</v>
      </c>
      <c r="E260" s="458" t="s">
        <v>22676</v>
      </c>
      <c r="F260" s="455" t="s">
        <v>2283</v>
      </c>
      <c r="G260" s="458" t="s">
        <v>16575</v>
      </c>
      <c r="H260" s="459" t="s">
        <v>17701</v>
      </c>
      <c r="I260" s="459" t="s">
        <v>17702</v>
      </c>
      <c r="J260" s="459" t="s">
        <v>17703</v>
      </c>
      <c r="K260" s="473" t="str">
        <f>HYPERLINK("https://www.google.com/maps/dir/?api=1&amp;origin=32.7831,-16.9055&amp;destination=32.7831,-16.9055&amp;travelmode=walking","🗺 Levada Caldeirão Verde")</f>
        <v>🗺 Levada Caldeirão Verde</v>
      </c>
    </row>
    <row r="261" spans="1:11" ht="20" customHeight="1" x14ac:dyDescent="0.4">
      <c r="A261" s="450">
        <v>251</v>
      </c>
      <c r="B261" s="451" t="s">
        <v>17704</v>
      </c>
      <c r="C261" s="452" t="s">
        <v>17700</v>
      </c>
      <c r="D261" s="453" t="s">
        <v>22677</v>
      </c>
      <c r="E261" s="453" t="s">
        <v>22677</v>
      </c>
      <c r="F261" s="450" t="s">
        <v>16580</v>
      </c>
      <c r="G261" s="453" t="s">
        <v>16575</v>
      </c>
      <c r="H261" s="454" t="s">
        <v>17705</v>
      </c>
      <c r="I261" s="454" t="s">
        <v>17706</v>
      </c>
      <c r="J261" s="454" t="s">
        <v>17707</v>
      </c>
      <c r="K261" s="472" t="str">
        <f>HYPERLINK("https://www.google.com/maps/dir/?api=1&amp;origin=32.7911,-16.8511&amp;destination=32.7911,-16.8511&amp;travelmode=walking","🗺 Ecovia do Faial")</f>
        <v>🗺 Ecovia do Faial</v>
      </c>
    </row>
    <row r="262" spans="1:11" ht="20" customHeight="1" x14ac:dyDescent="0.4">
      <c r="A262" s="455">
        <v>252</v>
      </c>
      <c r="B262" s="456" t="s">
        <v>17708</v>
      </c>
      <c r="C262" s="457" t="s">
        <v>17700</v>
      </c>
      <c r="D262" s="458" t="s">
        <v>22678</v>
      </c>
      <c r="E262" s="458" t="s">
        <v>22678</v>
      </c>
      <c r="F262" s="455" t="s">
        <v>16610</v>
      </c>
      <c r="G262" s="458" t="s">
        <v>16581</v>
      </c>
      <c r="H262" s="459" t="s">
        <v>17709</v>
      </c>
      <c r="I262" s="459" t="s">
        <v>17710</v>
      </c>
      <c r="J262" s="459" t="s">
        <v>17711</v>
      </c>
      <c r="K262" s="473" t="str">
        <f>HYPERLINK("https://www.google.com/maps/dir/?api=1&amp;origin=32.8155,-16.8855&amp;destination=32.8155,-16.8855&amp;travelmode=walking","🗺 Passadiço Rocha do Navio")</f>
        <v>🗺 Passadiço Rocha do Navio</v>
      </c>
    </row>
    <row r="263" spans="1:11" ht="20" customHeight="1" x14ac:dyDescent="0.4">
      <c r="A263" s="450">
        <v>253</v>
      </c>
      <c r="B263" s="451" t="s">
        <v>17712</v>
      </c>
      <c r="C263" s="452" t="s">
        <v>17713</v>
      </c>
      <c r="D263" s="453" t="s">
        <v>22679</v>
      </c>
      <c r="E263" s="453" t="s">
        <v>22679</v>
      </c>
      <c r="F263" s="450" t="s">
        <v>16610</v>
      </c>
      <c r="G263" s="453" t="s">
        <v>16581</v>
      </c>
      <c r="H263" s="454" t="s">
        <v>17714</v>
      </c>
      <c r="I263" s="454" t="s">
        <v>17715</v>
      </c>
      <c r="J263" s="454" t="s">
        <v>17716</v>
      </c>
      <c r="K263" s="472" t="str">
        <f>HYPERLINK("https://www.google.com/maps/dir/?api=1&amp;origin=32.8655,-17.1685&amp;destination=32.8655,-17.1685&amp;travelmode=walking","🗺 Passadiços Piscinas Porto Moniz")</f>
        <v>🗺 Passadiços Piscinas Porto Moniz</v>
      </c>
    </row>
    <row r="264" spans="1:11" ht="20" customHeight="1" x14ac:dyDescent="0.4">
      <c r="A264" s="455">
        <v>254</v>
      </c>
      <c r="B264" s="456" t="s">
        <v>17717</v>
      </c>
      <c r="C264" s="457" t="s">
        <v>17718</v>
      </c>
      <c r="D264" s="458" t="s">
        <v>22680</v>
      </c>
      <c r="E264" s="458" t="s">
        <v>22680</v>
      </c>
      <c r="F264" s="455" t="s">
        <v>16580</v>
      </c>
      <c r="G264" s="458" t="s">
        <v>16575</v>
      </c>
      <c r="H264" s="459" t="s">
        <v>17719</v>
      </c>
      <c r="I264" s="459" t="s">
        <v>17720</v>
      </c>
      <c r="J264" s="459" t="s">
        <v>17721</v>
      </c>
      <c r="K264" s="473" t="str">
        <f>HYPERLINK("https://www.google.com/maps/dir/?api=1&amp;origin=32.8111,-17.0511&amp;destination=32.8111,-17.0511&amp;travelmode=walking","🗺 Ecovia de São Vicente")</f>
        <v>🗺 Ecovia de São Vicente</v>
      </c>
    </row>
    <row r="265" spans="1:11" ht="20" customHeight="1" x14ac:dyDescent="0.4">
      <c r="A265" s="450">
        <v>255</v>
      </c>
      <c r="B265" s="451" t="s">
        <v>17722</v>
      </c>
      <c r="C265" s="452" t="s">
        <v>17713</v>
      </c>
      <c r="D265" s="453" t="s">
        <v>22681</v>
      </c>
      <c r="E265" s="453" t="s">
        <v>22681</v>
      </c>
      <c r="F265" s="450" t="s">
        <v>2845</v>
      </c>
      <c r="G265" s="453" t="s">
        <v>16575</v>
      </c>
      <c r="H265" s="454" t="s">
        <v>17723</v>
      </c>
      <c r="I265" s="454" t="s">
        <v>17724</v>
      </c>
      <c r="J265" s="454" t="s">
        <v>17725</v>
      </c>
      <c r="K265" s="472" t="str">
        <f>HYPERLINK("https://www.google.com/maps/dir/?api=1&amp;origin=32.8455,-17.1511&amp;destination=32.8455,-17.1511&amp;travelmode=walking","🗺 Levada Ribeira da Janela")</f>
        <v>🗺 Levada Ribeira da Janela</v>
      </c>
    </row>
    <row r="266" spans="1:11" ht="20" customHeight="1" x14ac:dyDescent="0.4">
      <c r="A266" s="455">
        <v>256</v>
      </c>
      <c r="B266" s="456" t="s">
        <v>17726</v>
      </c>
      <c r="C266" s="457" t="s">
        <v>17727</v>
      </c>
      <c r="D266" s="458" t="s">
        <v>22682</v>
      </c>
      <c r="E266" s="458" t="s">
        <v>22682</v>
      </c>
      <c r="F266" s="455" t="s">
        <v>16635</v>
      </c>
      <c r="G266" s="458" t="s">
        <v>16581</v>
      </c>
      <c r="H266" s="459" t="s">
        <v>17728</v>
      </c>
      <c r="I266" s="459" t="s">
        <v>17729</v>
      </c>
      <c r="J266" s="459" t="s">
        <v>17730</v>
      </c>
      <c r="K266" s="473" t="str">
        <f>HYPERLINK("https://www.google.com/maps/dir/?api=1&amp;origin=32.8211,-17.1011&amp;destination=32.8211,-17.1011&amp;travelmode=walking","🗺 Passadiços do Seixal")</f>
        <v>🗺 Passadiços do Seixal</v>
      </c>
    </row>
    <row r="267" spans="1:11" ht="20" customHeight="1" x14ac:dyDescent="0.4">
      <c r="A267" s="450">
        <v>257</v>
      </c>
      <c r="B267" s="451" t="s">
        <v>17731</v>
      </c>
      <c r="C267" s="452" t="s">
        <v>792</v>
      </c>
      <c r="D267" s="453" t="s">
        <v>22683</v>
      </c>
      <c r="E267" s="453" t="s">
        <v>22683</v>
      </c>
      <c r="F267" s="450" t="s">
        <v>2326</v>
      </c>
      <c r="G267" s="453" t="s">
        <v>16575</v>
      </c>
      <c r="H267" s="454" t="s">
        <v>17732</v>
      </c>
      <c r="I267" s="454" t="s">
        <v>17733</v>
      </c>
      <c r="J267" s="454" t="s">
        <v>17734</v>
      </c>
      <c r="K267" s="472" t="str">
        <f>HYPERLINK("https://www.google.com/maps/dir/?api=1&amp;origin=32.8155,-16.9511&amp;destination=32.8155,-16.9511&amp;travelmode=walking","🗺 Caminho Real Monte-Arco S. Jorge")</f>
        <v>🗺 Caminho Real Monte-Arco S. Jorge</v>
      </c>
    </row>
    <row r="268" spans="1:11" ht="20" customHeight="1" x14ac:dyDescent="0.4">
      <c r="A268" s="455">
        <v>258</v>
      </c>
      <c r="B268" s="456" t="s">
        <v>17735</v>
      </c>
      <c r="C268" s="457" t="s">
        <v>17736</v>
      </c>
      <c r="D268" s="458" t="s">
        <v>22684</v>
      </c>
      <c r="E268" s="458" t="s">
        <v>22684</v>
      </c>
      <c r="F268" s="455" t="s">
        <v>16610</v>
      </c>
      <c r="G268" s="458" t="s">
        <v>16581</v>
      </c>
      <c r="H268" s="459" t="s">
        <v>17737</v>
      </c>
      <c r="I268" s="459" t="s">
        <v>17738</v>
      </c>
      <c r="J268" s="459" t="s">
        <v>17739</v>
      </c>
      <c r="K268" s="473" t="str">
        <f>HYPERLINK("https://www.google.com/maps/dir/?api=1&amp;origin=32.7385,-17.2111&amp;destination=32.7385,-17.2111&amp;travelmode=walking","🗺 Passadiços Jardim do Mar")</f>
        <v>🗺 Passadiços Jardim do Mar</v>
      </c>
    </row>
    <row r="269" spans="1:11" ht="20" customHeight="1" x14ac:dyDescent="0.4">
      <c r="A269" s="450">
        <v>259</v>
      </c>
      <c r="B269" s="451" t="s">
        <v>17740</v>
      </c>
      <c r="C269" s="452" t="s">
        <v>17741</v>
      </c>
      <c r="D269" s="453" t="s">
        <v>22685</v>
      </c>
      <c r="E269" s="453" t="s">
        <v>22685</v>
      </c>
      <c r="F269" s="450" t="s">
        <v>16635</v>
      </c>
      <c r="G269" s="453" t="s">
        <v>16581</v>
      </c>
      <c r="H269" s="454" t="s">
        <v>17742</v>
      </c>
      <c r="I269" s="454" t="s">
        <v>17743</v>
      </c>
      <c r="J269" s="454" t="s">
        <v>17744</v>
      </c>
      <c r="K269" s="472" t="str">
        <f>HYPERLINK("https://www.google.com/maps/dir/?api=1&amp;origin=32.7511,-17.2255&amp;destination=32.7511,-17.2255&amp;travelmode=walking","🗺 Promenade Paul do Mar")</f>
        <v>🗺 Promenade Paul do Mar</v>
      </c>
    </row>
    <row r="270" spans="1:11" ht="20" customHeight="1" x14ac:dyDescent="0.4">
      <c r="A270" s="455">
        <v>260</v>
      </c>
      <c r="B270" s="456" t="s">
        <v>6692</v>
      </c>
      <c r="C270" s="457" t="s">
        <v>17745</v>
      </c>
      <c r="D270" s="458" t="s">
        <v>22686</v>
      </c>
      <c r="E270" s="458" t="s">
        <v>22686</v>
      </c>
      <c r="F270" s="455" t="s">
        <v>2326</v>
      </c>
      <c r="G270" s="458" t="s">
        <v>16581</v>
      </c>
      <c r="H270" s="459" t="s">
        <v>17746</v>
      </c>
      <c r="I270" s="459" t="s">
        <v>17747</v>
      </c>
      <c r="J270" s="459" t="s">
        <v>17748</v>
      </c>
      <c r="K270" s="473" t="str">
        <f>HYPERLINK("https://www.google.com/maps/dir/?api=1&amp;origin=32.7555,-17.1350&amp;destination=32.7555,-17.1350&amp;travelmode=walking","🗺 Levada das 25 Fontes")</f>
        <v>🗺 Levada das 25 Fontes</v>
      </c>
    </row>
    <row r="271" spans="1:11" ht="20" customHeight="1" x14ac:dyDescent="0.4">
      <c r="A271" s="450">
        <v>261</v>
      </c>
      <c r="B271" s="451" t="s">
        <v>17749</v>
      </c>
      <c r="C271" s="452" t="s">
        <v>17745</v>
      </c>
      <c r="D271" s="453" t="s">
        <v>22686</v>
      </c>
      <c r="E271" s="453" t="s">
        <v>22686</v>
      </c>
      <c r="F271" s="450" t="s">
        <v>2868</v>
      </c>
      <c r="G271" s="453" t="s">
        <v>16575</v>
      </c>
      <c r="H271" s="454" t="s">
        <v>17750</v>
      </c>
      <c r="I271" s="454" t="s">
        <v>17751</v>
      </c>
      <c r="J271" s="454" t="s">
        <v>17752</v>
      </c>
      <c r="K271" s="472" t="str">
        <f>HYPERLINK("https://www.google.com/maps/dir/?api=1&amp;origin=32.7555,-17.1350&amp;destination=32.7555,-17.1350&amp;travelmode=walking","🗺 Levada do Alecrim")</f>
        <v>🗺 Levada do Alecrim</v>
      </c>
    </row>
    <row r="272" spans="1:11" ht="20" customHeight="1" x14ac:dyDescent="0.4">
      <c r="A272" s="455">
        <v>262</v>
      </c>
      <c r="B272" s="456" t="s">
        <v>17753</v>
      </c>
      <c r="C272" s="457" t="s">
        <v>17754</v>
      </c>
      <c r="D272" s="458" t="s">
        <v>22687</v>
      </c>
      <c r="E272" s="458" t="s">
        <v>22687</v>
      </c>
      <c r="F272" s="455" t="s">
        <v>17160</v>
      </c>
      <c r="G272" s="458" t="s">
        <v>16581</v>
      </c>
      <c r="H272" s="459" t="s">
        <v>17755</v>
      </c>
      <c r="I272" s="459" t="s">
        <v>17756</v>
      </c>
      <c r="J272" s="459" t="s">
        <v>17757</v>
      </c>
      <c r="K272" s="473" t="str">
        <f>HYPERLINK("https://www.google.com/maps/dir/?api=1&amp;origin=32.6855,-17.1111&amp;destination=32.6855,-17.1111&amp;travelmode=walking","🗺 Passadiço Cascata dos Anjos")</f>
        <v>🗺 Passadiço Cascata dos Anjos</v>
      </c>
    </row>
    <row r="273" spans="1:11" ht="20" customHeight="1" x14ac:dyDescent="0.4">
      <c r="A273" s="450">
        <v>263</v>
      </c>
      <c r="B273" s="451" t="s">
        <v>17758</v>
      </c>
      <c r="C273" s="452" t="s">
        <v>17759</v>
      </c>
      <c r="D273" s="453" t="s">
        <v>22688</v>
      </c>
      <c r="E273" s="453" t="s">
        <v>22688</v>
      </c>
      <c r="F273" s="450" t="s">
        <v>16580</v>
      </c>
      <c r="G273" s="453" t="s">
        <v>16575</v>
      </c>
      <c r="H273" s="454" t="s">
        <v>17760</v>
      </c>
      <c r="I273" s="454" t="s">
        <v>17761</v>
      </c>
      <c r="J273" s="454" t="s">
        <v>17762</v>
      </c>
      <c r="K273" s="472" t="str">
        <f>HYPERLINK("https://www.google.com/maps/dir/?api=1&amp;origin=32.7185,-17.1785&amp;destination=32.7185,-17.1785&amp;travelmode=walking","🗺 Ecovia da Calheta")</f>
        <v>🗺 Ecovia da Calheta</v>
      </c>
    </row>
    <row r="274" spans="1:11" ht="20" customHeight="1" x14ac:dyDescent="0.4">
      <c r="A274" s="455">
        <v>264</v>
      </c>
      <c r="B274" s="456" t="s">
        <v>17763</v>
      </c>
      <c r="C274" s="457" t="s">
        <v>17759</v>
      </c>
      <c r="D274" s="458" t="s">
        <v>22689</v>
      </c>
      <c r="E274" s="458" t="s">
        <v>22689</v>
      </c>
      <c r="F274" s="455" t="s">
        <v>16580</v>
      </c>
      <c r="G274" s="458" t="s">
        <v>16575</v>
      </c>
      <c r="H274" s="459" t="s">
        <v>17764</v>
      </c>
      <c r="I274" s="459" t="s">
        <v>17765</v>
      </c>
      <c r="J274" s="459" t="s">
        <v>17766</v>
      </c>
      <c r="K274" s="473" t="str">
        <f>HYPERLINK("https://www.google.com/maps/dir/?api=1&amp;origin=32.7255,-17.1685&amp;destination=32.7255,-17.1685&amp;travelmode=walking","🗺 Caminho do Comboio")</f>
        <v>🗺 Caminho do Comboio</v>
      </c>
    </row>
    <row r="275" spans="1:11" ht="20" customHeight="1" x14ac:dyDescent="0.4">
      <c r="A275" s="450">
        <v>265</v>
      </c>
      <c r="B275" s="451" t="s">
        <v>17767</v>
      </c>
      <c r="C275" s="452" t="s">
        <v>17768</v>
      </c>
      <c r="D275" s="453" t="s">
        <v>22690</v>
      </c>
      <c r="E275" s="453" t="s">
        <v>22710</v>
      </c>
      <c r="F275" s="450" t="s">
        <v>2275</v>
      </c>
      <c r="G275" s="453" t="s">
        <v>16581</v>
      </c>
      <c r="H275" s="454" t="s">
        <v>17769</v>
      </c>
      <c r="I275" s="454" t="s">
        <v>17770</v>
      </c>
      <c r="J275" s="454" t="s">
        <v>17771</v>
      </c>
      <c r="K275" s="472" t="str">
        <f>HYPERLINK("https://www.google.com/maps/dir/?api=1&amp;origin=32.7355,-16.9285&amp;destination=32.7585,-16.9455&amp;travelmode=walking","🗺 Vereda Areeiro — Pico Ruivo")</f>
        <v>🗺 Vereda Areeiro — Pico Ruivo</v>
      </c>
    </row>
    <row r="276" spans="1:11" ht="20" customHeight="1" x14ac:dyDescent="0.4">
      <c r="A276" s="455">
        <v>266</v>
      </c>
      <c r="B276" s="456" t="s">
        <v>17772</v>
      </c>
      <c r="C276" s="457" t="s">
        <v>17773</v>
      </c>
      <c r="D276" s="458" t="s">
        <v>22691</v>
      </c>
      <c r="E276" s="458" t="s">
        <v>22691</v>
      </c>
      <c r="F276" s="455" t="s">
        <v>16635</v>
      </c>
      <c r="G276" s="458" t="s">
        <v>16581</v>
      </c>
      <c r="H276" s="459" t="s">
        <v>17774</v>
      </c>
      <c r="I276" s="459" t="s">
        <v>17775</v>
      </c>
      <c r="J276" s="459" t="s">
        <v>3678</v>
      </c>
      <c r="K276" s="473" t="str">
        <f>HYPERLINK("https://www.google.com/maps/dir/?api=1&amp;origin=32.7111,-16.9655&amp;destination=32.7111,-16.9655&amp;travelmode=walking","🗺 Passadiços Eira do Serrado")</f>
        <v>🗺 Passadiços Eira do Serrado</v>
      </c>
    </row>
    <row r="277" spans="1:11" ht="20" customHeight="1" x14ac:dyDescent="0.4">
      <c r="A277" s="450">
        <v>267</v>
      </c>
      <c r="B277" s="451" t="s">
        <v>17776</v>
      </c>
      <c r="C277" s="452" t="s">
        <v>17777</v>
      </c>
      <c r="D277" s="453" t="s">
        <v>22692</v>
      </c>
      <c r="E277" s="453" t="s">
        <v>22692</v>
      </c>
      <c r="F277" s="450" t="s">
        <v>2868</v>
      </c>
      <c r="G277" s="453" t="s">
        <v>16581</v>
      </c>
      <c r="H277" s="454" t="s">
        <v>17778</v>
      </c>
      <c r="I277" s="454" t="s">
        <v>17779</v>
      </c>
      <c r="J277" s="454" t="s">
        <v>17780</v>
      </c>
      <c r="K277" s="472" t="str">
        <f>HYPERLINK("https://www.google.com/maps/dir/?api=1&amp;origin=32.8111,-17.1385&amp;destination=32.8111,-17.1385&amp;travelmode=walking","🗺 Vereda do Fanal")</f>
        <v>🗺 Vereda do Fanal</v>
      </c>
    </row>
    <row r="278" spans="1:11" ht="20" customHeight="1" x14ac:dyDescent="0.4">
      <c r="A278" s="455">
        <v>268</v>
      </c>
      <c r="B278" s="456" t="s">
        <v>17781</v>
      </c>
      <c r="C278" s="457" t="s">
        <v>17782</v>
      </c>
      <c r="D278" s="458" t="s">
        <v>22693</v>
      </c>
      <c r="E278" s="458" t="s">
        <v>22693</v>
      </c>
      <c r="F278" s="455" t="s">
        <v>2868</v>
      </c>
      <c r="G278" s="458" t="s">
        <v>16581</v>
      </c>
      <c r="H278" s="459" t="s">
        <v>17783</v>
      </c>
      <c r="I278" s="459" t="s">
        <v>17784</v>
      </c>
      <c r="J278" s="459" t="s">
        <v>17785</v>
      </c>
      <c r="K278" s="473" t="str">
        <f>HYPERLINK("https://www.google.com/maps/dir/?api=1&amp;origin=32.7511,-17.0185&amp;destination=32.7511,-17.0185&amp;travelmode=walking","🗺 Vereda da Encumeada")</f>
        <v>🗺 Vereda da Encumeada</v>
      </c>
    </row>
    <row r="279" spans="1:11" ht="20" customHeight="1" x14ac:dyDescent="0.4">
      <c r="A279" s="450">
        <v>269</v>
      </c>
      <c r="B279" s="451" t="s">
        <v>17786</v>
      </c>
      <c r="C279" s="452" t="s">
        <v>7530</v>
      </c>
      <c r="D279" s="453" t="s">
        <v>22694</v>
      </c>
      <c r="E279" s="453" t="s">
        <v>22694</v>
      </c>
      <c r="F279" s="450" t="s">
        <v>16580</v>
      </c>
      <c r="G279" s="453" t="s">
        <v>16581</v>
      </c>
      <c r="H279" s="454" t="s">
        <v>17787</v>
      </c>
      <c r="I279" s="454" t="s">
        <v>17788</v>
      </c>
      <c r="J279" s="454" t="s">
        <v>17789</v>
      </c>
      <c r="K279" s="472" t="str">
        <f>HYPERLINK("https://www.google.com/maps/dir/?api=1&amp;origin=33.0455,-16.3485&amp;destination=33.0455,-16.3485&amp;travelmode=walking","🗺 Passadiço Dunas Porto Santo")</f>
        <v>🗺 Passadiço Dunas Porto Santo</v>
      </c>
    </row>
    <row r="280" spans="1:11" ht="20" customHeight="1" x14ac:dyDescent="0.4">
      <c r="A280" s="455">
        <v>270</v>
      </c>
      <c r="B280" s="456" t="s">
        <v>17790</v>
      </c>
      <c r="C280" s="457" t="s">
        <v>7530</v>
      </c>
      <c r="D280" s="458" t="s">
        <v>22695</v>
      </c>
      <c r="E280" s="458" t="s">
        <v>22695</v>
      </c>
      <c r="F280" s="455" t="s">
        <v>2302</v>
      </c>
      <c r="G280" s="458" t="s">
        <v>16575</v>
      </c>
      <c r="H280" s="459" t="s">
        <v>17791</v>
      </c>
      <c r="I280" s="459" t="s">
        <v>17792</v>
      </c>
      <c r="J280" s="459" t="s">
        <v>17793</v>
      </c>
      <c r="K280" s="473" t="str">
        <f>HYPERLINK("https://www.google.com/maps/dir/?api=1&amp;origin=33.0585,-16.3355&amp;destination=33.0585,-16.3355&amp;travelmode=walking","🗺 Ecovia / Ciclovia Porto Santo")</f>
        <v>🗺 Ecovia / Ciclovia Porto Santo</v>
      </c>
    </row>
    <row r="281" spans="1:11" ht="20" customHeight="1" x14ac:dyDescent="0.4">
      <c r="A281" s="450">
        <v>271</v>
      </c>
      <c r="B281" s="451" t="s">
        <v>17794</v>
      </c>
      <c r="C281" s="452" t="s">
        <v>7530</v>
      </c>
      <c r="D281" s="453" t="s">
        <v>22696</v>
      </c>
      <c r="E281" s="453" t="s">
        <v>22696</v>
      </c>
      <c r="F281" s="450" t="s">
        <v>16580</v>
      </c>
      <c r="G281" s="453" t="s">
        <v>16581</v>
      </c>
      <c r="H281" s="454" t="s">
        <v>17795</v>
      </c>
      <c r="I281" s="454" t="s">
        <v>17796</v>
      </c>
      <c r="J281" s="454" t="s">
        <v>17797</v>
      </c>
      <c r="K281" s="472" t="str">
        <f>HYPERLINK("https://www.google.com/maps/dir/?api=1&amp;origin=33.0855,-16.3311&amp;destination=33.0855,-16.3311&amp;travelmode=walking","🗺 Vereda Pico do Castelo")</f>
        <v>🗺 Vereda Pico do Castelo</v>
      </c>
    </row>
    <row r="282" spans="1:11" ht="20" customHeight="1" x14ac:dyDescent="0.4">
      <c r="A282" s="455">
        <v>272</v>
      </c>
      <c r="B282" s="456" t="s">
        <v>17798</v>
      </c>
      <c r="C282" s="457" t="s">
        <v>7530</v>
      </c>
      <c r="D282" s="458" t="s">
        <v>22697</v>
      </c>
      <c r="E282" s="458" t="s">
        <v>22697</v>
      </c>
      <c r="F282" s="455" t="s">
        <v>16635</v>
      </c>
      <c r="G282" s="458" t="s">
        <v>16581</v>
      </c>
      <c r="H282" s="459" t="s">
        <v>17799</v>
      </c>
      <c r="I282" s="459" t="s">
        <v>17800</v>
      </c>
      <c r="J282" s="459" t="s">
        <v>17801</v>
      </c>
      <c r="K282" s="473" t="str">
        <f>HYPERLINK("https://www.google.com/maps/dir/?api=1&amp;origin=33.0311,-16.3855&amp;destination=33.0311,-16.3855&amp;travelmode=walking","🗺 Passadiço do Zimbralinho")</f>
        <v>🗺 Passadiço do Zimbralinho</v>
      </c>
    </row>
    <row r="283" spans="1:11" ht="20" customHeight="1" x14ac:dyDescent="0.4">
      <c r="A283" s="450">
        <v>273</v>
      </c>
      <c r="B283" s="451" t="s">
        <v>17802</v>
      </c>
      <c r="C283" s="452" t="s">
        <v>7530</v>
      </c>
      <c r="D283" s="453" t="s">
        <v>22698</v>
      </c>
      <c r="E283" s="453" t="s">
        <v>22698</v>
      </c>
      <c r="F283" s="450" t="s">
        <v>16610</v>
      </c>
      <c r="G283" s="453" t="s">
        <v>16581</v>
      </c>
      <c r="H283" s="454" t="s">
        <v>17803</v>
      </c>
      <c r="I283" s="454" t="s">
        <v>17804</v>
      </c>
      <c r="J283" s="454" t="s">
        <v>17805</v>
      </c>
      <c r="K283" s="472" t="str">
        <f>HYPERLINK("https://www.google.com/maps/dir/?api=1&amp;origin=33.0485,-16.3685&amp;destination=33.0485,-16.3685&amp;travelmode=walking","🗺 Vereda Pico Ana Ferreira")</f>
        <v>🗺 Vereda Pico Ana Ferreira</v>
      </c>
    </row>
    <row r="284" spans="1:11" ht="20" customHeight="1" x14ac:dyDescent="0.4">
      <c r="A284" s="455">
        <v>274</v>
      </c>
      <c r="B284" s="456" t="s">
        <v>17806</v>
      </c>
      <c r="C284" s="457" t="s">
        <v>17807</v>
      </c>
      <c r="D284" s="458" t="s">
        <v>22699</v>
      </c>
      <c r="E284" s="458" t="s">
        <v>22699</v>
      </c>
      <c r="F284" s="455" t="s">
        <v>17160</v>
      </c>
      <c r="G284" s="458" t="s">
        <v>16581</v>
      </c>
      <c r="H284" s="459" t="s">
        <v>17808</v>
      </c>
      <c r="I284" s="459" t="s">
        <v>17809</v>
      </c>
      <c r="J284" s="459" t="s">
        <v>17810</v>
      </c>
      <c r="K284" s="473" t="str">
        <f>HYPERLINK("https://www.google.com/maps/dir/?api=1&amp;origin=32.6785,-17.1055&amp;destination=32.6785,-17.1055&amp;travelmode=walking","🗺 Passadiço Ponta do Sol")</f>
        <v>🗺 Passadiço Ponta do Sol</v>
      </c>
    </row>
    <row r="285" spans="1:11" ht="20" customHeight="1" x14ac:dyDescent="0.4">
      <c r="A285" s="450">
        <v>275</v>
      </c>
      <c r="B285" s="451" t="s">
        <v>17811</v>
      </c>
      <c r="C285" s="452" t="s">
        <v>17807</v>
      </c>
      <c r="D285" s="453" t="s">
        <v>22700</v>
      </c>
      <c r="E285" s="453" t="s">
        <v>22700</v>
      </c>
      <c r="F285" s="450" t="s">
        <v>2868</v>
      </c>
      <c r="G285" s="453" t="s">
        <v>16575</v>
      </c>
      <c r="H285" s="454" t="s">
        <v>17812</v>
      </c>
      <c r="I285" s="454" t="s">
        <v>17813</v>
      </c>
      <c r="J285" s="454" t="s">
        <v>17814</v>
      </c>
      <c r="K285" s="472" t="str">
        <f>HYPERLINK("https://www.google.com/maps/dir/?api=1&amp;origin=32.6955,-17.1011&amp;destination=32.6955,-17.1011&amp;travelmode=walking","🗺 Levada do Moinho")</f>
        <v>🗺 Levada do Moinho</v>
      </c>
    </row>
    <row r="286" spans="1:11" ht="20" customHeight="1" x14ac:dyDescent="0.4">
      <c r="A286" s="455">
        <v>276</v>
      </c>
      <c r="B286" s="456" t="s">
        <v>17815</v>
      </c>
      <c r="C286" s="457" t="s">
        <v>17816</v>
      </c>
      <c r="D286" s="458" t="s">
        <v>22701</v>
      </c>
      <c r="E286" s="458" t="s">
        <v>22701</v>
      </c>
      <c r="F286" s="455" t="s">
        <v>16580</v>
      </c>
      <c r="G286" s="458" t="s">
        <v>16575</v>
      </c>
      <c r="H286" s="459" t="s">
        <v>17817</v>
      </c>
      <c r="I286" s="459" t="s">
        <v>17818</v>
      </c>
      <c r="J286" s="459" t="s">
        <v>17819</v>
      </c>
      <c r="K286" s="473" t="str">
        <f>HYPERLINK("https://www.google.com/maps/dir/?api=1&amp;origin=32.6411,-16.8355&amp;destination=32.6411,-16.8355&amp;travelmode=walking","🗺 Ecovia Caniço de Baixo")</f>
        <v>🗺 Ecovia Caniço de Baixo</v>
      </c>
    </row>
    <row r="287" spans="1:11" ht="20" customHeight="1" x14ac:dyDescent="0.4">
      <c r="A287" s="450">
        <v>277</v>
      </c>
      <c r="B287" s="451" t="s">
        <v>17820</v>
      </c>
      <c r="C287" s="452" t="s">
        <v>17821</v>
      </c>
      <c r="D287" s="453" t="s">
        <v>22702</v>
      </c>
      <c r="E287" s="453" t="s">
        <v>22702</v>
      </c>
      <c r="F287" s="450" t="s">
        <v>16610</v>
      </c>
      <c r="G287" s="453" t="s">
        <v>16581</v>
      </c>
      <c r="H287" s="454" t="s">
        <v>17822</v>
      </c>
      <c r="I287" s="454" t="s">
        <v>17823</v>
      </c>
      <c r="J287" s="454" t="s">
        <v>17822</v>
      </c>
      <c r="K287" s="472" t="str">
        <f>HYPERLINK("https://www.google.com/maps/dir/?api=1&amp;origin=32.8311,-16.9011&amp;destination=32.8311,-16.9011&amp;travelmode=walking","🗺 Vereda da Vigia")</f>
        <v>🗺 Vereda da Vigia</v>
      </c>
    </row>
    <row r="288" spans="1:11" ht="20" customHeight="1" x14ac:dyDescent="0.4">
      <c r="A288" s="455">
        <v>278</v>
      </c>
      <c r="B288" s="456" t="s">
        <v>17824</v>
      </c>
      <c r="C288" s="457" t="s">
        <v>17825</v>
      </c>
      <c r="D288" s="458" t="s">
        <v>22703</v>
      </c>
      <c r="E288" s="458" t="s">
        <v>22711</v>
      </c>
      <c r="F288" s="455" t="s">
        <v>2302</v>
      </c>
      <c r="G288" s="458" t="s">
        <v>16581</v>
      </c>
      <c r="H288" s="459" t="s">
        <v>17826</v>
      </c>
      <c r="I288" s="459" t="s">
        <v>17827</v>
      </c>
      <c r="J288" s="459" t="s">
        <v>17828</v>
      </c>
      <c r="K288" s="473" t="str">
        <f>HYPERLINK("https://www.google.com/maps/dir/?api=1&amp;origin=32.7831,-16.8421&amp;destination=32.7491,-16.7001&amp;travelmode=walking","🗺 Vereda do Larano")</f>
        <v>🗺 Vereda do Larano</v>
      </c>
    </row>
    <row r="289" spans="1:11" ht="20" customHeight="1" x14ac:dyDescent="0.4">
      <c r="A289" s="450">
        <v>279</v>
      </c>
      <c r="B289" s="451" t="s">
        <v>17829</v>
      </c>
      <c r="C289" s="452" t="s">
        <v>17830</v>
      </c>
      <c r="D289" s="453" t="s">
        <v>22704</v>
      </c>
      <c r="E289" s="453" t="s">
        <v>22704</v>
      </c>
      <c r="F289" s="450" t="s">
        <v>16610</v>
      </c>
      <c r="G289" s="453" t="s">
        <v>16581</v>
      </c>
      <c r="H289" s="454" t="s">
        <v>17831</v>
      </c>
      <c r="I289" s="454" t="s">
        <v>17832</v>
      </c>
      <c r="J289" s="454" t="s">
        <v>17833</v>
      </c>
      <c r="K289" s="472" t="str">
        <f>HYPERLINK("https://www.google.com/maps/dir/?api=1&amp;origin=32.7755,-16.8285&amp;destination=32.7755,-16.8285&amp;travelmode=walking","🗺 Passadiço Porto da Cruz")</f>
        <v>🗺 Passadiço Porto da Cruz</v>
      </c>
    </row>
    <row r="290" spans="1:11" ht="20" customHeight="1" x14ac:dyDescent="0.4">
      <c r="A290" s="455">
        <v>280</v>
      </c>
      <c r="B290" s="456" t="s">
        <v>17834</v>
      </c>
      <c r="C290" s="457" t="s">
        <v>7530</v>
      </c>
      <c r="D290" s="458" t="s">
        <v>22705</v>
      </c>
      <c r="E290" s="458" t="s">
        <v>22705</v>
      </c>
      <c r="F290" s="455" t="s">
        <v>16610</v>
      </c>
      <c r="G290" s="458" t="s">
        <v>16575</v>
      </c>
      <c r="H290" s="459" t="s">
        <v>17835</v>
      </c>
      <c r="I290" s="459" t="s">
        <v>17836</v>
      </c>
      <c r="J290" s="459" t="s">
        <v>17837</v>
      </c>
      <c r="K290" s="473" t="str">
        <f>HYPERLINK("https://www.google.com/maps/dir/?api=1&amp;origin=33.1011,-16.3455&amp;destination=33.1011,-16.3455&amp;travelmode=walking","🗺 Caminho Fonte da Areia")</f>
        <v>🗺 Caminho Fonte da Areia</v>
      </c>
    </row>
    <row r="291" spans="1:11" x14ac:dyDescent="0.35">
      <c r="A291" s="1592" t="s">
        <v>16572</v>
      </c>
      <c r="B291" s="1592"/>
      <c r="C291" s="1592"/>
      <c r="D291" s="1592"/>
      <c r="E291" s="1592"/>
      <c r="F291" s="1592"/>
      <c r="G291" s="1592"/>
      <c r="H291" s="1592"/>
      <c r="I291" s="1592"/>
      <c r="J291" s="1592"/>
      <c r="K291" s="1592"/>
    </row>
  </sheetData>
  <mergeCells count="10">
    <mergeCell ref="A250:K250"/>
    <mergeCell ref="A291:K291"/>
    <mergeCell ref="A1:K1"/>
    <mergeCell ref="A2:K2"/>
    <mergeCell ref="A4:K4"/>
    <mergeCell ref="A45:K45"/>
    <mergeCell ref="A86:K86"/>
    <mergeCell ref="A127:K127"/>
    <mergeCell ref="A168:K168"/>
    <mergeCell ref="A209:K20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3EC6-56E2-497E-9786-D3BE77739054}">
  <dimension ref="A1:I559"/>
  <sheetViews>
    <sheetView topLeftCell="B1" workbookViewId="0">
      <pane ySplit="3" topLeftCell="A365" activePane="bottomLeft" state="frozen"/>
      <selection pane="bottomLeft" activeCell="I380" sqref="I380"/>
    </sheetView>
  </sheetViews>
  <sheetFormatPr defaultRowHeight="14.5" x14ac:dyDescent="0.35"/>
  <cols>
    <col min="1" max="1" width="6.36328125" customWidth="1"/>
    <col min="2" max="2" width="36.36328125" customWidth="1"/>
    <col min="3" max="3" width="10.90625" customWidth="1"/>
    <col min="4" max="4" width="21.81640625" customWidth="1"/>
    <col min="5" max="6" width="20" customWidth="1"/>
    <col min="7" max="7" width="18.1796875" customWidth="1"/>
    <col min="8" max="8" width="54.54296875" customWidth="1"/>
    <col min="9" max="9" width="25.453125" customWidth="1"/>
  </cols>
  <sheetData>
    <row r="1" spans="1:9" ht="28" customHeight="1" x14ac:dyDescent="0.55000000000000004">
      <c r="A1" s="1593" t="s">
        <v>19648</v>
      </c>
      <c r="B1" s="1313"/>
      <c r="C1" s="1313"/>
      <c r="D1" s="1313"/>
      <c r="E1" s="1313"/>
      <c r="F1" s="1313"/>
      <c r="G1" s="1313"/>
      <c r="H1" s="1313"/>
      <c r="I1" s="1313"/>
    </row>
    <row r="2" spans="1:9" ht="18" customHeight="1" x14ac:dyDescent="0.4">
      <c r="A2" s="1594" t="s">
        <v>19649</v>
      </c>
      <c r="B2" s="1313"/>
      <c r="C2" s="1313"/>
      <c r="D2" s="1313"/>
      <c r="E2" s="1313"/>
      <c r="F2" s="1313"/>
      <c r="G2" s="1313"/>
      <c r="H2" s="1313"/>
      <c r="I2" s="1313"/>
    </row>
    <row r="3" spans="1:9" ht="22" customHeight="1" x14ac:dyDescent="0.45">
      <c r="A3" s="389" t="s">
        <v>141</v>
      </c>
      <c r="B3" s="389" t="s">
        <v>785</v>
      </c>
      <c r="C3" s="389" t="s">
        <v>619</v>
      </c>
      <c r="D3" s="389" t="s">
        <v>1768</v>
      </c>
      <c r="E3" s="389" t="s">
        <v>620</v>
      </c>
      <c r="F3" s="389" t="s">
        <v>12628</v>
      </c>
      <c r="G3" s="389" t="s">
        <v>8178</v>
      </c>
      <c r="H3" s="389" t="s">
        <v>8</v>
      </c>
      <c r="I3" s="389" t="s">
        <v>789</v>
      </c>
    </row>
    <row r="4" spans="1:9" ht="24" customHeight="1" x14ac:dyDescent="0.45">
      <c r="A4" s="1601" t="s">
        <v>19647</v>
      </c>
      <c r="B4" s="1313"/>
      <c r="C4" s="1313"/>
      <c r="D4" s="1313"/>
      <c r="E4" s="1313"/>
      <c r="F4" s="1313"/>
      <c r="G4" s="1313"/>
      <c r="H4" s="1313"/>
      <c r="I4" s="1313"/>
    </row>
    <row r="5" spans="1:9" ht="20" customHeight="1" x14ac:dyDescent="0.45">
      <c r="A5" s="1595" t="s">
        <v>18618</v>
      </c>
      <c r="B5" s="1313"/>
      <c r="C5" s="1313"/>
      <c r="D5" s="1313"/>
      <c r="E5" s="1313"/>
      <c r="F5" s="1313"/>
      <c r="G5" s="1313"/>
      <c r="H5" s="1313"/>
      <c r="I5" s="1313"/>
    </row>
    <row r="6" spans="1:9" ht="36" customHeight="1" x14ac:dyDescent="0.4">
      <c r="A6" s="672">
        <v>1</v>
      </c>
      <c r="B6" s="671" t="s">
        <v>18630</v>
      </c>
      <c r="C6" s="673" t="s">
        <v>522</v>
      </c>
      <c r="D6" s="671" t="s">
        <v>1065</v>
      </c>
      <c r="E6" s="671" t="s">
        <v>18631</v>
      </c>
      <c r="F6" s="674" t="s">
        <v>5796</v>
      </c>
      <c r="G6" s="675" t="s">
        <v>18632</v>
      </c>
      <c r="H6" s="671" t="s">
        <v>18633</v>
      </c>
      <c r="I6" s="682" t="str">
        <f>HYPERLINK("https://www.google.com/maps/search/Ba%C3%ADa%20do%20Refugo%20Angra%20do%20Hero%C3%ADsmo%20A%C3%A7ores%20Portugal","📍 Baía do Refugo")</f>
        <v>📍 Baía do Refugo</v>
      </c>
    </row>
    <row r="7" spans="1:9" ht="36" customHeight="1" x14ac:dyDescent="0.4">
      <c r="A7" s="678">
        <v>2</v>
      </c>
      <c r="B7" s="677" t="s">
        <v>18634</v>
      </c>
      <c r="C7" s="679" t="s">
        <v>522</v>
      </c>
      <c r="D7" s="677" t="s">
        <v>1065</v>
      </c>
      <c r="E7" s="677" t="s">
        <v>18631</v>
      </c>
      <c r="F7" s="680" t="s">
        <v>5796</v>
      </c>
      <c r="G7" s="681" t="s">
        <v>18632</v>
      </c>
      <c r="H7" s="677" t="s">
        <v>18635</v>
      </c>
      <c r="I7" s="683" t="str">
        <f>HYPERLINK("https://www.google.com/maps/search/Cinco%20Ribeiras%20Angra%20do%20Hero%C3%ADsmo%20A%C3%A7ores%20Portugal","📍 Cinco Ribeiras")</f>
        <v>📍 Cinco Ribeiras</v>
      </c>
    </row>
    <row r="8" spans="1:9" ht="36" customHeight="1" x14ac:dyDescent="0.4">
      <c r="A8" s="672">
        <v>3</v>
      </c>
      <c r="B8" s="671" t="s">
        <v>18636</v>
      </c>
      <c r="C8" s="673" t="s">
        <v>522</v>
      </c>
      <c r="D8" s="671" t="s">
        <v>1065</v>
      </c>
      <c r="E8" s="671" t="s">
        <v>18637</v>
      </c>
      <c r="F8" s="674" t="s">
        <v>5796</v>
      </c>
      <c r="G8" s="675" t="s">
        <v>18632</v>
      </c>
      <c r="H8" s="671" t="s">
        <v>18638</v>
      </c>
      <c r="I8" s="682" t="str">
        <f>HYPERLINK("https://www.google.com/maps/search/Negrito%20Angra%20do%20Hero%C3%ADsmo%20A%C3%A7ores%20Portugal","📍 Negrito")</f>
        <v>📍 Negrito</v>
      </c>
    </row>
    <row r="9" spans="1:9" ht="36" customHeight="1" x14ac:dyDescent="0.4">
      <c r="A9" s="678">
        <v>4</v>
      </c>
      <c r="B9" s="677" t="s">
        <v>18639</v>
      </c>
      <c r="C9" s="679" t="s">
        <v>522</v>
      </c>
      <c r="D9" s="677" t="s">
        <v>1065</v>
      </c>
      <c r="E9" s="677" t="s">
        <v>18631</v>
      </c>
      <c r="F9" s="680" t="s">
        <v>5796</v>
      </c>
      <c r="G9" s="681" t="s">
        <v>18632</v>
      </c>
      <c r="H9" s="677" t="s">
        <v>18640</v>
      </c>
      <c r="I9" s="683" t="str">
        <f>HYPERLINK("https://www.google.com/maps/search/Salga%20Angra%20do%20Hero%C3%ADsmo%20A%C3%A7ores%20Portugal","📍 Salga")</f>
        <v>📍 Salga</v>
      </c>
    </row>
    <row r="10" spans="1:9" ht="36" customHeight="1" x14ac:dyDescent="0.4">
      <c r="A10" s="672">
        <v>5</v>
      </c>
      <c r="B10" s="671" t="s">
        <v>18641</v>
      </c>
      <c r="C10" s="673" t="s">
        <v>522</v>
      </c>
      <c r="D10" s="671" t="s">
        <v>1065</v>
      </c>
      <c r="E10" s="671" t="s">
        <v>18631</v>
      </c>
      <c r="F10" s="674" t="s">
        <v>5796</v>
      </c>
      <c r="G10" s="675" t="s">
        <v>18632</v>
      </c>
      <c r="H10" s="671" t="s">
        <v>18642</v>
      </c>
      <c r="I10" s="682" t="str">
        <f>HYPERLINK("https://www.google.com/maps/search/Salgueiros%20Angra%20do%20Hero%C3%ADsmo%20A%C3%A7ores%20Portugal","📍 Salgueiros")</f>
        <v>📍 Salgueiros</v>
      </c>
    </row>
    <row r="11" spans="1:9" ht="36" customHeight="1" x14ac:dyDescent="0.4">
      <c r="A11" s="678">
        <v>6</v>
      </c>
      <c r="B11" s="677" t="s">
        <v>9914</v>
      </c>
      <c r="C11" s="679" t="s">
        <v>522</v>
      </c>
      <c r="D11" s="677" t="s">
        <v>1065</v>
      </c>
      <c r="E11" s="677" t="s">
        <v>18631</v>
      </c>
      <c r="F11" s="680" t="s">
        <v>5796</v>
      </c>
      <c r="G11" s="681" t="s">
        <v>18632</v>
      </c>
      <c r="H11" s="677" t="s">
        <v>18643</v>
      </c>
      <c r="I11" s="683" t="str">
        <f>HYPERLINK("https://www.google.com/maps/search/Silveira%20Angra%20do%20Hero%C3%ADsmo%20A%C3%A7ores%20Portugal","📍 Silveira")</f>
        <v>📍 Silveira</v>
      </c>
    </row>
    <row r="12" spans="1:9" ht="36" customHeight="1" x14ac:dyDescent="0.4">
      <c r="A12" s="672">
        <v>7</v>
      </c>
      <c r="B12" s="671" t="s">
        <v>18644</v>
      </c>
      <c r="C12" s="673" t="s">
        <v>522</v>
      </c>
      <c r="D12" s="671" t="s">
        <v>1065</v>
      </c>
      <c r="E12" s="671" t="s">
        <v>18645</v>
      </c>
      <c r="F12" s="674" t="s">
        <v>5796</v>
      </c>
      <c r="G12" s="675" t="s">
        <v>18632</v>
      </c>
      <c r="H12" s="671" t="s">
        <v>18646</v>
      </c>
      <c r="I12" s="682" t="str">
        <f>HYPERLINK("https://www.google.com/maps/search/Marina%20de%20Angra%20do%20Hero%C3%ADsmo%20Angra%20do%20Hero%C3%ADsmo%20A%C3%A7ores%20Portugal","📍 Marina de Angra do Heroísmo")</f>
        <v>📍 Marina de Angra do Heroísmo</v>
      </c>
    </row>
    <row r="13" spans="1:9" ht="20" customHeight="1" x14ac:dyDescent="0.45">
      <c r="A13" s="1595" t="s">
        <v>18619</v>
      </c>
      <c r="B13" s="1313"/>
      <c r="C13" s="1313"/>
      <c r="D13" s="1313"/>
      <c r="E13" s="1313"/>
      <c r="F13" s="1313"/>
      <c r="G13" s="1313"/>
      <c r="H13" s="1313"/>
      <c r="I13" s="1313"/>
    </row>
    <row r="14" spans="1:9" ht="36" customHeight="1" x14ac:dyDescent="0.4">
      <c r="A14" s="678">
        <v>8</v>
      </c>
      <c r="B14" s="677" t="s">
        <v>18647</v>
      </c>
      <c r="C14" s="679" t="s">
        <v>522</v>
      </c>
      <c r="D14" s="677" t="s">
        <v>6052</v>
      </c>
      <c r="E14" s="677" t="s">
        <v>18631</v>
      </c>
      <c r="F14" s="680" t="s">
        <v>18648</v>
      </c>
      <c r="G14" s="681" t="s">
        <v>18632</v>
      </c>
      <c r="H14" s="677" t="s">
        <v>18649</v>
      </c>
      <c r="I14" s="683" t="str">
        <f>HYPERLINK("https://www.google.com/maps/search/Almoxarife%20Horta%20A%C3%A7ores%20Portugal","📍 Almoxarife")</f>
        <v>📍 Almoxarife</v>
      </c>
    </row>
    <row r="15" spans="1:9" ht="36" customHeight="1" x14ac:dyDescent="0.4">
      <c r="A15" s="672">
        <v>9</v>
      </c>
      <c r="B15" s="671" t="s">
        <v>1713</v>
      </c>
      <c r="C15" s="673" t="s">
        <v>522</v>
      </c>
      <c r="D15" s="671" t="s">
        <v>6052</v>
      </c>
      <c r="E15" s="671" t="s">
        <v>18631</v>
      </c>
      <c r="F15" s="674" t="s">
        <v>18648</v>
      </c>
      <c r="G15" s="675" t="s">
        <v>18632</v>
      </c>
      <c r="H15" s="671" t="s">
        <v>18650</v>
      </c>
      <c r="I15" s="682" t="str">
        <f>HYPERLINK("https://www.google.com/maps/search/Castelo%20Branco%20Horta%20A%C3%A7ores%20Portugal","📍 Castelo Branco")</f>
        <v>📍 Castelo Branco</v>
      </c>
    </row>
    <row r="16" spans="1:9" ht="36" customHeight="1" x14ac:dyDescent="0.4">
      <c r="A16" s="678">
        <v>10</v>
      </c>
      <c r="B16" s="677" t="s">
        <v>18651</v>
      </c>
      <c r="C16" s="679" t="s">
        <v>522</v>
      </c>
      <c r="D16" s="677" t="s">
        <v>6052</v>
      </c>
      <c r="E16" s="677" t="s">
        <v>18631</v>
      </c>
      <c r="F16" s="680" t="s">
        <v>18648</v>
      </c>
      <c r="G16" s="681" t="s">
        <v>18632</v>
      </c>
      <c r="H16" s="677" t="s">
        <v>18652</v>
      </c>
      <c r="I16" s="683" t="str">
        <f>HYPERLINK("https://www.google.com/maps/search/Porto%20Pim%20Horta%20A%C3%A7ores%20Portugal","📍 Porto Pim")</f>
        <v>📍 Porto Pim</v>
      </c>
    </row>
    <row r="17" spans="1:9" ht="36" customHeight="1" x14ac:dyDescent="0.4">
      <c r="A17" s="672">
        <v>11</v>
      </c>
      <c r="B17" s="671" t="s">
        <v>15506</v>
      </c>
      <c r="C17" s="673" t="s">
        <v>522</v>
      </c>
      <c r="D17" s="671" t="s">
        <v>6052</v>
      </c>
      <c r="E17" s="671" t="s">
        <v>18653</v>
      </c>
      <c r="F17" s="674" t="s">
        <v>18648</v>
      </c>
      <c r="G17" s="675" t="s">
        <v>18632</v>
      </c>
      <c r="H17" s="671" t="s">
        <v>18654</v>
      </c>
      <c r="I17" s="682" t="str">
        <f>HYPERLINK("https://www.google.com/maps/search/Varadouro%20Horta%20A%C3%A7ores%20Portugal","📍 Varadouro")</f>
        <v>📍 Varadouro</v>
      </c>
    </row>
    <row r="18" spans="1:9" ht="36" customHeight="1" x14ac:dyDescent="0.4">
      <c r="A18" s="678">
        <v>12</v>
      </c>
      <c r="B18" s="677" t="s">
        <v>18655</v>
      </c>
      <c r="C18" s="679" t="s">
        <v>522</v>
      </c>
      <c r="D18" s="677" t="s">
        <v>6052</v>
      </c>
      <c r="E18" s="677" t="s">
        <v>18645</v>
      </c>
      <c r="F18" s="680" t="s">
        <v>18648</v>
      </c>
      <c r="G18" s="681" t="s">
        <v>18632</v>
      </c>
      <c r="H18" s="677" t="s">
        <v>18656</v>
      </c>
      <c r="I18" s="683" t="str">
        <f>HYPERLINK("https://www.google.com/maps/search/Marina%20da%20Horta%20Horta%20A%C3%A7ores%20Portugal","📍 Marina da Horta")</f>
        <v>📍 Marina da Horta</v>
      </c>
    </row>
    <row r="19" spans="1:9" ht="20" customHeight="1" x14ac:dyDescent="0.45">
      <c r="A19" s="1595" t="s">
        <v>18620</v>
      </c>
      <c r="B19" s="1313"/>
      <c r="C19" s="1313"/>
      <c r="D19" s="1313"/>
      <c r="E19" s="1313"/>
      <c r="F19" s="1313"/>
      <c r="G19" s="1313"/>
      <c r="H19" s="1313"/>
      <c r="I19" s="1313"/>
    </row>
    <row r="20" spans="1:9" ht="36" customHeight="1" x14ac:dyDescent="0.4">
      <c r="A20" s="672">
        <v>13</v>
      </c>
      <c r="B20" s="671" t="s">
        <v>18657</v>
      </c>
      <c r="C20" s="673" t="s">
        <v>522</v>
      </c>
      <c r="D20" s="671" t="s">
        <v>2190</v>
      </c>
      <c r="E20" s="671" t="s">
        <v>18631</v>
      </c>
      <c r="F20" s="674" t="s">
        <v>18658</v>
      </c>
      <c r="G20" s="675" t="s">
        <v>18632</v>
      </c>
      <c r="H20" s="671" t="s">
        <v>18659</v>
      </c>
      <c r="I20" s="682" t="str">
        <f>HYPERLINK("https://www.google.com/maps/search/Baixa%20da%20Areia%20Lagoa%20A%C3%A7ores%20Portugal","📍 Baixa da Areia")</f>
        <v>📍 Baixa da Areia</v>
      </c>
    </row>
    <row r="21" spans="1:9" ht="36" customHeight="1" x14ac:dyDescent="0.4">
      <c r="A21" s="678">
        <v>14</v>
      </c>
      <c r="B21" s="677" t="s">
        <v>18660</v>
      </c>
      <c r="C21" s="679" t="s">
        <v>522</v>
      </c>
      <c r="D21" s="677" t="s">
        <v>2190</v>
      </c>
      <c r="E21" s="677" t="s">
        <v>18631</v>
      </c>
      <c r="F21" s="680" t="s">
        <v>18658</v>
      </c>
      <c r="G21" s="681" t="s">
        <v>18632</v>
      </c>
      <c r="H21" s="677" t="s">
        <v>18661</v>
      </c>
      <c r="I21" s="683" t="str">
        <f>HYPERLINK("https://www.google.com/maps/search/Caloura%20Lagoa%20A%C3%A7ores%20Portugal","📍 Caloura")</f>
        <v>📍 Caloura</v>
      </c>
    </row>
    <row r="22" spans="1:9" ht="36" customHeight="1" x14ac:dyDescent="0.4">
      <c r="A22" s="672">
        <v>15</v>
      </c>
      <c r="B22" s="671" t="s">
        <v>18662</v>
      </c>
      <c r="C22" s="673" t="s">
        <v>522</v>
      </c>
      <c r="D22" s="671" t="s">
        <v>2190</v>
      </c>
      <c r="E22" s="671" t="s">
        <v>18637</v>
      </c>
      <c r="F22" s="674" t="s">
        <v>18658</v>
      </c>
      <c r="G22" s="675" t="s">
        <v>18632</v>
      </c>
      <c r="H22" s="671" t="s">
        <v>18663</v>
      </c>
      <c r="I22" s="682" t="str">
        <f>HYPERLINK("https://www.google.com/maps/search/Zona%20Balnear%20da%20Lagoa%20Lagoa%20A%C3%A7ores%20Portugal","📍 Zona Balnear da Lagoa")</f>
        <v>📍 Zona Balnear da Lagoa</v>
      </c>
    </row>
    <row r="23" spans="1:9" ht="20" customHeight="1" x14ac:dyDescent="0.45">
      <c r="A23" s="1595" t="s">
        <v>18621</v>
      </c>
      <c r="B23" s="1313"/>
      <c r="C23" s="1313"/>
      <c r="D23" s="1313"/>
      <c r="E23" s="1313"/>
      <c r="F23" s="1313"/>
      <c r="G23" s="1313"/>
      <c r="H23" s="1313"/>
      <c r="I23" s="1313"/>
    </row>
    <row r="24" spans="1:9" ht="36" customHeight="1" x14ac:dyDescent="0.4">
      <c r="A24" s="678">
        <v>16</v>
      </c>
      <c r="B24" s="677" t="s">
        <v>18664</v>
      </c>
      <c r="C24" s="679" t="s">
        <v>522</v>
      </c>
      <c r="D24" s="677" t="s">
        <v>5326</v>
      </c>
      <c r="E24" s="677" t="s">
        <v>18665</v>
      </c>
      <c r="F24" s="680" t="s">
        <v>5793</v>
      </c>
      <c r="G24" s="681" t="s">
        <v>18632</v>
      </c>
      <c r="H24" s="677" t="s">
        <v>18666</v>
      </c>
      <c r="I24" s="683" t="str">
        <f>HYPERLINK("https://www.google.com/maps/search/N%C3%BAcleo%20de%20Recreio%20N%C3%A1utico%20das%20Lajes%20do%20Pico%20Lajes%20do%20Pico%20A%C3%A7ores%20Portugal","📍 Núcleo de Recreio Náutico das Lajes do Pico")</f>
        <v>📍 Núcleo de Recreio Náutico das Lajes do Pico</v>
      </c>
    </row>
    <row r="25" spans="1:9" ht="20" customHeight="1" x14ac:dyDescent="0.45">
      <c r="A25" s="1595" t="s">
        <v>18622</v>
      </c>
      <c r="B25" s="1313"/>
      <c r="C25" s="1313"/>
      <c r="D25" s="1313"/>
      <c r="E25" s="1313"/>
      <c r="F25" s="1313"/>
      <c r="G25" s="1313"/>
      <c r="H25" s="1313"/>
      <c r="I25" s="1313"/>
    </row>
    <row r="26" spans="1:9" ht="36" customHeight="1" x14ac:dyDescent="0.4">
      <c r="A26" s="672">
        <v>17</v>
      </c>
      <c r="B26" s="671" t="s">
        <v>18667</v>
      </c>
      <c r="C26" s="673" t="s">
        <v>522</v>
      </c>
      <c r="D26" s="671" t="s">
        <v>1086</v>
      </c>
      <c r="E26" s="671" t="s">
        <v>18637</v>
      </c>
      <c r="F26" s="674" t="s">
        <v>18658</v>
      </c>
      <c r="G26" s="675" t="s">
        <v>18632</v>
      </c>
      <c r="H26" s="671" t="s">
        <v>18668</v>
      </c>
      <c r="I26" s="682" t="str">
        <f>HYPERLINK("https://www.google.com/maps/search/Forno%20da%20Cal%20Ponta%20Delgada%20A%C3%A7ores%20Portugal","📍 Forno da Cal")</f>
        <v>📍 Forno da Cal</v>
      </c>
    </row>
    <row r="27" spans="1:9" ht="36" customHeight="1" x14ac:dyDescent="0.4">
      <c r="A27" s="678">
        <v>18</v>
      </c>
      <c r="B27" s="677" t="s">
        <v>18669</v>
      </c>
      <c r="C27" s="679" t="s">
        <v>522</v>
      </c>
      <c r="D27" s="677" t="s">
        <v>1086</v>
      </c>
      <c r="E27" s="677" t="s">
        <v>18631</v>
      </c>
      <c r="F27" s="680" t="s">
        <v>18658</v>
      </c>
      <c r="G27" s="681" t="s">
        <v>18632</v>
      </c>
      <c r="H27" s="677" t="s">
        <v>18670</v>
      </c>
      <c r="I27" s="683" t="str">
        <f>HYPERLINK("https://www.google.com/maps/search/Mil%C3%ADcias%20Ponta%20Delgada%20A%C3%A7ores%20Portugal","📍 Milícias")</f>
        <v>📍 Milícias</v>
      </c>
    </row>
    <row r="28" spans="1:9" ht="36" customHeight="1" x14ac:dyDescent="0.4">
      <c r="A28" s="672">
        <v>19</v>
      </c>
      <c r="B28" s="671" t="s">
        <v>18671</v>
      </c>
      <c r="C28" s="673" t="s">
        <v>522</v>
      </c>
      <c r="D28" s="671" t="s">
        <v>1086</v>
      </c>
      <c r="E28" s="671" t="s">
        <v>18637</v>
      </c>
      <c r="F28" s="674" t="s">
        <v>18658</v>
      </c>
      <c r="G28" s="675" t="s">
        <v>18632</v>
      </c>
      <c r="H28" s="671" t="s">
        <v>18672</v>
      </c>
      <c r="I28" s="682" t="str">
        <f>HYPERLINK("https://www.google.com/maps/search/Po%C3%A7as%20Sul%20dos%20Mosteiros%20Ponta%20Delgada%20A%C3%A7ores%20Portugal","📍 Poças Sul dos Mosteiros")</f>
        <v>📍 Poças Sul dos Mosteiros</v>
      </c>
    </row>
    <row r="29" spans="1:9" ht="36" customHeight="1" x14ac:dyDescent="0.4">
      <c r="A29" s="678">
        <v>20</v>
      </c>
      <c r="B29" s="677" t="s">
        <v>18673</v>
      </c>
      <c r="C29" s="679" t="s">
        <v>522</v>
      </c>
      <c r="D29" s="677" t="s">
        <v>1086</v>
      </c>
      <c r="E29" s="677" t="s">
        <v>18637</v>
      </c>
      <c r="F29" s="680" t="s">
        <v>18658</v>
      </c>
      <c r="G29" s="681" t="s">
        <v>18632</v>
      </c>
      <c r="H29" s="677" t="s">
        <v>18674</v>
      </c>
      <c r="I29" s="683" t="str">
        <f>HYPERLINK("https://www.google.com/maps/search/Po%C3%A7os%20S.%20Vicente%20Ferreira%20Ponta%20Delgada%20A%C3%A7ores%20Portugal","📍 Poços S. Vicente Ferreira")</f>
        <v>📍 Poços S. Vicente Ferreira</v>
      </c>
    </row>
    <row r="30" spans="1:9" ht="36" customHeight="1" x14ac:dyDescent="0.4">
      <c r="A30" s="672">
        <v>21</v>
      </c>
      <c r="B30" s="671" t="s">
        <v>18675</v>
      </c>
      <c r="C30" s="673" t="s">
        <v>522</v>
      </c>
      <c r="D30" s="671" t="s">
        <v>1086</v>
      </c>
      <c r="E30" s="671" t="s">
        <v>18631</v>
      </c>
      <c r="F30" s="674" t="s">
        <v>18658</v>
      </c>
      <c r="G30" s="675" t="s">
        <v>18632</v>
      </c>
      <c r="H30" s="671" t="s">
        <v>18676</v>
      </c>
      <c r="I30" s="682" t="str">
        <f>HYPERLINK("https://www.google.com/maps/search/P%C3%B3pulo%20Ponta%20Delgada%20A%C3%A7ores%20Portugal","📍 Pópulo")</f>
        <v>📍 Pópulo</v>
      </c>
    </row>
    <row r="31" spans="1:9" ht="36" customHeight="1" x14ac:dyDescent="0.4">
      <c r="A31" s="678">
        <v>22</v>
      </c>
      <c r="B31" s="677" t="s">
        <v>18677</v>
      </c>
      <c r="C31" s="679" t="s">
        <v>522</v>
      </c>
      <c r="D31" s="677" t="s">
        <v>1086</v>
      </c>
      <c r="E31" s="677" t="s">
        <v>18645</v>
      </c>
      <c r="F31" s="680" t="s">
        <v>18658</v>
      </c>
      <c r="G31" s="681" t="s">
        <v>18632</v>
      </c>
      <c r="H31" s="677" t="s">
        <v>18678</v>
      </c>
      <c r="I31" s="683" t="str">
        <f>HYPERLINK("https://www.google.com/maps/search/Marina%20de%20Ponta%20Delgada%20Ponta%20Delgada%20A%C3%A7ores%20Portugal","📍 Marina de Ponta Delgada")</f>
        <v>📍 Marina de Ponta Delgada</v>
      </c>
    </row>
    <row r="32" spans="1:9" ht="20" customHeight="1" x14ac:dyDescent="0.45">
      <c r="A32" s="1595" t="s">
        <v>18623</v>
      </c>
      <c r="B32" s="1313"/>
      <c r="C32" s="1313"/>
      <c r="D32" s="1313"/>
      <c r="E32" s="1313"/>
      <c r="F32" s="1313"/>
      <c r="G32" s="1313"/>
      <c r="H32" s="1313"/>
      <c r="I32" s="1313"/>
    </row>
    <row r="33" spans="1:9" ht="36" customHeight="1" x14ac:dyDescent="0.4">
      <c r="A33" s="672">
        <v>23</v>
      </c>
      <c r="B33" s="671" t="s">
        <v>18679</v>
      </c>
      <c r="C33" s="673" t="s">
        <v>522</v>
      </c>
      <c r="D33" s="671" t="s">
        <v>18680</v>
      </c>
      <c r="E33" s="671" t="s">
        <v>18631</v>
      </c>
      <c r="F33" s="674" t="s">
        <v>18658</v>
      </c>
      <c r="G33" s="675" t="s">
        <v>18632</v>
      </c>
      <c r="H33" s="671" t="s">
        <v>18681</v>
      </c>
      <c r="I33" s="682" t="str">
        <f>HYPERLINK("https://www.google.com/maps/search/Morro%20Povoa%C3%A7%C3%A3o%20A%C3%A7ores%20Portugal","📍 Morro")</f>
        <v>📍 Morro</v>
      </c>
    </row>
    <row r="34" spans="1:9" ht="36" customHeight="1" x14ac:dyDescent="0.4">
      <c r="A34" s="678">
        <v>24</v>
      </c>
      <c r="B34" s="677" t="s">
        <v>18682</v>
      </c>
      <c r="C34" s="679" t="s">
        <v>522</v>
      </c>
      <c r="D34" s="677" t="s">
        <v>18680</v>
      </c>
      <c r="E34" s="677" t="s">
        <v>18631</v>
      </c>
      <c r="F34" s="680" t="s">
        <v>18658</v>
      </c>
      <c r="G34" s="681" t="s">
        <v>18632</v>
      </c>
      <c r="H34" s="677" t="s">
        <v>18683</v>
      </c>
      <c r="I34" s="683" t="str">
        <f>HYPERLINK("https://www.google.com/maps/search/Portinho%20do%20Faial%20da%20Terra%20Povoa%C3%A7%C3%A3o%20A%C3%A7ores%20Portugal","📍 Portinho do Faial da Terra")</f>
        <v>📍 Portinho do Faial da Terra</v>
      </c>
    </row>
    <row r="35" spans="1:9" ht="36" customHeight="1" x14ac:dyDescent="0.4">
      <c r="A35" s="672">
        <v>25</v>
      </c>
      <c r="B35" s="671" t="s">
        <v>18684</v>
      </c>
      <c r="C35" s="673" t="s">
        <v>522</v>
      </c>
      <c r="D35" s="671" t="s">
        <v>18680</v>
      </c>
      <c r="E35" s="671" t="s">
        <v>18631</v>
      </c>
      <c r="F35" s="674" t="s">
        <v>18658</v>
      </c>
      <c r="G35" s="675" t="s">
        <v>18632</v>
      </c>
      <c r="H35" s="671" t="s">
        <v>18685</v>
      </c>
      <c r="I35" s="682" t="str">
        <f>HYPERLINK("https://www.google.com/maps/search/Praia%20do%20Fogo%20Povoa%C3%A7%C3%A3o%20A%C3%A7ores%20Portugal","📍 Praia do Fogo")</f>
        <v>📍 Praia do Fogo</v>
      </c>
    </row>
    <row r="36" spans="1:9" ht="20" customHeight="1" x14ac:dyDescent="0.45">
      <c r="A36" s="1595" t="s">
        <v>18624</v>
      </c>
      <c r="B36" s="1313"/>
      <c r="C36" s="1313"/>
      <c r="D36" s="1313"/>
      <c r="E36" s="1313"/>
      <c r="F36" s="1313"/>
      <c r="G36" s="1313"/>
      <c r="H36" s="1313"/>
      <c r="I36" s="1313"/>
    </row>
    <row r="37" spans="1:9" ht="36" customHeight="1" x14ac:dyDescent="0.4">
      <c r="A37" s="678">
        <v>26</v>
      </c>
      <c r="B37" s="677" t="s">
        <v>3141</v>
      </c>
      <c r="C37" s="679" t="s">
        <v>522</v>
      </c>
      <c r="D37" s="677" t="s">
        <v>10017</v>
      </c>
      <c r="E37" s="677" t="s">
        <v>18637</v>
      </c>
      <c r="F37" s="680" t="s">
        <v>5796</v>
      </c>
      <c r="G37" s="681" t="s">
        <v>18632</v>
      </c>
      <c r="H37" s="677" t="s">
        <v>18686</v>
      </c>
      <c r="I37" s="683" t="str">
        <f>HYPERLINK("https://www.google.com/maps/search/Biscoitos%20Praia%20da%20Vit%C3%B3ria%20A%C3%A7ores%20Portugal","📍 Biscoitos")</f>
        <v>📍 Biscoitos</v>
      </c>
    </row>
    <row r="38" spans="1:9" ht="36" customHeight="1" x14ac:dyDescent="0.4">
      <c r="A38" s="672">
        <v>27</v>
      </c>
      <c r="B38" s="671" t="s">
        <v>18687</v>
      </c>
      <c r="C38" s="673" t="s">
        <v>522</v>
      </c>
      <c r="D38" s="671" t="s">
        <v>10017</v>
      </c>
      <c r="E38" s="671" t="s">
        <v>18631</v>
      </c>
      <c r="F38" s="674" t="s">
        <v>5796</v>
      </c>
      <c r="G38" s="675" t="s">
        <v>18632</v>
      </c>
      <c r="H38" s="671" t="s">
        <v>18688</v>
      </c>
      <c r="I38" s="682" t="str">
        <f>HYPERLINK("https://www.google.com/maps/search/Calheta%20dos%20Lagadores%20Praia%20da%20Vit%C3%B3ria%20A%C3%A7ores%20Portugal","📍 Calheta dos Lagadores")</f>
        <v>📍 Calheta dos Lagadores</v>
      </c>
    </row>
    <row r="39" spans="1:9" ht="36" customHeight="1" x14ac:dyDescent="0.4">
      <c r="A39" s="678">
        <v>28</v>
      </c>
      <c r="B39" s="677" t="s">
        <v>18689</v>
      </c>
      <c r="C39" s="679" t="s">
        <v>522</v>
      </c>
      <c r="D39" s="677" t="s">
        <v>10017</v>
      </c>
      <c r="E39" s="677" t="s">
        <v>18631</v>
      </c>
      <c r="F39" s="680" t="s">
        <v>5796</v>
      </c>
      <c r="G39" s="681" t="s">
        <v>18632</v>
      </c>
      <c r="H39" s="677" t="s">
        <v>18690</v>
      </c>
      <c r="I39" s="683" t="str">
        <f>HYPERLINK("https://www.google.com/maps/search/Escaleiras%20Praia%20da%20Vit%C3%B3ria%20A%C3%A7ores%20Portugal","📍 Escaleiras")</f>
        <v>📍 Escaleiras</v>
      </c>
    </row>
    <row r="40" spans="1:9" ht="36" customHeight="1" x14ac:dyDescent="0.4">
      <c r="A40" s="672">
        <v>29</v>
      </c>
      <c r="B40" s="671" t="s">
        <v>18691</v>
      </c>
      <c r="C40" s="673" t="s">
        <v>522</v>
      </c>
      <c r="D40" s="671" t="s">
        <v>10017</v>
      </c>
      <c r="E40" s="671" t="s">
        <v>18631</v>
      </c>
      <c r="F40" s="674" t="s">
        <v>5796</v>
      </c>
      <c r="G40" s="675" t="s">
        <v>18632</v>
      </c>
      <c r="H40" s="671" t="s">
        <v>18692</v>
      </c>
      <c r="I40" s="682" t="str">
        <f>HYPERLINK("https://www.google.com/maps/search/Grande%20Praia%20da%20Vit%C3%B3ria%20A%C3%A7ores%20Portugal","📍 Grande")</f>
        <v>📍 Grande</v>
      </c>
    </row>
    <row r="41" spans="1:9" ht="36" customHeight="1" x14ac:dyDescent="0.4">
      <c r="A41" s="678">
        <v>30</v>
      </c>
      <c r="B41" s="677" t="s">
        <v>18693</v>
      </c>
      <c r="C41" s="679" t="s">
        <v>522</v>
      </c>
      <c r="D41" s="677" t="s">
        <v>10017</v>
      </c>
      <c r="E41" s="677" t="s">
        <v>18631</v>
      </c>
      <c r="F41" s="680" t="s">
        <v>5796</v>
      </c>
      <c r="G41" s="681" t="s">
        <v>18632</v>
      </c>
      <c r="H41" s="677" t="s">
        <v>18694</v>
      </c>
      <c r="I41" s="683" t="str">
        <f>HYPERLINK("https://www.google.com/maps/search/Porto%20Martins%20Praia%20da%20Vit%C3%B3ria%20A%C3%A7ores%20Portugal","📍 Porto Martins")</f>
        <v>📍 Porto Martins</v>
      </c>
    </row>
    <row r="42" spans="1:9" ht="36" customHeight="1" x14ac:dyDescent="0.4">
      <c r="A42" s="672">
        <v>31</v>
      </c>
      <c r="B42" s="671" t="s">
        <v>18695</v>
      </c>
      <c r="C42" s="673" t="s">
        <v>522</v>
      </c>
      <c r="D42" s="671" t="s">
        <v>10017</v>
      </c>
      <c r="E42" s="671" t="s">
        <v>18631</v>
      </c>
      <c r="F42" s="674" t="s">
        <v>5796</v>
      </c>
      <c r="G42" s="675" t="s">
        <v>18632</v>
      </c>
      <c r="H42" s="671" t="s">
        <v>18696</v>
      </c>
      <c r="I42" s="682" t="str">
        <f>HYPERLINK("https://www.google.com/maps/search/Praia%20da%20Riviera%20Praia%20da%20Vit%C3%B3ria%20A%C3%A7ores%20Portugal","📍 Praia da Riviera")</f>
        <v>📍 Praia da Riviera</v>
      </c>
    </row>
    <row r="43" spans="1:9" ht="36" customHeight="1" x14ac:dyDescent="0.4">
      <c r="A43" s="678">
        <v>32</v>
      </c>
      <c r="B43" s="677" t="s">
        <v>18697</v>
      </c>
      <c r="C43" s="679" t="s">
        <v>522</v>
      </c>
      <c r="D43" s="677" t="s">
        <v>10017</v>
      </c>
      <c r="E43" s="677" t="s">
        <v>18631</v>
      </c>
      <c r="F43" s="680" t="s">
        <v>5796</v>
      </c>
      <c r="G43" s="681" t="s">
        <v>18632</v>
      </c>
      <c r="H43" s="677" t="s">
        <v>18698</v>
      </c>
      <c r="I43" s="683" t="str">
        <f>HYPERLINK("https://www.google.com/maps/search/Prainha%20(Praia%20da%20Vit%C3%B3ria)%20Praia%20da%20Vit%C3%B3ria%20A%C3%A7ores%20Portugal","📍 Prainha (Praia da Vitória)")</f>
        <v>📍 Prainha (Praia da Vitória)</v>
      </c>
    </row>
    <row r="44" spans="1:9" ht="36" customHeight="1" x14ac:dyDescent="0.4">
      <c r="A44" s="672">
        <v>33</v>
      </c>
      <c r="B44" s="671" t="s">
        <v>18699</v>
      </c>
      <c r="C44" s="673" t="s">
        <v>522</v>
      </c>
      <c r="D44" s="671" t="s">
        <v>10017</v>
      </c>
      <c r="E44" s="671" t="s">
        <v>18631</v>
      </c>
      <c r="F44" s="674" t="s">
        <v>5796</v>
      </c>
      <c r="G44" s="675" t="s">
        <v>18632</v>
      </c>
      <c r="H44" s="671" t="s">
        <v>18700</v>
      </c>
      <c r="I44" s="682" t="str">
        <f>HYPERLINK("https://www.google.com/maps/search/Quatro%20Ribeiras%20Praia%20da%20Vit%C3%B3ria%20A%C3%A7ores%20Portugal","📍 Quatro Ribeiras")</f>
        <v>📍 Quatro Ribeiras</v>
      </c>
    </row>
    <row r="45" spans="1:9" ht="36" customHeight="1" x14ac:dyDescent="0.4">
      <c r="A45" s="678">
        <v>34</v>
      </c>
      <c r="B45" s="677" t="s">
        <v>18701</v>
      </c>
      <c r="C45" s="679" t="s">
        <v>522</v>
      </c>
      <c r="D45" s="677" t="s">
        <v>10017</v>
      </c>
      <c r="E45" s="677" t="s">
        <v>18645</v>
      </c>
      <c r="F45" s="680" t="s">
        <v>5796</v>
      </c>
      <c r="G45" s="681" t="s">
        <v>18632</v>
      </c>
      <c r="H45" s="677" t="s">
        <v>18702</v>
      </c>
      <c r="I45" s="683" t="str">
        <f>HYPERLINK("https://www.google.com/maps/search/Marina%20da%20Vila%20Praia%20da%20Vit%C3%B3ria%20Praia%20da%20Vit%C3%B3ria%20A%C3%A7ores%20Portugal","📍 Marina da Vila Praia da Vitória")</f>
        <v>📍 Marina da Vila Praia da Vitória</v>
      </c>
    </row>
    <row r="46" spans="1:9" ht="20" customHeight="1" x14ac:dyDescent="0.45">
      <c r="A46" s="1595" t="s">
        <v>18625</v>
      </c>
      <c r="B46" s="1313"/>
      <c r="C46" s="1313"/>
      <c r="D46" s="1313"/>
      <c r="E46" s="1313"/>
      <c r="F46" s="1313"/>
      <c r="G46" s="1313"/>
      <c r="H46" s="1313"/>
      <c r="I46" s="1313"/>
    </row>
    <row r="47" spans="1:9" ht="36" customHeight="1" x14ac:dyDescent="0.4">
      <c r="A47" s="672">
        <v>35</v>
      </c>
      <c r="B47" s="671" t="s">
        <v>18703</v>
      </c>
      <c r="C47" s="673" t="s">
        <v>522</v>
      </c>
      <c r="D47" s="671" t="s">
        <v>6024</v>
      </c>
      <c r="E47" s="671" t="s">
        <v>18631</v>
      </c>
      <c r="F47" s="674" t="s">
        <v>18658</v>
      </c>
      <c r="G47" s="675" t="s">
        <v>18632</v>
      </c>
      <c r="H47" s="671" t="s">
        <v>18704</v>
      </c>
      <c r="I47" s="682" t="str">
        <f>HYPERLINK("https://www.google.com/maps/search/Areal%20Sta.%20B%C3%A1rbara%20Ribeira%20Grande%20A%C3%A7ores%20Portugal","📍 Areal Sta. Bárbara")</f>
        <v>📍 Areal Sta. Bárbara</v>
      </c>
    </row>
    <row r="48" spans="1:9" ht="36" customHeight="1" x14ac:dyDescent="0.4">
      <c r="A48" s="678">
        <v>36</v>
      </c>
      <c r="B48" s="677" t="s">
        <v>18705</v>
      </c>
      <c r="C48" s="679" t="s">
        <v>522</v>
      </c>
      <c r="D48" s="677" t="s">
        <v>6024</v>
      </c>
      <c r="E48" s="677" t="s">
        <v>18631</v>
      </c>
      <c r="F48" s="680" t="s">
        <v>18658</v>
      </c>
      <c r="G48" s="681" t="s">
        <v>18632</v>
      </c>
      <c r="H48" s="677" t="s">
        <v>18706</v>
      </c>
      <c r="I48" s="683" t="str">
        <f>HYPERLINK("https://www.google.com/maps/search/Calhetas%20Ribeira%20Grande%20A%C3%A7ores%20Portugal","📍 Calhetas")</f>
        <v>📍 Calhetas</v>
      </c>
    </row>
    <row r="49" spans="1:9" ht="36" customHeight="1" x14ac:dyDescent="0.4">
      <c r="A49" s="672">
        <v>37</v>
      </c>
      <c r="B49" s="671" t="s">
        <v>18707</v>
      </c>
      <c r="C49" s="673" t="s">
        <v>522</v>
      </c>
      <c r="D49" s="671" t="s">
        <v>6024</v>
      </c>
      <c r="E49" s="671" t="s">
        <v>18631</v>
      </c>
      <c r="F49" s="674" t="s">
        <v>18658</v>
      </c>
      <c r="G49" s="675" t="s">
        <v>18632</v>
      </c>
      <c r="H49" s="671" t="s">
        <v>18708</v>
      </c>
      <c r="I49" s="682" t="str">
        <f>HYPERLINK("https://www.google.com/maps/search/Calhetas%20da%20Maia%20Ribeira%20Grande%20A%C3%A7ores%20Portugal","📍 Calhetas da Maia")</f>
        <v>📍 Calhetas da Maia</v>
      </c>
    </row>
    <row r="50" spans="1:9" ht="36" customHeight="1" x14ac:dyDescent="0.4">
      <c r="A50" s="678">
        <v>38</v>
      </c>
      <c r="B50" s="677" t="s">
        <v>18709</v>
      </c>
      <c r="C50" s="679" t="s">
        <v>522</v>
      </c>
      <c r="D50" s="677" t="s">
        <v>6024</v>
      </c>
      <c r="E50" s="677" t="s">
        <v>18637</v>
      </c>
      <c r="F50" s="680" t="s">
        <v>18658</v>
      </c>
      <c r="G50" s="681" t="s">
        <v>18632</v>
      </c>
      <c r="H50" s="677" t="s">
        <v>18710</v>
      </c>
      <c r="I50" s="683" t="str">
        <f>HYPERLINK("https://www.google.com/maps/search/Po%C3%A7as%20da%20Ribeira%20Grande%20Ribeira%20Grande%20A%C3%A7ores%20Portugal","📍 Poças da Ribeira Grande")</f>
        <v>📍 Poças da Ribeira Grande</v>
      </c>
    </row>
    <row r="51" spans="1:9" ht="36" customHeight="1" x14ac:dyDescent="0.4">
      <c r="A51" s="672">
        <v>39</v>
      </c>
      <c r="B51" s="671" t="s">
        <v>18711</v>
      </c>
      <c r="C51" s="673" t="s">
        <v>522</v>
      </c>
      <c r="D51" s="671" t="s">
        <v>6024</v>
      </c>
      <c r="E51" s="671" t="s">
        <v>18631</v>
      </c>
      <c r="F51" s="674" t="s">
        <v>18658</v>
      </c>
      <c r="G51" s="675" t="s">
        <v>18632</v>
      </c>
      <c r="H51" s="671" t="s">
        <v>18712</v>
      </c>
      <c r="I51" s="682" t="str">
        <f>HYPERLINK("https://www.google.com/maps/search/Praia%20dos%20Moinhos%20Ribeira%20Grande%20A%C3%A7ores%20Portugal","📍 Praia dos Moinhos")</f>
        <v>📍 Praia dos Moinhos</v>
      </c>
    </row>
    <row r="52" spans="1:9" ht="20" customHeight="1" x14ac:dyDescent="0.45">
      <c r="A52" s="1595" t="s">
        <v>18626</v>
      </c>
      <c r="B52" s="1313"/>
      <c r="C52" s="1313"/>
      <c r="D52" s="1313"/>
      <c r="E52" s="1313"/>
      <c r="F52" s="1313"/>
      <c r="G52" s="1313"/>
      <c r="H52" s="1313"/>
      <c r="I52" s="1313"/>
    </row>
    <row r="53" spans="1:9" ht="36" customHeight="1" x14ac:dyDescent="0.4">
      <c r="A53" s="678">
        <v>40</v>
      </c>
      <c r="B53" s="677" t="s">
        <v>18713</v>
      </c>
      <c r="C53" s="679" t="s">
        <v>522</v>
      </c>
      <c r="D53" s="677" t="s">
        <v>2839</v>
      </c>
      <c r="E53" s="677" t="s">
        <v>18631</v>
      </c>
      <c r="F53" s="680" t="s">
        <v>18714</v>
      </c>
      <c r="G53" s="681" t="s">
        <v>18632</v>
      </c>
      <c r="H53" s="677" t="s">
        <v>18715</v>
      </c>
      <c r="I53" s="683" t="str">
        <f>HYPERLINK("https://www.google.com/maps/search/Barro%20Vermelho%20Santa%20Cruz%20da%20Graciosa%20A%C3%A7ores%20Portugal","📍 Barro Vermelho")</f>
        <v>📍 Barro Vermelho</v>
      </c>
    </row>
    <row r="54" spans="1:9" ht="36" customHeight="1" x14ac:dyDescent="0.4">
      <c r="A54" s="672">
        <v>41</v>
      </c>
      <c r="B54" s="671" t="s">
        <v>18716</v>
      </c>
      <c r="C54" s="673" t="s">
        <v>522</v>
      </c>
      <c r="D54" s="671" t="s">
        <v>2839</v>
      </c>
      <c r="E54" s="671" t="s">
        <v>18717</v>
      </c>
      <c r="F54" s="674" t="s">
        <v>18714</v>
      </c>
      <c r="G54" s="675" t="s">
        <v>18632</v>
      </c>
      <c r="H54" s="671" t="s">
        <v>18718</v>
      </c>
      <c r="I54" s="682" t="str">
        <f>HYPERLINK("https://www.google.com/maps/search/Piscina%20do%20Carapacho%20Santa%20Cruz%20da%20Graciosa%20A%C3%A7ores%20Portugal","📍 Piscina do Carapacho")</f>
        <v>📍 Piscina do Carapacho</v>
      </c>
    </row>
    <row r="55" spans="1:9" ht="36" customHeight="1" x14ac:dyDescent="0.4">
      <c r="A55" s="678">
        <v>42</v>
      </c>
      <c r="B55" s="677" t="s">
        <v>18719</v>
      </c>
      <c r="C55" s="679" t="s">
        <v>522</v>
      </c>
      <c r="D55" s="677" t="s">
        <v>2839</v>
      </c>
      <c r="E55" s="677" t="s">
        <v>18631</v>
      </c>
      <c r="F55" s="680" t="s">
        <v>18714</v>
      </c>
      <c r="G55" s="681" t="s">
        <v>18632</v>
      </c>
      <c r="H55" s="677" t="s">
        <v>18720</v>
      </c>
      <c r="I55" s="683" t="str">
        <f>HYPERLINK("https://www.google.com/maps/search/Praia%20Santa%20Cruz%20da%20Graciosa%20A%C3%A7ores%20Portugal","📍 Praia")</f>
        <v>📍 Praia</v>
      </c>
    </row>
    <row r="56" spans="1:9" ht="36" customHeight="1" x14ac:dyDescent="0.4">
      <c r="A56" s="672">
        <v>43</v>
      </c>
      <c r="B56" s="671" t="s">
        <v>18721</v>
      </c>
      <c r="C56" s="673" t="s">
        <v>522</v>
      </c>
      <c r="D56" s="671" t="s">
        <v>2839</v>
      </c>
      <c r="E56" s="671" t="s">
        <v>18637</v>
      </c>
      <c r="F56" s="674" t="s">
        <v>18714</v>
      </c>
      <c r="G56" s="675" t="s">
        <v>18632</v>
      </c>
      <c r="H56" s="671" t="s">
        <v>18722</v>
      </c>
      <c r="I56" s="682" t="str">
        <f>HYPERLINK("https://www.google.com/maps/search/Zona%20Balnear%20Santa%20Cruz%20(Calheta)%20Santa%20Cruz%20da%20Graciosa%20A%C3%A7ores%20Portugal","📍 Zona Balnear Santa Cruz (Calheta)")</f>
        <v>📍 Zona Balnear Santa Cruz (Calheta)</v>
      </c>
    </row>
    <row r="57" spans="1:9" ht="20" customHeight="1" x14ac:dyDescent="0.45">
      <c r="A57" s="1595" t="s">
        <v>18627</v>
      </c>
      <c r="B57" s="1313"/>
      <c r="C57" s="1313"/>
      <c r="D57" s="1313"/>
      <c r="E57" s="1313"/>
      <c r="F57" s="1313"/>
      <c r="G57" s="1313"/>
      <c r="H57" s="1313"/>
      <c r="I57" s="1313"/>
    </row>
    <row r="58" spans="1:9" ht="36" customHeight="1" x14ac:dyDescent="0.4">
      <c r="A58" s="678">
        <v>44</v>
      </c>
      <c r="B58" s="677" t="s">
        <v>18723</v>
      </c>
      <c r="C58" s="679" t="s">
        <v>522</v>
      </c>
      <c r="D58" s="677" t="s">
        <v>6062</v>
      </c>
      <c r="E58" s="677" t="s">
        <v>18665</v>
      </c>
      <c r="F58" s="680" t="s">
        <v>18724</v>
      </c>
      <c r="G58" s="681" t="s">
        <v>18632</v>
      </c>
      <c r="H58" s="677" t="s">
        <v>18725</v>
      </c>
      <c r="I58" s="683" t="str">
        <f>HYPERLINK("https://www.google.com/maps/search/N%C3%BAcleo%20Recreio%20N%C3%A1utico%20de%20Velas%20Velas%20A%C3%A7ores%20Portugal","📍 Núcleo Recreio Náutico de Velas")</f>
        <v>📍 Núcleo Recreio Náutico de Velas</v>
      </c>
    </row>
    <row r="59" spans="1:9" ht="20" customHeight="1" x14ac:dyDescent="0.45">
      <c r="A59" s="1595" t="s">
        <v>18628</v>
      </c>
      <c r="B59" s="1313"/>
      <c r="C59" s="1313"/>
      <c r="D59" s="1313"/>
      <c r="E59" s="1313"/>
      <c r="F59" s="1313"/>
      <c r="G59" s="1313"/>
      <c r="H59" s="1313"/>
      <c r="I59" s="1313"/>
    </row>
    <row r="60" spans="1:9" ht="36" customHeight="1" x14ac:dyDescent="0.4">
      <c r="A60" s="672">
        <v>45</v>
      </c>
      <c r="B60" s="671" t="s">
        <v>18726</v>
      </c>
      <c r="C60" s="673" t="s">
        <v>522</v>
      </c>
      <c r="D60" s="671" t="s">
        <v>10160</v>
      </c>
      <c r="E60" s="671" t="s">
        <v>18631</v>
      </c>
      <c r="F60" s="674" t="s">
        <v>18727</v>
      </c>
      <c r="G60" s="675" t="s">
        <v>18632</v>
      </c>
      <c r="H60" s="671" t="s">
        <v>18728</v>
      </c>
      <c r="I60" s="682" t="str">
        <f>HYPERLINK("https://www.google.com/maps/search/Anjos%20Vila%20do%20Porto%20A%C3%A7ores%20Portugal","📍 Anjos")</f>
        <v>📍 Anjos</v>
      </c>
    </row>
    <row r="61" spans="1:9" ht="36" customHeight="1" x14ac:dyDescent="0.4">
      <c r="A61" s="678">
        <v>46</v>
      </c>
      <c r="B61" s="677" t="s">
        <v>18729</v>
      </c>
      <c r="C61" s="679" t="s">
        <v>522</v>
      </c>
      <c r="D61" s="677" t="s">
        <v>10160</v>
      </c>
      <c r="E61" s="677" t="s">
        <v>18631</v>
      </c>
      <c r="F61" s="680" t="s">
        <v>18727</v>
      </c>
      <c r="G61" s="681" t="s">
        <v>18632</v>
      </c>
      <c r="H61" s="677" t="s">
        <v>18730</v>
      </c>
      <c r="I61" s="683" t="str">
        <f>HYPERLINK("https://www.google.com/maps/search/Formosa%20Vila%20do%20Porto%20A%C3%A7ores%20Portugal","📍 Formosa")</f>
        <v>📍 Formosa</v>
      </c>
    </row>
    <row r="62" spans="1:9" ht="36" customHeight="1" x14ac:dyDescent="0.4">
      <c r="A62" s="672">
        <v>47</v>
      </c>
      <c r="B62" s="671" t="s">
        <v>1814</v>
      </c>
      <c r="C62" s="673" t="s">
        <v>522</v>
      </c>
      <c r="D62" s="671" t="s">
        <v>10160</v>
      </c>
      <c r="E62" s="671" t="s">
        <v>18631</v>
      </c>
      <c r="F62" s="674" t="s">
        <v>18727</v>
      </c>
      <c r="G62" s="675" t="s">
        <v>18632</v>
      </c>
      <c r="H62" s="671" t="s">
        <v>18731</v>
      </c>
      <c r="I62" s="682" t="str">
        <f>HYPERLINK("https://www.google.com/maps/search/Maia%20Vila%20do%20Porto%20A%C3%A7ores%20Portugal","📍 Maia")</f>
        <v>📍 Maia</v>
      </c>
    </row>
    <row r="63" spans="1:9" ht="36" customHeight="1" x14ac:dyDescent="0.4">
      <c r="A63" s="678">
        <v>48</v>
      </c>
      <c r="B63" s="677" t="s">
        <v>18732</v>
      </c>
      <c r="C63" s="679" t="s">
        <v>522</v>
      </c>
      <c r="D63" s="677" t="s">
        <v>10160</v>
      </c>
      <c r="E63" s="677" t="s">
        <v>18631</v>
      </c>
      <c r="F63" s="680" t="s">
        <v>18727</v>
      </c>
      <c r="G63" s="681" t="s">
        <v>18632</v>
      </c>
      <c r="H63" s="677" t="s">
        <v>18733</v>
      </c>
      <c r="I63" s="683" t="str">
        <f>HYPERLINK("https://www.google.com/maps/search/S.%20Louren%C3%A7o%20Vila%20do%20Porto%20A%C3%A7ores%20Portugal","📍 S. Lourenço")</f>
        <v>📍 S. Lourenço</v>
      </c>
    </row>
    <row r="64" spans="1:9" ht="20" customHeight="1" x14ac:dyDescent="0.45">
      <c r="A64" s="1595" t="s">
        <v>18629</v>
      </c>
      <c r="B64" s="1313"/>
      <c r="C64" s="1313"/>
      <c r="D64" s="1313"/>
      <c r="E64" s="1313"/>
      <c r="F64" s="1313"/>
      <c r="G64" s="1313"/>
      <c r="H64" s="1313"/>
      <c r="I64" s="1313"/>
    </row>
    <row r="65" spans="1:9" ht="36" customHeight="1" x14ac:dyDescent="0.4">
      <c r="A65" s="672">
        <v>49</v>
      </c>
      <c r="B65" s="671" t="s">
        <v>18734</v>
      </c>
      <c r="C65" s="673" t="s">
        <v>522</v>
      </c>
      <c r="D65" s="671" t="s">
        <v>18735</v>
      </c>
      <c r="E65" s="671" t="s">
        <v>18631</v>
      </c>
      <c r="F65" s="674" t="s">
        <v>18658</v>
      </c>
      <c r="G65" s="675" t="s">
        <v>18632</v>
      </c>
      <c r="H65" s="671" t="s">
        <v>18736</v>
      </c>
      <c r="I65" s="682" t="str">
        <f>HYPERLINK("https://www.google.com/maps/search/%C3%81gua%20d'Alto%20Vila%20Franca%20do%20Campo%20A%C3%A7ores%20Portugal","📍 Água d'Alto")</f>
        <v>📍 Água d'Alto</v>
      </c>
    </row>
    <row r="66" spans="1:9" ht="36" customHeight="1" x14ac:dyDescent="0.4">
      <c r="A66" s="678">
        <v>50</v>
      </c>
      <c r="B66" s="677" t="s">
        <v>18737</v>
      </c>
      <c r="C66" s="679" t="s">
        <v>522</v>
      </c>
      <c r="D66" s="677" t="s">
        <v>18735</v>
      </c>
      <c r="E66" s="677" t="s">
        <v>18631</v>
      </c>
      <c r="F66" s="680" t="s">
        <v>18658</v>
      </c>
      <c r="G66" s="681" t="s">
        <v>18632</v>
      </c>
      <c r="H66" s="677" t="s">
        <v>18738</v>
      </c>
      <c r="I66" s="683" t="str">
        <f>HYPERLINK("https://www.google.com/maps/search/Corpo%20Santo%20Vila%20Franca%20do%20Campo%20A%C3%A7ores%20Portugal","📍 Corpo Santo")</f>
        <v>📍 Corpo Santo</v>
      </c>
    </row>
    <row r="67" spans="1:9" ht="36" customHeight="1" x14ac:dyDescent="0.4">
      <c r="A67" s="672">
        <v>51</v>
      </c>
      <c r="B67" s="671" t="s">
        <v>18739</v>
      </c>
      <c r="C67" s="673" t="s">
        <v>522</v>
      </c>
      <c r="D67" s="671" t="s">
        <v>18735</v>
      </c>
      <c r="E67" s="671" t="s">
        <v>18631</v>
      </c>
      <c r="F67" s="674" t="s">
        <v>18658</v>
      </c>
      <c r="G67" s="675" t="s">
        <v>18632</v>
      </c>
      <c r="H67" s="671" t="s">
        <v>18740</v>
      </c>
      <c r="I67" s="682" t="str">
        <f>HYPERLINK("https://www.google.com/maps/search/Prainha%20de%20%C3%81gua%20d'Alto%20Vila%20Franca%20do%20Campo%20A%C3%A7ores%20Portugal","📍 Prainha de Água d'Alto")</f>
        <v>📍 Prainha de Água d'Alto</v>
      </c>
    </row>
    <row r="68" spans="1:9" ht="36" customHeight="1" x14ac:dyDescent="0.4">
      <c r="A68" s="678">
        <v>52</v>
      </c>
      <c r="B68" s="677" t="s">
        <v>18741</v>
      </c>
      <c r="C68" s="679" t="s">
        <v>522</v>
      </c>
      <c r="D68" s="677" t="s">
        <v>18735</v>
      </c>
      <c r="E68" s="677" t="s">
        <v>18631</v>
      </c>
      <c r="F68" s="680" t="s">
        <v>18658</v>
      </c>
      <c r="G68" s="681" t="s">
        <v>18632</v>
      </c>
      <c r="H68" s="677" t="s">
        <v>18742</v>
      </c>
      <c r="I68" s="683" t="str">
        <f>HYPERLINK("https://www.google.com/maps/search/Vinha%20da%20Areia%20Vila%20Franca%20do%20Campo%20A%C3%A7ores%20Portugal","📍 Vinha da Areia")</f>
        <v>📍 Vinha da Areia</v>
      </c>
    </row>
    <row r="69" spans="1:9" ht="36" customHeight="1" x14ac:dyDescent="0.4">
      <c r="A69" s="672">
        <v>53</v>
      </c>
      <c r="B69" s="671" t="s">
        <v>18743</v>
      </c>
      <c r="C69" s="673" t="s">
        <v>522</v>
      </c>
      <c r="D69" s="671" t="s">
        <v>18735</v>
      </c>
      <c r="E69" s="671" t="s">
        <v>18637</v>
      </c>
      <c r="F69" s="674" t="s">
        <v>18658</v>
      </c>
      <c r="G69" s="675" t="s">
        <v>18632</v>
      </c>
      <c r="H69" s="671" t="s">
        <v>18744</v>
      </c>
      <c r="I69" s="682" t="str">
        <f>HYPERLINK("https://www.google.com/maps/search/TERRAZUL%20Vila%20Franca%20do%20Campo%20A%C3%A7ores%20Portugal","📍 TERRAZUL")</f>
        <v>📍 TERRAZUL</v>
      </c>
    </row>
    <row r="70" spans="1:9" ht="36" customHeight="1" x14ac:dyDescent="0.4">
      <c r="A70" s="678">
        <v>54</v>
      </c>
      <c r="B70" s="677" t="s">
        <v>18745</v>
      </c>
      <c r="C70" s="679" t="s">
        <v>522</v>
      </c>
      <c r="D70" s="677" t="s">
        <v>18735</v>
      </c>
      <c r="E70" s="677" t="s">
        <v>18637</v>
      </c>
      <c r="F70" s="680" t="s">
        <v>18658</v>
      </c>
      <c r="G70" s="681" t="s">
        <v>18632</v>
      </c>
      <c r="H70" s="677" t="s">
        <v>18746</v>
      </c>
      <c r="I70" s="683" t="str">
        <f>HYPERLINK("https://www.google.com/maps/search/TERRAZUL%20I%20Vila%20Franca%20do%20Campo%20A%C3%A7ores%20Portugal","📍 TERRAZUL I")</f>
        <v>📍 TERRAZUL I</v>
      </c>
    </row>
    <row r="71" spans="1:9" ht="36" customHeight="1" x14ac:dyDescent="0.4">
      <c r="A71" s="672">
        <v>55</v>
      </c>
      <c r="B71" s="671" t="s">
        <v>18747</v>
      </c>
      <c r="C71" s="673" t="s">
        <v>522</v>
      </c>
      <c r="D71" s="671" t="s">
        <v>18735</v>
      </c>
      <c r="E71" s="671" t="s">
        <v>18637</v>
      </c>
      <c r="F71" s="674" t="s">
        <v>18658</v>
      </c>
      <c r="G71" s="675" t="s">
        <v>18632</v>
      </c>
      <c r="H71" s="671" t="s">
        <v>18748</v>
      </c>
      <c r="I71" s="682" t="str">
        <f>HYPERLINK("https://www.google.com/maps/search/TERRAZUL%20II%20Vila%20Franca%20do%20Campo%20A%C3%A7ores%20Portugal","📍 TERRAZUL II")</f>
        <v>📍 TERRAZUL II</v>
      </c>
    </row>
    <row r="72" spans="1:9" ht="36" customHeight="1" x14ac:dyDescent="0.4">
      <c r="A72" s="678">
        <v>56</v>
      </c>
      <c r="B72" s="677" t="s">
        <v>18749</v>
      </c>
      <c r="C72" s="679" t="s">
        <v>522</v>
      </c>
      <c r="D72" s="677" t="s">
        <v>18735</v>
      </c>
      <c r="E72" s="677" t="s">
        <v>18637</v>
      </c>
      <c r="F72" s="680" t="s">
        <v>18658</v>
      </c>
      <c r="G72" s="681" t="s">
        <v>18632</v>
      </c>
      <c r="H72" s="677" t="s">
        <v>18750</v>
      </c>
      <c r="I72" s="683" t="str">
        <f>HYPERLINK("https://www.google.com/maps/search/TERRAZUL%20III%20Vila%20Franca%20do%20Campo%20A%C3%A7ores%20Portugal","📍 TERRAZUL III")</f>
        <v>📍 TERRAZUL III</v>
      </c>
    </row>
    <row r="73" spans="1:9" ht="24" customHeight="1" x14ac:dyDescent="0.45">
      <c r="A73" s="1602" t="s">
        <v>18751</v>
      </c>
      <c r="B73" s="1313"/>
      <c r="C73" s="1313"/>
      <c r="D73" s="1313"/>
      <c r="E73" s="1313"/>
      <c r="F73" s="1313"/>
      <c r="G73" s="1313"/>
      <c r="H73" s="1313"/>
      <c r="I73" s="1313"/>
    </row>
    <row r="74" spans="1:9" ht="20" customHeight="1" x14ac:dyDescent="0.45">
      <c r="A74" s="1595" t="s">
        <v>18752</v>
      </c>
      <c r="B74" s="1313"/>
      <c r="C74" s="1313"/>
      <c r="D74" s="1313"/>
      <c r="E74" s="1313"/>
      <c r="F74" s="1313"/>
      <c r="G74" s="1313"/>
      <c r="H74" s="1313"/>
      <c r="I74" s="1313"/>
    </row>
    <row r="75" spans="1:9" ht="36" customHeight="1" x14ac:dyDescent="0.4">
      <c r="A75" s="672">
        <v>57</v>
      </c>
      <c r="B75" s="671" t="s">
        <v>18766</v>
      </c>
      <c r="C75" s="673" t="s">
        <v>853</v>
      </c>
      <c r="D75" s="671" t="s">
        <v>2159</v>
      </c>
      <c r="E75" s="671" t="s">
        <v>1482</v>
      </c>
      <c r="F75" s="674" t="s">
        <v>10776</v>
      </c>
      <c r="G75" s="675" t="s">
        <v>18632</v>
      </c>
      <c r="H75" s="671" t="s">
        <v>18767</v>
      </c>
      <c r="I75" s="682" t="str">
        <f>HYPERLINK("https://www.google.com/maps/search/%C3%81rea%20Recreativa%20e%20de%20Lazer%20Das%20Azenhas%20d'El%20Rei%20Alandroal%20Alentejo%20Portugal","📍 Área Recreativa e de Lazer Das Azenhas d'El Rei")</f>
        <v>📍 Área Recreativa e de Lazer Das Azenhas d'El Rei</v>
      </c>
    </row>
    <row r="76" spans="1:9" ht="20" customHeight="1" x14ac:dyDescent="0.45">
      <c r="A76" s="1595" t="s">
        <v>18753</v>
      </c>
      <c r="B76" s="1313"/>
      <c r="C76" s="1313"/>
      <c r="D76" s="1313"/>
      <c r="E76" s="1313"/>
      <c r="F76" s="1313"/>
      <c r="G76" s="1313"/>
      <c r="H76" s="1313"/>
      <c r="I76" s="1313"/>
    </row>
    <row r="77" spans="1:9" ht="36" customHeight="1" x14ac:dyDescent="0.4">
      <c r="A77" s="678">
        <v>58</v>
      </c>
      <c r="B77" s="677" t="s">
        <v>18768</v>
      </c>
      <c r="C77" s="679" t="s">
        <v>853</v>
      </c>
      <c r="D77" s="677" t="s">
        <v>1233</v>
      </c>
      <c r="E77" s="677" t="s">
        <v>1482</v>
      </c>
      <c r="F77" s="680" t="s">
        <v>2745</v>
      </c>
      <c r="G77" s="681" t="s">
        <v>18632</v>
      </c>
      <c r="H77" s="677" t="s">
        <v>18769</v>
      </c>
      <c r="I77" s="683" t="str">
        <f>HYPERLINK("https://www.google.com/maps/search/Cinco%20Reis%20Beja%20Alentejo%20Portugal","📍 Cinco Reis")</f>
        <v>📍 Cinco Reis</v>
      </c>
    </row>
    <row r="78" spans="1:9" ht="20" customHeight="1" x14ac:dyDescent="0.45">
      <c r="A78" s="1595" t="s">
        <v>18754</v>
      </c>
      <c r="B78" s="1313"/>
      <c r="C78" s="1313"/>
      <c r="D78" s="1313"/>
      <c r="E78" s="1313"/>
      <c r="F78" s="1313"/>
      <c r="G78" s="1313"/>
      <c r="H78" s="1313"/>
      <c r="I78" s="1313"/>
    </row>
    <row r="79" spans="1:9" ht="36" customHeight="1" x14ac:dyDescent="0.4">
      <c r="A79" s="672">
        <v>59</v>
      </c>
      <c r="B79" s="671" t="s">
        <v>18770</v>
      </c>
      <c r="C79" s="673" t="s">
        <v>853</v>
      </c>
      <c r="D79" s="671" t="s">
        <v>8674</v>
      </c>
      <c r="E79" s="671" t="s">
        <v>1482</v>
      </c>
      <c r="F79" s="674" t="s">
        <v>2745</v>
      </c>
      <c r="G79" s="675" t="s">
        <v>18632</v>
      </c>
      <c r="H79" s="671" t="s">
        <v>18771</v>
      </c>
      <c r="I79" s="682" t="str">
        <f>HYPERLINK("https://www.google.com/maps/search/Albergaria%20dos%20Fusos%20Cuba%20Alentejo%20Portugal","📍 Albergaria dos Fusos")</f>
        <v>📍 Albergaria dos Fusos</v>
      </c>
    </row>
    <row r="80" spans="1:9" ht="20" customHeight="1" x14ac:dyDescent="0.45">
      <c r="A80" s="1595" t="s">
        <v>18755</v>
      </c>
      <c r="B80" s="1313"/>
      <c r="C80" s="1313"/>
      <c r="D80" s="1313"/>
      <c r="E80" s="1313"/>
      <c r="F80" s="1313"/>
      <c r="G80" s="1313"/>
      <c r="H80" s="1313"/>
      <c r="I80" s="1313"/>
    </row>
    <row r="81" spans="1:9" ht="36" customHeight="1" x14ac:dyDescent="0.4">
      <c r="A81" s="678">
        <v>60</v>
      </c>
      <c r="B81" s="677" t="s">
        <v>18772</v>
      </c>
      <c r="C81" s="679" t="s">
        <v>853</v>
      </c>
      <c r="D81" s="677" t="s">
        <v>6161</v>
      </c>
      <c r="E81" s="677" t="s">
        <v>18631</v>
      </c>
      <c r="F81" s="680" t="s">
        <v>18773</v>
      </c>
      <c r="G81" s="681" t="s">
        <v>18632</v>
      </c>
      <c r="H81" s="677" t="s">
        <v>18774</v>
      </c>
      <c r="I81" s="683" t="str">
        <f>HYPERLINK("https://www.google.com/maps/search/Aberta%20Nova%20Gr%C3%A2ndola%20Alentejo%20Portugal","📍 Aberta Nova")</f>
        <v>📍 Aberta Nova</v>
      </c>
    </row>
    <row r="82" spans="1:9" ht="36" customHeight="1" x14ac:dyDescent="0.4">
      <c r="A82" s="672">
        <v>61</v>
      </c>
      <c r="B82" s="671" t="s">
        <v>18775</v>
      </c>
      <c r="C82" s="673" t="s">
        <v>853</v>
      </c>
      <c r="D82" s="671" t="s">
        <v>6161</v>
      </c>
      <c r="E82" s="671" t="s">
        <v>18631</v>
      </c>
      <c r="F82" s="674" t="s">
        <v>18773</v>
      </c>
      <c r="G82" s="675" t="s">
        <v>18632</v>
      </c>
      <c r="H82" s="671" t="s">
        <v>18776</v>
      </c>
      <c r="I82" s="682" t="str">
        <f>HYPERLINK("https://www.google.com/maps/search/Atl%C3%A2ntica%20Gr%C3%A2ndola%20Alentejo%20Portugal","📍 Atlântica")</f>
        <v>📍 Atlântica</v>
      </c>
    </row>
    <row r="83" spans="1:9" ht="36" customHeight="1" x14ac:dyDescent="0.4">
      <c r="A83" s="678">
        <v>62</v>
      </c>
      <c r="B83" s="677" t="s">
        <v>18777</v>
      </c>
      <c r="C83" s="679" t="s">
        <v>853</v>
      </c>
      <c r="D83" s="677" t="s">
        <v>6161</v>
      </c>
      <c r="E83" s="677" t="s">
        <v>18631</v>
      </c>
      <c r="F83" s="680" t="s">
        <v>18773</v>
      </c>
      <c r="G83" s="681" t="s">
        <v>18632</v>
      </c>
      <c r="H83" s="677" t="s">
        <v>18778</v>
      </c>
      <c r="I83" s="683" t="str">
        <f>HYPERLINK("https://www.google.com/maps/search/Carvalhal%20Gr%C3%A2ndola%20Alentejo%20Portugal","📍 Carvalhal")</f>
        <v>📍 Carvalhal</v>
      </c>
    </row>
    <row r="84" spans="1:9" ht="36" customHeight="1" x14ac:dyDescent="0.4">
      <c r="A84" s="672">
        <v>63</v>
      </c>
      <c r="B84" s="671" t="s">
        <v>11341</v>
      </c>
      <c r="C84" s="673" t="s">
        <v>853</v>
      </c>
      <c r="D84" s="671" t="s">
        <v>6161</v>
      </c>
      <c r="E84" s="671" t="s">
        <v>18631</v>
      </c>
      <c r="F84" s="674" t="s">
        <v>18773</v>
      </c>
      <c r="G84" s="675" t="s">
        <v>18632</v>
      </c>
      <c r="H84" s="671" t="s">
        <v>18779</v>
      </c>
      <c r="I84" s="682" t="str">
        <f>HYPERLINK("https://www.google.com/maps/search/Comporta%20Gr%C3%A2ndola%20Alentejo%20Portugal","📍 Comporta")</f>
        <v>📍 Comporta</v>
      </c>
    </row>
    <row r="85" spans="1:9" ht="36" customHeight="1" x14ac:dyDescent="0.4">
      <c r="A85" s="678">
        <v>64</v>
      </c>
      <c r="B85" s="677" t="s">
        <v>18780</v>
      </c>
      <c r="C85" s="679" t="s">
        <v>853</v>
      </c>
      <c r="D85" s="677" t="s">
        <v>6161</v>
      </c>
      <c r="E85" s="677" t="s">
        <v>18631</v>
      </c>
      <c r="F85" s="680" t="s">
        <v>18773</v>
      </c>
      <c r="G85" s="681" t="s">
        <v>18632</v>
      </c>
      <c r="H85" s="677" t="s">
        <v>18781</v>
      </c>
      <c r="I85" s="683" t="str">
        <f>HYPERLINK("https://www.google.com/maps/search/Gal%C3%A9-Fontainhas%20Gr%C3%A2ndola%20Alentejo%20Portugal","📍 Galé-Fontainhas")</f>
        <v>📍 Galé-Fontainhas</v>
      </c>
    </row>
    <row r="86" spans="1:9" ht="36" customHeight="1" x14ac:dyDescent="0.4">
      <c r="A86" s="672">
        <v>65</v>
      </c>
      <c r="B86" s="671" t="s">
        <v>9947</v>
      </c>
      <c r="C86" s="673" t="s">
        <v>853</v>
      </c>
      <c r="D86" s="671" t="s">
        <v>6161</v>
      </c>
      <c r="E86" s="671" t="s">
        <v>18631</v>
      </c>
      <c r="F86" s="674" t="s">
        <v>18773</v>
      </c>
      <c r="G86" s="675" t="s">
        <v>18632</v>
      </c>
      <c r="H86" s="671" t="s">
        <v>18782</v>
      </c>
      <c r="I86" s="682" t="str">
        <f>HYPERLINK("https://www.google.com/maps/search/Melides%20Gr%C3%A2ndola%20Alentejo%20Portugal","📍 Melides")</f>
        <v>📍 Melides</v>
      </c>
    </row>
    <row r="87" spans="1:9" ht="36" customHeight="1" x14ac:dyDescent="0.4">
      <c r="A87" s="678">
        <v>66</v>
      </c>
      <c r="B87" s="677" t="s">
        <v>18783</v>
      </c>
      <c r="C87" s="679" t="s">
        <v>853</v>
      </c>
      <c r="D87" s="677" t="s">
        <v>6161</v>
      </c>
      <c r="E87" s="677" t="s">
        <v>18631</v>
      </c>
      <c r="F87" s="680" t="s">
        <v>18773</v>
      </c>
      <c r="G87" s="681" t="s">
        <v>18632</v>
      </c>
      <c r="H87" s="677" t="s">
        <v>18784</v>
      </c>
      <c r="I87" s="683" t="str">
        <f>HYPERLINK("https://www.google.com/maps/search/Pego%20Gr%C3%A2ndola%20Alentejo%20Portugal","📍 Pego")</f>
        <v>📍 Pego</v>
      </c>
    </row>
    <row r="88" spans="1:9" ht="36" customHeight="1" x14ac:dyDescent="0.4">
      <c r="A88" s="672">
        <v>67</v>
      </c>
      <c r="B88" s="671" t="s">
        <v>18785</v>
      </c>
      <c r="C88" s="673" t="s">
        <v>853</v>
      </c>
      <c r="D88" s="671" t="s">
        <v>6161</v>
      </c>
      <c r="E88" s="671" t="s">
        <v>18631</v>
      </c>
      <c r="F88" s="674" t="s">
        <v>18786</v>
      </c>
      <c r="G88" s="675" t="s">
        <v>18632</v>
      </c>
      <c r="H88" s="671" t="s">
        <v>18787</v>
      </c>
      <c r="I88" s="682" t="str">
        <f>HYPERLINK("https://www.google.com/maps/search/Tr%C3%B3ia-Bico%20das%20Lulas%20Gr%C3%A2ndola%20Alentejo%20Portugal","📍 Tróia-Bico das Lulas")</f>
        <v>📍 Tróia-Bico das Lulas</v>
      </c>
    </row>
    <row r="89" spans="1:9" ht="36" customHeight="1" x14ac:dyDescent="0.4">
      <c r="A89" s="678">
        <v>68</v>
      </c>
      <c r="B89" s="677" t="s">
        <v>18788</v>
      </c>
      <c r="C89" s="679" t="s">
        <v>853</v>
      </c>
      <c r="D89" s="677" t="s">
        <v>6161</v>
      </c>
      <c r="E89" s="677" t="s">
        <v>18631</v>
      </c>
      <c r="F89" s="680" t="s">
        <v>18786</v>
      </c>
      <c r="G89" s="681" t="s">
        <v>18632</v>
      </c>
      <c r="H89" s="677" t="s">
        <v>18789</v>
      </c>
      <c r="I89" s="683" t="str">
        <f>HYPERLINK("https://www.google.com/maps/search/Tr%C3%B3ia-Gal%C3%A9%20Gr%C3%A2ndola%20Alentejo%20Portugal","📍 Tróia-Galé")</f>
        <v>📍 Tróia-Galé</v>
      </c>
    </row>
    <row r="90" spans="1:9" ht="36" customHeight="1" x14ac:dyDescent="0.4">
      <c r="A90" s="672">
        <v>69</v>
      </c>
      <c r="B90" s="671" t="s">
        <v>18790</v>
      </c>
      <c r="C90" s="673" t="s">
        <v>853</v>
      </c>
      <c r="D90" s="671" t="s">
        <v>6161</v>
      </c>
      <c r="E90" s="671" t="s">
        <v>18631</v>
      </c>
      <c r="F90" s="674" t="s">
        <v>18786</v>
      </c>
      <c r="G90" s="675" t="s">
        <v>18632</v>
      </c>
      <c r="H90" s="671" t="s">
        <v>18791</v>
      </c>
      <c r="I90" s="682" t="str">
        <f>HYPERLINK("https://www.google.com/maps/search/Tr%C3%B3ia-Mar%20Gr%C3%A2ndola%20Alentejo%20Portugal","📍 Tróia-Mar")</f>
        <v>📍 Tróia-Mar</v>
      </c>
    </row>
    <row r="91" spans="1:9" ht="36" customHeight="1" x14ac:dyDescent="0.4">
      <c r="A91" s="678">
        <v>70</v>
      </c>
      <c r="B91" s="677" t="s">
        <v>18792</v>
      </c>
      <c r="C91" s="679" t="s">
        <v>853</v>
      </c>
      <c r="D91" s="677" t="s">
        <v>6161</v>
      </c>
      <c r="E91" s="677" t="s">
        <v>18645</v>
      </c>
      <c r="F91" s="680" t="s">
        <v>18786</v>
      </c>
      <c r="G91" s="681" t="s">
        <v>18632</v>
      </c>
      <c r="H91" s="677" t="s">
        <v>18793</v>
      </c>
      <c r="I91" s="683" t="str">
        <f>HYPERLINK("https://www.google.com/maps/search/Marina%20de%20Tr%C3%B3ia%20Gr%C3%A2ndola%20Alentejo%20Portugal","📍 Marina de Tróia")</f>
        <v>📍 Marina de Tróia</v>
      </c>
    </row>
    <row r="92" spans="1:9" ht="20" customHeight="1" x14ac:dyDescent="0.45">
      <c r="A92" s="1595" t="s">
        <v>18756</v>
      </c>
      <c r="B92" s="1313"/>
      <c r="C92" s="1313"/>
      <c r="D92" s="1313"/>
      <c r="E92" s="1313"/>
      <c r="F92" s="1313"/>
      <c r="G92" s="1313"/>
      <c r="H92" s="1313"/>
      <c r="I92" s="1313"/>
    </row>
    <row r="93" spans="1:9" ht="36" customHeight="1" x14ac:dyDescent="0.4">
      <c r="A93" s="672">
        <v>71</v>
      </c>
      <c r="B93" s="671" t="s">
        <v>8667</v>
      </c>
      <c r="C93" s="673" t="s">
        <v>853</v>
      </c>
      <c r="D93" s="671" t="s">
        <v>6081</v>
      </c>
      <c r="E93" s="671" t="s">
        <v>1482</v>
      </c>
      <c r="F93" s="674" t="s">
        <v>2745</v>
      </c>
      <c r="G93" s="675" t="s">
        <v>18632</v>
      </c>
      <c r="H93" s="671" t="s">
        <v>18794</v>
      </c>
      <c r="I93" s="682" t="str">
        <f>HYPERLINK("https://www.google.com/maps/search/Albufeira%20da%20Tapada%20Grande%20M%C3%A9rtola%20Alentejo%20Portugal","📍 Albufeira da Tapada Grande")</f>
        <v>📍 Albufeira da Tapada Grande</v>
      </c>
    </row>
    <row r="94" spans="1:9" ht="20" customHeight="1" x14ac:dyDescent="0.45">
      <c r="A94" s="1595" t="s">
        <v>18757</v>
      </c>
      <c r="B94" s="1313"/>
      <c r="C94" s="1313"/>
      <c r="D94" s="1313"/>
      <c r="E94" s="1313"/>
      <c r="F94" s="1313"/>
      <c r="G94" s="1313"/>
      <c r="H94" s="1313"/>
      <c r="I94" s="1313"/>
    </row>
    <row r="95" spans="1:9" ht="36" customHeight="1" x14ac:dyDescent="0.4">
      <c r="A95" s="678">
        <v>72</v>
      </c>
      <c r="B95" s="677" t="s">
        <v>18795</v>
      </c>
      <c r="C95" s="679" t="s">
        <v>853</v>
      </c>
      <c r="D95" s="677" t="s">
        <v>2135</v>
      </c>
      <c r="E95" s="677" t="s">
        <v>1482</v>
      </c>
      <c r="F95" s="680" t="s">
        <v>2745</v>
      </c>
      <c r="G95" s="681" t="s">
        <v>18632</v>
      </c>
      <c r="H95" s="677" t="s">
        <v>18796</v>
      </c>
      <c r="I95" s="683" t="str">
        <f>HYPERLINK("https://www.google.com/maps/search/Praia%20do%20Lago%20Moura%20Alentejo%20Portugal","📍 Praia do Lago")</f>
        <v>📍 Praia do Lago</v>
      </c>
    </row>
    <row r="96" spans="1:9" ht="20" customHeight="1" x14ac:dyDescent="0.45">
      <c r="A96" s="1595" t="s">
        <v>18758</v>
      </c>
      <c r="B96" s="1313"/>
      <c r="C96" s="1313"/>
      <c r="D96" s="1313"/>
      <c r="E96" s="1313"/>
      <c r="F96" s="1313"/>
      <c r="G96" s="1313"/>
      <c r="H96" s="1313"/>
      <c r="I96" s="1313"/>
    </row>
    <row r="97" spans="1:9" ht="36" customHeight="1" x14ac:dyDescent="0.4">
      <c r="A97" s="672">
        <v>73</v>
      </c>
      <c r="B97" s="671" t="s">
        <v>18797</v>
      </c>
      <c r="C97" s="673" t="s">
        <v>853</v>
      </c>
      <c r="D97" s="671" t="s">
        <v>6102</v>
      </c>
      <c r="E97" s="671" t="s">
        <v>1482</v>
      </c>
      <c r="F97" s="674" t="s">
        <v>10776</v>
      </c>
      <c r="G97" s="675" t="s">
        <v>18632</v>
      </c>
      <c r="H97" s="671" t="s">
        <v>18798</v>
      </c>
      <c r="I97" s="682" t="str">
        <f>HYPERLINK("https://www.google.com/maps/search/Praia%20Fluvial%20de%20Mour%C3%A3o%20Mour%C3%A3o%20Alentejo%20Portugal","📍 Praia Fluvial de Mourão")</f>
        <v>📍 Praia Fluvial de Mourão</v>
      </c>
    </row>
    <row r="98" spans="1:9" ht="20" customHeight="1" x14ac:dyDescent="0.45">
      <c r="A98" s="1595" t="s">
        <v>18759</v>
      </c>
      <c r="B98" s="1313"/>
      <c r="C98" s="1313"/>
      <c r="D98" s="1313"/>
      <c r="E98" s="1313"/>
      <c r="F98" s="1313"/>
      <c r="G98" s="1313"/>
      <c r="H98" s="1313"/>
      <c r="I98" s="1313"/>
    </row>
    <row r="99" spans="1:9" ht="36" customHeight="1" x14ac:dyDescent="0.4">
      <c r="A99" s="678">
        <v>74</v>
      </c>
      <c r="B99" s="677" t="s">
        <v>18799</v>
      </c>
      <c r="C99" s="679" t="s">
        <v>853</v>
      </c>
      <c r="D99" s="677" t="s">
        <v>2143</v>
      </c>
      <c r="E99" s="677" t="s">
        <v>18631</v>
      </c>
      <c r="F99" s="680" t="s">
        <v>2789</v>
      </c>
      <c r="G99" s="681" t="s">
        <v>18632</v>
      </c>
      <c r="H99" s="677" t="s">
        <v>18800</v>
      </c>
      <c r="I99" s="683" t="str">
        <f>HYPERLINK("https://www.google.com/maps/search/Almograve%20Norte%20Odemira%20Alentejo%20Portugal","📍 Almograve Norte")</f>
        <v>📍 Almograve Norte</v>
      </c>
    </row>
    <row r="100" spans="1:9" ht="36" customHeight="1" x14ac:dyDescent="0.4">
      <c r="A100" s="672">
        <v>75</v>
      </c>
      <c r="B100" s="671" t="s">
        <v>18801</v>
      </c>
      <c r="C100" s="673" t="s">
        <v>853</v>
      </c>
      <c r="D100" s="671" t="s">
        <v>2143</v>
      </c>
      <c r="E100" s="671" t="s">
        <v>18631</v>
      </c>
      <c r="F100" s="674" t="s">
        <v>2789</v>
      </c>
      <c r="G100" s="675" t="s">
        <v>18632</v>
      </c>
      <c r="H100" s="671" t="s">
        <v>18802</v>
      </c>
      <c r="I100" s="682" t="str">
        <f>HYPERLINK("https://www.google.com/maps/search/Almograve%20Sul%20Odemira%20Alentejo%20Portugal","📍 Almograve Sul")</f>
        <v>📍 Almograve Sul</v>
      </c>
    </row>
    <row r="101" spans="1:9" ht="36" customHeight="1" x14ac:dyDescent="0.4">
      <c r="A101" s="678">
        <v>76</v>
      </c>
      <c r="B101" s="677" t="s">
        <v>18803</v>
      </c>
      <c r="C101" s="679" t="s">
        <v>853</v>
      </c>
      <c r="D101" s="677" t="s">
        <v>2143</v>
      </c>
      <c r="E101" s="677" t="s">
        <v>18631</v>
      </c>
      <c r="F101" s="680" t="s">
        <v>2789</v>
      </c>
      <c r="G101" s="681" t="s">
        <v>18632</v>
      </c>
      <c r="H101" s="677" t="s">
        <v>18804</v>
      </c>
      <c r="I101" s="683" t="str">
        <f>HYPERLINK("https://www.google.com/maps/search/Alteirinhos%20Odemira%20Alentejo%20Portugal","📍 Alteirinhos")</f>
        <v>📍 Alteirinhos</v>
      </c>
    </row>
    <row r="102" spans="1:9" ht="36" customHeight="1" x14ac:dyDescent="0.4">
      <c r="A102" s="672">
        <v>77</v>
      </c>
      <c r="B102" s="671" t="s">
        <v>18805</v>
      </c>
      <c r="C102" s="673" t="s">
        <v>853</v>
      </c>
      <c r="D102" s="671" t="s">
        <v>2143</v>
      </c>
      <c r="E102" s="671" t="s">
        <v>18631</v>
      </c>
      <c r="F102" s="674" t="s">
        <v>2789</v>
      </c>
      <c r="G102" s="675" t="s">
        <v>18632</v>
      </c>
      <c r="H102" s="671" t="s">
        <v>18806</v>
      </c>
      <c r="I102" s="682" t="str">
        <f>HYPERLINK("https://www.google.com/maps/search/Carvalhal%20(Odemira)%20Odemira%20Alentejo%20Portugal","📍 Carvalhal (Odemira)")</f>
        <v>📍 Carvalhal (Odemira)</v>
      </c>
    </row>
    <row r="103" spans="1:9" ht="36" customHeight="1" x14ac:dyDescent="0.4">
      <c r="A103" s="678">
        <v>78</v>
      </c>
      <c r="B103" s="677" t="s">
        <v>18807</v>
      </c>
      <c r="C103" s="679" t="s">
        <v>853</v>
      </c>
      <c r="D103" s="677" t="s">
        <v>2143</v>
      </c>
      <c r="E103" s="677" t="s">
        <v>18631</v>
      </c>
      <c r="F103" s="680" t="s">
        <v>2789</v>
      </c>
      <c r="G103" s="681" t="s">
        <v>18632</v>
      </c>
      <c r="H103" s="677" t="s">
        <v>18808</v>
      </c>
      <c r="I103" s="683" t="str">
        <f>HYPERLINK("https://www.google.com/maps/search/Farol%20Odemira%20Alentejo%20Portugal","📍 Farol")</f>
        <v>📍 Farol</v>
      </c>
    </row>
    <row r="104" spans="1:9" ht="36" customHeight="1" x14ac:dyDescent="0.4">
      <c r="A104" s="672">
        <v>79</v>
      </c>
      <c r="B104" s="671" t="s">
        <v>18809</v>
      </c>
      <c r="C104" s="673" t="s">
        <v>853</v>
      </c>
      <c r="D104" s="671" t="s">
        <v>2143</v>
      </c>
      <c r="E104" s="671" t="s">
        <v>18810</v>
      </c>
      <c r="F104" s="674" t="s">
        <v>2789</v>
      </c>
      <c r="G104" s="675" t="s">
        <v>18632</v>
      </c>
      <c r="H104" s="671" t="s">
        <v>18811</v>
      </c>
      <c r="I104" s="682" t="str">
        <f>HYPERLINK("https://www.google.com/maps/search/Franquia%20Odemira%20Alentejo%20Portugal","📍 Franquia")</f>
        <v>📍 Franquia</v>
      </c>
    </row>
    <row r="105" spans="1:9" ht="36" customHeight="1" x14ac:dyDescent="0.4">
      <c r="A105" s="678">
        <v>80</v>
      </c>
      <c r="B105" s="677" t="s">
        <v>18812</v>
      </c>
      <c r="C105" s="679" t="s">
        <v>853</v>
      </c>
      <c r="D105" s="677" t="s">
        <v>2143</v>
      </c>
      <c r="E105" s="677" t="s">
        <v>18631</v>
      </c>
      <c r="F105" s="680" t="s">
        <v>2789</v>
      </c>
      <c r="G105" s="681" t="s">
        <v>18632</v>
      </c>
      <c r="H105" s="677" t="s">
        <v>18813</v>
      </c>
      <c r="I105" s="683" t="str">
        <f>HYPERLINK("https://www.google.com/maps/search/Furnas%20Mar%20Odemira%20Alentejo%20Portugal","📍 Furnas Mar")</f>
        <v>📍 Furnas Mar</v>
      </c>
    </row>
    <row r="106" spans="1:9" ht="36" customHeight="1" x14ac:dyDescent="0.4">
      <c r="A106" s="672">
        <v>81</v>
      </c>
      <c r="B106" s="671" t="s">
        <v>18814</v>
      </c>
      <c r="C106" s="673" t="s">
        <v>853</v>
      </c>
      <c r="D106" s="671" t="s">
        <v>2143</v>
      </c>
      <c r="E106" s="671" t="s">
        <v>1482</v>
      </c>
      <c r="F106" s="674" t="s">
        <v>2789</v>
      </c>
      <c r="G106" s="675" t="s">
        <v>18632</v>
      </c>
      <c r="H106" s="671" t="s">
        <v>18815</v>
      </c>
      <c r="I106" s="682" t="str">
        <f>HYPERLINK("https://www.google.com/maps/search/Furnas%20Rio%20Odemira%20Alentejo%20Portugal","📍 Furnas Rio")</f>
        <v>📍 Furnas Rio</v>
      </c>
    </row>
    <row r="107" spans="1:9" ht="36" customHeight="1" x14ac:dyDescent="0.4">
      <c r="A107" s="678">
        <v>82</v>
      </c>
      <c r="B107" s="677" t="s">
        <v>18816</v>
      </c>
      <c r="C107" s="679" t="s">
        <v>853</v>
      </c>
      <c r="D107" s="677" t="s">
        <v>2143</v>
      </c>
      <c r="E107" s="677" t="s">
        <v>18631</v>
      </c>
      <c r="F107" s="680" t="s">
        <v>2789</v>
      </c>
      <c r="G107" s="681" t="s">
        <v>18632</v>
      </c>
      <c r="H107" s="677" t="s">
        <v>18817</v>
      </c>
      <c r="I107" s="683" t="str">
        <f>HYPERLINK("https://www.google.com/maps/search/Malh%C3%A3o%20Norte%20Odemira%20Alentejo%20Portugal","📍 Malhão Norte")</f>
        <v>📍 Malhão Norte</v>
      </c>
    </row>
    <row r="108" spans="1:9" ht="36" customHeight="1" x14ac:dyDescent="0.4">
      <c r="A108" s="672">
        <v>83</v>
      </c>
      <c r="B108" s="671" t="s">
        <v>18818</v>
      </c>
      <c r="C108" s="673" t="s">
        <v>853</v>
      </c>
      <c r="D108" s="671" t="s">
        <v>2143</v>
      </c>
      <c r="E108" s="671" t="s">
        <v>18631</v>
      </c>
      <c r="F108" s="674" t="s">
        <v>2789</v>
      </c>
      <c r="G108" s="675" t="s">
        <v>18632</v>
      </c>
      <c r="H108" s="671" t="s">
        <v>18819</v>
      </c>
      <c r="I108" s="682" t="str">
        <f>HYPERLINK("https://www.google.com/maps/search/Malh%C3%A3o%20Sul%20Odemira%20Alentejo%20Portugal","📍 Malhão Sul")</f>
        <v>📍 Malhão Sul</v>
      </c>
    </row>
    <row r="109" spans="1:9" ht="36" customHeight="1" x14ac:dyDescent="0.4">
      <c r="A109" s="678">
        <v>84</v>
      </c>
      <c r="B109" s="677" t="s">
        <v>18820</v>
      </c>
      <c r="C109" s="679" t="s">
        <v>853</v>
      </c>
      <c r="D109" s="677" t="s">
        <v>2143</v>
      </c>
      <c r="E109" s="677" t="s">
        <v>1482</v>
      </c>
      <c r="F109" s="680" t="s">
        <v>18821</v>
      </c>
      <c r="G109" s="681" t="s">
        <v>18632</v>
      </c>
      <c r="H109" s="677" t="s">
        <v>18822</v>
      </c>
      <c r="I109" s="683" t="str">
        <f>HYPERLINK("https://www.google.com/maps/search/Santa%20Clara%20Odemira%20Alentejo%20Portugal","📍 Santa Clara")</f>
        <v>📍 Santa Clara</v>
      </c>
    </row>
    <row r="110" spans="1:9" ht="20" customHeight="1" x14ac:dyDescent="0.45">
      <c r="A110" s="1595" t="s">
        <v>18760</v>
      </c>
      <c r="B110" s="1313"/>
      <c r="C110" s="1313"/>
      <c r="D110" s="1313"/>
      <c r="E110" s="1313"/>
      <c r="F110" s="1313"/>
      <c r="G110" s="1313"/>
      <c r="H110" s="1313"/>
      <c r="I110" s="1313"/>
    </row>
    <row r="111" spans="1:9" ht="36" customHeight="1" x14ac:dyDescent="0.4">
      <c r="A111" s="672">
        <v>85</v>
      </c>
      <c r="B111" s="671" t="s">
        <v>15400</v>
      </c>
      <c r="C111" s="673" t="s">
        <v>853</v>
      </c>
      <c r="D111" s="671" t="s">
        <v>8687</v>
      </c>
      <c r="E111" s="671" t="s">
        <v>1482</v>
      </c>
      <c r="F111" s="674" t="s">
        <v>10776</v>
      </c>
      <c r="G111" s="675" t="s">
        <v>18632</v>
      </c>
      <c r="H111" s="671" t="s">
        <v>18823</v>
      </c>
      <c r="I111" s="682" t="str">
        <f>HYPERLINK("https://www.google.com/maps/search/Amieira%20Portel%20Alentejo%20Portugal","📍 Amieira")</f>
        <v>📍 Amieira</v>
      </c>
    </row>
    <row r="112" spans="1:9" ht="36" customHeight="1" x14ac:dyDescent="0.4">
      <c r="A112" s="678">
        <v>86</v>
      </c>
      <c r="B112" s="677" t="s">
        <v>18824</v>
      </c>
      <c r="C112" s="679" t="s">
        <v>853</v>
      </c>
      <c r="D112" s="677" t="s">
        <v>8687</v>
      </c>
      <c r="E112" s="677" t="s">
        <v>1482</v>
      </c>
      <c r="F112" s="680" t="s">
        <v>10776</v>
      </c>
      <c r="G112" s="681" t="s">
        <v>18632</v>
      </c>
      <c r="H112" s="677" t="s">
        <v>18825</v>
      </c>
      <c r="I112" s="683" t="str">
        <f>HYPERLINK("https://www.google.com/maps/search/Praia%20Fluvial%20de%20Alqueva%20Portel%20Alentejo%20Portugal","📍 Praia Fluvial de Alqueva")</f>
        <v>📍 Praia Fluvial de Alqueva</v>
      </c>
    </row>
    <row r="113" spans="1:9" ht="20" customHeight="1" x14ac:dyDescent="0.45">
      <c r="A113" s="1595" t="s">
        <v>18761</v>
      </c>
      <c r="B113" s="1313"/>
      <c r="C113" s="1313"/>
      <c r="D113" s="1313"/>
      <c r="E113" s="1313"/>
      <c r="F113" s="1313"/>
      <c r="G113" s="1313"/>
      <c r="H113" s="1313"/>
      <c r="I113" s="1313"/>
    </row>
    <row r="114" spans="1:9" ht="36" customHeight="1" x14ac:dyDescent="0.4">
      <c r="A114" s="672">
        <v>87</v>
      </c>
      <c r="B114" s="671" t="s">
        <v>18826</v>
      </c>
      <c r="C114" s="673" t="s">
        <v>853</v>
      </c>
      <c r="D114" s="671" t="s">
        <v>7980</v>
      </c>
      <c r="E114" s="671" t="s">
        <v>1482</v>
      </c>
      <c r="F114" s="674" t="s">
        <v>10776</v>
      </c>
      <c r="G114" s="675" t="s">
        <v>18632</v>
      </c>
      <c r="H114" s="671" t="s">
        <v>18827</v>
      </c>
      <c r="I114" s="682" t="str">
        <f>HYPERLINK("https://www.google.com/maps/search/Praia%20Fluvial%20de%20Monsaraz%20Reguengos%20de%20Monsaraz%20Alentejo%20Portugal","📍 Praia Fluvial de Monsaraz")</f>
        <v>📍 Praia Fluvial de Monsaraz</v>
      </c>
    </row>
    <row r="115" spans="1:9" ht="20" customHeight="1" x14ac:dyDescent="0.45">
      <c r="A115" s="1595" t="s">
        <v>18762</v>
      </c>
      <c r="B115" s="1313"/>
      <c r="C115" s="1313"/>
      <c r="D115" s="1313"/>
      <c r="E115" s="1313"/>
      <c r="F115" s="1313"/>
      <c r="G115" s="1313"/>
      <c r="H115" s="1313"/>
      <c r="I115" s="1313"/>
    </row>
    <row r="116" spans="1:9" ht="36" customHeight="1" x14ac:dyDescent="0.4">
      <c r="A116" s="678">
        <v>88</v>
      </c>
      <c r="B116" s="677" t="s">
        <v>18828</v>
      </c>
      <c r="C116" s="679" t="s">
        <v>853</v>
      </c>
      <c r="D116" s="677" t="s">
        <v>7447</v>
      </c>
      <c r="E116" s="677" t="s">
        <v>18829</v>
      </c>
      <c r="F116" s="680" t="s">
        <v>18821</v>
      </c>
      <c r="G116" s="681" t="s">
        <v>18632</v>
      </c>
      <c r="H116" s="677" t="s">
        <v>18830</v>
      </c>
      <c r="I116" s="683" t="str">
        <f>HYPERLINK("https://www.google.com/maps/search/Costa%20de%20Santo%20Andr%C3%A9%20Santiago%20do%20Cac%C3%A9m%20Alentejo%20Portugal","📍 Costa de Santo André")</f>
        <v>📍 Costa de Santo André</v>
      </c>
    </row>
    <row r="117" spans="1:9" ht="36" customHeight="1" x14ac:dyDescent="0.4">
      <c r="A117" s="672">
        <v>89</v>
      </c>
      <c r="B117" s="671" t="s">
        <v>18831</v>
      </c>
      <c r="C117" s="673" t="s">
        <v>853</v>
      </c>
      <c r="D117" s="671" t="s">
        <v>7447</v>
      </c>
      <c r="E117" s="671" t="s">
        <v>18631</v>
      </c>
      <c r="F117" s="674" t="s">
        <v>18821</v>
      </c>
      <c r="G117" s="675" t="s">
        <v>18632</v>
      </c>
      <c r="H117" s="671" t="s">
        <v>18832</v>
      </c>
      <c r="I117" s="682" t="str">
        <f>HYPERLINK("https://www.google.com/maps/search/Fonte%20do%20Corti%C3%A7o%20Santiago%20do%20Cac%C3%A9m%20Alentejo%20Portugal","📍 Fonte do Cortiço")</f>
        <v>📍 Fonte do Cortiço</v>
      </c>
    </row>
    <row r="118" spans="1:9" ht="36" customHeight="1" x14ac:dyDescent="0.4">
      <c r="A118" s="678">
        <v>90</v>
      </c>
      <c r="B118" s="677" t="s">
        <v>18833</v>
      </c>
      <c r="C118" s="679" t="s">
        <v>853</v>
      </c>
      <c r="D118" s="677" t="s">
        <v>7447</v>
      </c>
      <c r="E118" s="677" t="s">
        <v>18631</v>
      </c>
      <c r="F118" s="680" t="s">
        <v>18821</v>
      </c>
      <c r="G118" s="681" t="s">
        <v>18632</v>
      </c>
      <c r="H118" s="677" t="s">
        <v>18834</v>
      </c>
      <c r="I118" s="683" t="str">
        <f>HYPERLINK("https://www.google.com/maps/search/Monte%20Velho-Porto%20das%20Carretas%20Santiago%20do%20Cac%C3%A9m%20Alentejo%20Portugal","📍 Monte Velho-Porto das Carretas")</f>
        <v>📍 Monte Velho-Porto das Carretas</v>
      </c>
    </row>
    <row r="119" spans="1:9" ht="20" customHeight="1" x14ac:dyDescent="0.45">
      <c r="A119" s="1595" t="s">
        <v>18763</v>
      </c>
      <c r="B119" s="1313"/>
      <c r="C119" s="1313"/>
      <c r="D119" s="1313"/>
      <c r="E119" s="1313"/>
      <c r="F119" s="1313"/>
      <c r="G119" s="1313"/>
      <c r="H119" s="1313"/>
      <c r="I119" s="1313"/>
    </row>
    <row r="120" spans="1:9" ht="36" customHeight="1" x14ac:dyDescent="0.4">
      <c r="A120" s="672">
        <v>91</v>
      </c>
      <c r="B120" s="671" t="s">
        <v>18835</v>
      </c>
      <c r="C120" s="673" t="s">
        <v>853</v>
      </c>
      <c r="D120" s="671" t="s">
        <v>5947</v>
      </c>
      <c r="E120" s="671" t="s">
        <v>18631</v>
      </c>
      <c r="F120" s="674" t="s">
        <v>18836</v>
      </c>
      <c r="G120" s="675" t="s">
        <v>18632</v>
      </c>
      <c r="H120" s="671" t="s">
        <v>18837</v>
      </c>
      <c r="I120" s="682" t="str">
        <f>HYPERLINK("https://www.google.com/maps/search/Calif%C3%B3rnia%20Sesimbra%20Alentejo%20Portugal","📍 Califórnia")</f>
        <v>📍 Califórnia</v>
      </c>
    </row>
    <row r="121" spans="1:9" ht="36" customHeight="1" x14ac:dyDescent="0.4">
      <c r="A121" s="678">
        <v>92</v>
      </c>
      <c r="B121" s="677" t="s">
        <v>18838</v>
      </c>
      <c r="C121" s="679" t="s">
        <v>853</v>
      </c>
      <c r="D121" s="677" t="s">
        <v>5947</v>
      </c>
      <c r="E121" s="677" t="s">
        <v>18631</v>
      </c>
      <c r="F121" s="680" t="s">
        <v>18836</v>
      </c>
      <c r="G121" s="681" t="s">
        <v>18632</v>
      </c>
      <c r="H121" s="677" t="s">
        <v>18839</v>
      </c>
      <c r="I121" s="683" t="str">
        <f>HYPERLINK("https://www.google.com/maps/search/Ouro%20Sesimbra%20Alentejo%20Portugal","📍 Ouro")</f>
        <v>📍 Ouro</v>
      </c>
    </row>
    <row r="122" spans="1:9" ht="20" customHeight="1" x14ac:dyDescent="0.45">
      <c r="A122" s="1595" t="s">
        <v>18764</v>
      </c>
      <c r="B122" s="1313"/>
      <c r="C122" s="1313"/>
      <c r="D122" s="1313"/>
      <c r="E122" s="1313"/>
      <c r="F122" s="1313"/>
      <c r="G122" s="1313"/>
      <c r="H122" s="1313"/>
      <c r="I122" s="1313"/>
    </row>
    <row r="123" spans="1:9" ht="36" customHeight="1" x14ac:dyDescent="0.4">
      <c r="A123" s="672">
        <v>93</v>
      </c>
      <c r="B123" s="671" t="s">
        <v>18840</v>
      </c>
      <c r="C123" s="673" t="s">
        <v>853</v>
      </c>
      <c r="D123" s="671" t="s">
        <v>1347</v>
      </c>
      <c r="E123" s="671" t="s">
        <v>18631</v>
      </c>
      <c r="F123" s="674" t="s">
        <v>18836</v>
      </c>
      <c r="G123" s="675" t="s">
        <v>18632</v>
      </c>
      <c r="H123" s="671" t="s">
        <v>18841</v>
      </c>
      <c r="I123" s="682" t="str">
        <f>HYPERLINK("https://www.google.com/maps/search/Albarquel%20Set%C3%BAbal%20Alentejo%20Portugal","📍 Albarquel")</f>
        <v>📍 Albarquel</v>
      </c>
    </row>
    <row r="124" spans="1:9" ht="36" customHeight="1" x14ac:dyDescent="0.4">
      <c r="A124" s="678">
        <v>94</v>
      </c>
      <c r="B124" s="677" t="s">
        <v>18842</v>
      </c>
      <c r="C124" s="679" t="s">
        <v>853</v>
      </c>
      <c r="D124" s="677" t="s">
        <v>1347</v>
      </c>
      <c r="E124" s="677" t="s">
        <v>18631</v>
      </c>
      <c r="F124" s="680" t="s">
        <v>1346</v>
      </c>
      <c r="G124" s="681" t="s">
        <v>18632</v>
      </c>
      <c r="H124" s="677" t="s">
        <v>18843</v>
      </c>
      <c r="I124" s="683" t="str">
        <f>HYPERLINK("https://www.google.com/maps/search/Figueirinha%20Set%C3%BAbal%20Alentejo%20Portugal","📍 Figueirinha")</f>
        <v>📍 Figueirinha</v>
      </c>
    </row>
    <row r="125" spans="1:9" ht="36" customHeight="1" x14ac:dyDescent="0.4">
      <c r="A125" s="672">
        <v>95</v>
      </c>
      <c r="B125" s="671" t="s">
        <v>18844</v>
      </c>
      <c r="C125" s="673" t="s">
        <v>853</v>
      </c>
      <c r="D125" s="671" t="s">
        <v>1347</v>
      </c>
      <c r="E125" s="671" t="s">
        <v>18631</v>
      </c>
      <c r="F125" s="674" t="s">
        <v>18836</v>
      </c>
      <c r="G125" s="675" t="s">
        <v>18632</v>
      </c>
      <c r="H125" s="671" t="s">
        <v>18845</v>
      </c>
      <c r="I125" s="682" t="str">
        <f>HYPERLINK("https://www.google.com/maps/search/ACALA%20Set%C3%BAbal%20Alentejo%20Portugal","📍 ACALA")</f>
        <v>📍 ACALA</v>
      </c>
    </row>
    <row r="126" spans="1:9" ht="20" customHeight="1" x14ac:dyDescent="0.45">
      <c r="A126" s="1595" t="s">
        <v>18765</v>
      </c>
      <c r="B126" s="1313"/>
      <c r="C126" s="1313"/>
      <c r="D126" s="1313"/>
      <c r="E126" s="1313"/>
      <c r="F126" s="1313"/>
      <c r="G126" s="1313"/>
      <c r="H126" s="1313"/>
      <c r="I126" s="1313"/>
    </row>
    <row r="127" spans="1:9" ht="36" customHeight="1" x14ac:dyDescent="0.4">
      <c r="A127" s="678">
        <v>96</v>
      </c>
      <c r="B127" s="677" t="s">
        <v>18846</v>
      </c>
      <c r="C127" s="679" t="s">
        <v>853</v>
      </c>
      <c r="D127" s="677" t="s">
        <v>6226</v>
      </c>
      <c r="E127" s="677" t="s">
        <v>18631</v>
      </c>
      <c r="F127" s="680" t="s">
        <v>18847</v>
      </c>
      <c r="G127" s="681" t="s">
        <v>18632</v>
      </c>
      <c r="H127" s="677" t="s">
        <v>18848</v>
      </c>
      <c r="I127" s="683" t="str">
        <f>HYPERLINK("https://www.google.com/maps/search/Grande%20de%20Porto%20C%C3%B4vo%20Sines%20Alentejo%20Portugal","📍 Grande de Porto Côvo")</f>
        <v>📍 Grande de Porto Côvo</v>
      </c>
    </row>
    <row r="128" spans="1:9" ht="36" customHeight="1" x14ac:dyDescent="0.4">
      <c r="A128" s="672">
        <v>97</v>
      </c>
      <c r="B128" s="671" t="s">
        <v>17139</v>
      </c>
      <c r="C128" s="673" t="s">
        <v>853</v>
      </c>
      <c r="D128" s="671" t="s">
        <v>6226</v>
      </c>
      <c r="E128" s="671" t="s">
        <v>18631</v>
      </c>
      <c r="F128" s="674" t="s">
        <v>2789</v>
      </c>
      <c r="G128" s="675" t="s">
        <v>18632</v>
      </c>
      <c r="H128" s="671" t="s">
        <v>18849</v>
      </c>
      <c r="I128" s="682" t="str">
        <f>HYPERLINK("https://www.google.com/maps/search/Ilha%20do%20Pessegueiro%20Sines%20Alentejo%20Portugal","📍 Ilha do Pessegueiro")</f>
        <v>📍 Ilha do Pessegueiro</v>
      </c>
    </row>
    <row r="129" spans="1:9" ht="36" customHeight="1" x14ac:dyDescent="0.4">
      <c r="A129" s="678">
        <v>98</v>
      </c>
      <c r="B129" s="677" t="s">
        <v>18850</v>
      </c>
      <c r="C129" s="679" t="s">
        <v>853</v>
      </c>
      <c r="D129" s="677" t="s">
        <v>6226</v>
      </c>
      <c r="E129" s="677" t="s">
        <v>18631</v>
      </c>
      <c r="F129" s="680" t="s">
        <v>18773</v>
      </c>
      <c r="G129" s="681" t="s">
        <v>18632</v>
      </c>
      <c r="H129" s="677" t="s">
        <v>18851</v>
      </c>
      <c r="I129" s="683" t="str">
        <f>HYPERLINK("https://www.google.com/maps/search/S.%20Torpes%20Sines%20Alentejo%20Portugal","📍 S. Torpes")</f>
        <v>📍 S. Torpes</v>
      </c>
    </row>
    <row r="130" spans="1:9" ht="36" customHeight="1" x14ac:dyDescent="0.4">
      <c r="A130" s="672">
        <v>99</v>
      </c>
      <c r="B130" s="671" t="s">
        <v>18852</v>
      </c>
      <c r="C130" s="673" t="s">
        <v>853</v>
      </c>
      <c r="D130" s="671" t="s">
        <v>6226</v>
      </c>
      <c r="E130" s="671" t="s">
        <v>18631</v>
      </c>
      <c r="F130" s="674" t="s">
        <v>18773</v>
      </c>
      <c r="G130" s="675" t="s">
        <v>18632</v>
      </c>
      <c r="H130" s="671" t="s">
        <v>18853</v>
      </c>
      <c r="I130" s="682" t="str">
        <f>HYPERLINK("https://www.google.com/maps/search/Vieirinha%20-%20Vale%20de%20Figueiros%20Sines%20Alentejo%20Portugal","📍 Vieirinha - Vale de Figueiros")</f>
        <v>📍 Vieirinha - Vale de Figueiros</v>
      </c>
    </row>
    <row r="131" spans="1:9" ht="24" customHeight="1" x14ac:dyDescent="0.45">
      <c r="A131" s="1603" t="s">
        <v>18854</v>
      </c>
      <c r="B131" s="1313"/>
      <c r="C131" s="1313"/>
      <c r="D131" s="1313"/>
      <c r="E131" s="1313"/>
      <c r="F131" s="1313"/>
      <c r="G131" s="1313"/>
      <c r="H131" s="1313"/>
      <c r="I131" s="1313"/>
    </row>
    <row r="132" spans="1:9" ht="20" customHeight="1" x14ac:dyDescent="0.45">
      <c r="A132" s="1595" t="s">
        <v>18855</v>
      </c>
      <c r="B132" s="1313"/>
      <c r="C132" s="1313"/>
      <c r="D132" s="1313"/>
      <c r="E132" s="1313"/>
      <c r="F132" s="1313"/>
      <c r="G132" s="1313"/>
      <c r="H132" s="1313"/>
      <c r="I132" s="1313"/>
    </row>
    <row r="133" spans="1:9" ht="36" customHeight="1" x14ac:dyDescent="0.4">
      <c r="A133" s="678">
        <v>100</v>
      </c>
      <c r="B133" s="677" t="s">
        <v>18868</v>
      </c>
      <c r="C133" s="679" t="s">
        <v>767</v>
      </c>
      <c r="D133" s="677" t="s">
        <v>2186</v>
      </c>
      <c r="E133" s="677" t="s">
        <v>18631</v>
      </c>
      <c r="F133" s="680" t="s">
        <v>18869</v>
      </c>
      <c r="G133" s="681" t="s">
        <v>18632</v>
      </c>
      <c r="H133" s="677" t="s">
        <v>18870</v>
      </c>
      <c r="I133" s="683" t="str">
        <f>HYPERLINK("https://www.google.com/maps/search/Alem%C3%A3es%20Albufeira%20Algarve%20Portugal","📍 Alemães")</f>
        <v>📍 Alemães</v>
      </c>
    </row>
    <row r="134" spans="1:9" ht="36" customHeight="1" x14ac:dyDescent="0.4">
      <c r="A134" s="672">
        <v>101</v>
      </c>
      <c r="B134" s="671" t="s">
        <v>18871</v>
      </c>
      <c r="C134" s="673" t="s">
        <v>767</v>
      </c>
      <c r="D134" s="671" t="s">
        <v>2186</v>
      </c>
      <c r="E134" s="671" t="s">
        <v>18631</v>
      </c>
      <c r="F134" s="674" t="s">
        <v>18869</v>
      </c>
      <c r="G134" s="675" t="s">
        <v>18632</v>
      </c>
      <c r="H134" s="671" t="s">
        <v>18872</v>
      </c>
      <c r="I134" s="682" t="str">
        <f>HYPERLINK("https://www.google.com/maps/search/Arrifes%20Albufeira%20Algarve%20Portugal","📍 Arrifes")</f>
        <v>📍 Arrifes</v>
      </c>
    </row>
    <row r="135" spans="1:9" ht="36" customHeight="1" x14ac:dyDescent="0.4">
      <c r="A135" s="678">
        <v>102</v>
      </c>
      <c r="B135" s="677" t="s">
        <v>18873</v>
      </c>
      <c r="C135" s="679" t="s">
        <v>767</v>
      </c>
      <c r="D135" s="677" t="s">
        <v>2186</v>
      </c>
      <c r="E135" s="677" t="s">
        <v>18631</v>
      </c>
      <c r="F135" s="680" t="s">
        <v>18869</v>
      </c>
      <c r="G135" s="681" t="s">
        <v>18632</v>
      </c>
      <c r="H135" s="677" t="s">
        <v>18874</v>
      </c>
      <c r="I135" s="683" t="str">
        <f>HYPERLINK("https://www.google.com/maps/search/Aveiros%20Albufeira%20Algarve%20Portugal","📍 Aveiros")</f>
        <v>📍 Aveiros</v>
      </c>
    </row>
    <row r="136" spans="1:9" ht="36" customHeight="1" x14ac:dyDescent="0.4">
      <c r="A136" s="672">
        <v>103</v>
      </c>
      <c r="B136" s="671" t="s">
        <v>18875</v>
      </c>
      <c r="C136" s="673" t="s">
        <v>767</v>
      </c>
      <c r="D136" s="671" t="s">
        <v>2186</v>
      </c>
      <c r="E136" s="671" t="s">
        <v>18631</v>
      </c>
      <c r="F136" s="674" t="s">
        <v>18869</v>
      </c>
      <c r="G136" s="675" t="s">
        <v>18632</v>
      </c>
      <c r="H136" s="671" t="s">
        <v>18876</v>
      </c>
      <c r="I136" s="682" t="str">
        <f>HYPERLINK("https://www.google.com/maps/search/Belharucas%20Albufeira%20Algarve%20Portugal","📍 Belharucas")</f>
        <v>📍 Belharucas</v>
      </c>
    </row>
    <row r="137" spans="1:9" ht="36" customHeight="1" x14ac:dyDescent="0.4">
      <c r="A137" s="678">
        <v>104</v>
      </c>
      <c r="B137" s="677" t="s">
        <v>1423</v>
      </c>
      <c r="C137" s="679" t="s">
        <v>767</v>
      </c>
      <c r="D137" s="677" t="s">
        <v>2186</v>
      </c>
      <c r="E137" s="677" t="s">
        <v>18631</v>
      </c>
      <c r="F137" s="680" t="s">
        <v>18869</v>
      </c>
      <c r="G137" s="681" t="s">
        <v>18632</v>
      </c>
      <c r="H137" s="677" t="s">
        <v>18877</v>
      </c>
      <c r="I137" s="683" t="str">
        <f>HYPERLINK("https://www.google.com/maps/search/Castelo%20Albufeira%20Algarve%20Portugal","📍 Castelo")</f>
        <v>📍 Castelo</v>
      </c>
    </row>
    <row r="138" spans="1:9" ht="36" customHeight="1" x14ac:dyDescent="0.4">
      <c r="A138" s="672">
        <v>105</v>
      </c>
      <c r="B138" s="671" t="s">
        <v>18878</v>
      </c>
      <c r="C138" s="673" t="s">
        <v>767</v>
      </c>
      <c r="D138" s="671" t="s">
        <v>2186</v>
      </c>
      <c r="E138" s="671" t="s">
        <v>18631</v>
      </c>
      <c r="F138" s="674" t="s">
        <v>18869</v>
      </c>
      <c r="G138" s="675" t="s">
        <v>18632</v>
      </c>
      <c r="H138" s="671" t="s">
        <v>18879</v>
      </c>
      <c r="I138" s="682" t="str">
        <f>HYPERLINK("https://www.google.com/maps/search/Coelha%20Albufeira%20Algarve%20Portugal","📍 Coelha")</f>
        <v>📍 Coelha</v>
      </c>
    </row>
    <row r="139" spans="1:9" ht="36" customHeight="1" x14ac:dyDescent="0.4">
      <c r="A139" s="678">
        <v>106</v>
      </c>
      <c r="B139" s="677" t="s">
        <v>18880</v>
      </c>
      <c r="C139" s="679" t="s">
        <v>767</v>
      </c>
      <c r="D139" s="677" t="s">
        <v>2186</v>
      </c>
      <c r="E139" s="677" t="s">
        <v>18631</v>
      </c>
      <c r="F139" s="680" t="s">
        <v>18869</v>
      </c>
      <c r="G139" s="681" t="s">
        <v>18632</v>
      </c>
      <c r="H139" s="677" t="s">
        <v>18881</v>
      </c>
      <c r="I139" s="683" t="str">
        <f>HYPERLINK("https://www.google.com/maps/search/Evaristo%20Albufeira%20Algarve%20Portugal","📍 Evaristo")</f>
        <v>📍 Evaristo</v>
      </c>
    </row>
    <row r="140" spans="1:9" ht="36" customHeight="1" x14ac:dyDescent="0.4">
      <c r="A140" s="672">
        <v>107</v>
      </c>
      <c r="B140" s="671" t="s">
        <v>18882</v>
      </c>
      <c r="C140" s="673" t="s">
        <v>767</v>
      </c>
      <c r="D140" s="671" t="s">
        <v>2186</v>
      </c>
      <c r="E140" s="671" t="s">
        <v>18631</v>
      </c>
      <c r="F140" s="674" t="s">
        <v>18869</v>
      </c>
      <c r="G140" s="675" t="s">
        <v>18632</v>
      </c>
      <c r="H140" s="671" t="s">
        <v>18883</v>
      </c>
      <c r="I140" s="682" t="str">
        <f>HYPERLINK("https://www.google.com/maps/search/Fal%C3%A9sia%20A%C3%A7oteias%20Albufeira%20Algarve%20Portugal","📍 Falésia Açoteias")</f>
        <v>📍 Falésia Açoteias</v>
      </c>
    </row>
    <row r="141" spans="1:9" ht="36" customHeight="1" x14ac:dyDescent="0.4">
      <c r="A141" s="678">
        <v>108</v>
      </c>
      <c r="B141" s="677" t="s">
        <v>13734</v>
      </c>
      <c r="C141" s="679" t="s">
        <v>767</v>
      </c>
      <c r="D141" s="677" t="s">
        <v>2186</v>
      </c>
      <c r="E141" s="677" t="s">
        <v>18631</v>
      </c>
      <c r="F141" s="680" t="s">
        <v>18869</v>
      </c>
      <c r="G141" s="681" t="s">
        <v>18632</v>
      </c>
      <c r="H141" s="677" t="s">
        <v>18884</v>
      </c>
      <c r="I141" s="683" t="str">
        <f>HYPERLINK("https://www.google.com/maps/search/Fal%C3%A9sia%20Alfamar%20Albufeira%20Algarve%20Portugal","📍 Falésia Alfamar")</f>
        <v>📍 Falésia Alfamar</v>
      </c>
    </row>
    <row r="142" spans="1:9" ht="36" customHeight="1" x14ac:dyDescent="0.4">
      <c r="A142" s="672">
        <v>109</v>
      </c>
      <c r="B142" s="671" t="s">
        <v>18885</v>
      </c>
      <c r="C142" s="673" t="s">
        <v>767</v>
      </c>
      <c r="D142" s="671" t="s">
        <v>2186</v>
      </c>
      <c r="E142" s="671" t="s">
        <v>18631</v>
      </c>
      <c r="F142" s="674" t="s">
        <v>18869</v>
      </c>
      <c r="G142" s="675" t="s">
        <v>18632</v>
      </c>
      <c r="H142" s="671" t="s">
        <v>18886</v>
      </c>
      <c r="I142" s="682" t="str">
        <f>HYPERLINK("https://www.google.com/maps/search/Gal%C3%A9-Leste%20Albufeira%20Algarve%20Portugal","📍 Galé-Leste")</f>
        <v>📍 Galé-Leste</v>
      </c>
    </row>
    <row r="143" spans="1:9" ht="36" customHeight="1" x14ac:dyDescent="0.4">
      <c r="A143" s="678">
        <v>110</v>
      </c>
      <c r="B143" s="677" t="s">
        <v>18887</v>
      </c>
      <c r="C143" s="679" t="s">
        <v>767</v>
      </c>
      <c r="D143" s="677" t="s">
        <v>2186</v>
      </c>
      <c r="E143" s="677" t="s">
        <v>18631</v>
      </c>
      <c r="F143" s="680" t="s">
        <v>18869</v>
      </c>
      <c r="G143" s="681" t="s">
        <v>18632</v>
      </c>
      <c r="H143" s="677" t="s">
        <v>18888</v>
      </c>
      <c r="I143" s="683" t="str">
        <f>HYPERLINK("https://www.google.com/maps/search/Gal%C3%A9-Oeste%20Albufeira%20Algarve%20Portugal","📍 Galé-Oeste")</f>
        <v>📍 Galé-Oeste</v>
      </c>
    </row>
    <row r="144" spans="1:9" ht="36" customHeight="1" x14ac:dyDescent="0.4">
      <c r="A144" s="672">
        <v>111</v>
      </c>
      <c r="B144" s="671" t="s">
        <v>18889</v>
      </c>
      <c r="C144" s="673" t="s">
        <v>767</v>
      </c>
      <c r="D144" s="671" t="s">
        <v>2186</v>
      </c>
      <c r="E144" s="671" t="s">
        <v>18631</v>
      </c>
      <c r="F144" s="674" t="s">
        <v>18869</v>
      </c>
      <c r="G144" s="675" t="s">
        <v>18632</v>
      </c>
      <c r="H144" s="671" t="s">
        <v>18890</v>
      </c>
      <c r="I144" s="682" t="str">
        <f>HYPERLINK("https://www.google.com/maps/search/INATEL%20-%20Albufeira%20Albufeira%20Algarve%20Portugal","📍 INATEL - Albufeira")</f>
        <v>📍 INATEL - Albufeira</v>
      </c>
    </row>
    <row r="145" spans="1:9" ht="36" customHeight="1" x14ac:dyDescent="0.4">
      <c r="A145" s="678">
        <v>112</v>
      </c>
      <c r="B145" s="677" t="s">
        <v>18891</v>
      </c>
      <c r="C145" s="679" t="s">
        <v>767</v>
      </c>
      <c r="D145" s="677" t="s">
        <v>2186</v>
      </c>
      <c r="E145" s="677" t="s">
        <v>18631</v>
      </c>
      <c r="F145" s="680" t="s">
        <v>18869</v>
      </c>
      <c r="G145" s="681" t="s">
        <v>18632</v>
      </c>
      <c r="H145" s="677" t="s">
        <v>18892</v>
      </c>
      <c r="I145" s="683" t="str">
        <f>HYPERLINK("https://www.google.com/maps/search/Manuel%20Louren%C3%A7o%20Albufeira%20Algarve%20Portugal","📍 Manuel Lourenço")</f>
        <v>📍 Manuel Lourenço</v>
      </c>
    </row>
    <row r="146" spans="1:9" ht="36" customHeight="1" x14ac:dyDescent="0.4">
      <c r="A146" s="672">
        <v>113</v>
      </c>
      <c r="B146" s="671" t="s">
        <v>18893</v>
      </c>
      <c r="C146" s="673" t="s">
        <v>767</v>
      </c>
      <c r="D146" s="671" t="s">
        <v>2186</v>
      </c>
      <c r="E146" s="671" t="s">
        <v>18631</v>
      </c>
      <c r="F146" s="674" t="s">
        <v>18869</v>
      </c>
      <c r="G146" s="675" t="s">
        <v>18632</v>
      </c>
      <c r="H146" s="671" t="s">
        <v>18894</v>
      </c>
      <c r="I146" s="682" t="str">
        <f>HYPERLINK("https://www.google.com/maps/search/Maria%20Lu%C3%ADsa%20Albufeira%20Algarve%20Portugal","📍 Maria Luísa")</f>
        <v>📍 Maria Luísa</v>
      </c>
    </row>
    <row r="147" spans="1:9" ht="36" customHeight="1" x14ac:dyDescent="0.4">
      <c r="A147" s="678">
        <v>114</v>
      </c>
      <c r="B147" s="677" t="s">
        <v>18895</v>
      </c>
      <c r="C147" s="679" t="s">
        <v>767</v>
      </c>
      <c r="D147" s="677" t="s">
        <v>2186</v>
      </c>
      <c r="E147" s="677" t="s">
        <v>18631</v>
      </c>
      <c r="F147" s="680" t="s">
        <v>18869</v>
      </c>
      <c r="G147" s="681" t="s">
        <v>18632</v>
      </c>
      <c r="H147" s="677" t="s">
        <v>18896</v>
      </c>
      <c r="I147" s="683" t="str">
        <f>HYPERLINK("https://www.google.com/maps/search/Olhos%20d'%C3%81gua%20Albufeira%20Algarve%20Portugal","📍 Olhos d'Água")</f>
        <v>📍 Olhos d'Água</v>
      </c>
    </row>
    <row r="148" spans="1:9" ht="36" customHeight="1" x14ac:dyDescent="0.4">
      <c r="A148" s="672">
        <v>115</v>
      </c>
      <c r="B148" s="671" t="s">
        <v>18897</v>
      </c>
      <c r="C148" s="673" t="s">
        <v>767</v>
      </c>
      <c r="D148" s="671" t="s">
        <v>2186</v>
      </c>
      <c r="E148" s="671" t="s">
        <v>18631</v>
      </c>
      <c r="F148" s="674" t="s">
        <v>18869</v>
      </c>
      <c r="G148" s="675" t="s">
        <v>18632</v>
      </c>
      <c r="H148" s="671" t="s">
        <v>18898</v>
      </c>
      <c r="I148" s="682" t="str">
        <f>HYPERLINK("https://www.google.com/maps/search/Oura%20Albufeira%20Algarve%20Portugal","📍 Oura")</f>
        <v>📍 Oura</v>
      </c>
    </row>
    <row r="149" spans="1:9" ht="36" customHeight="1" x14ac:dyDescent="0.4">
      <c r="A149" s="678">
        <v>116</v>
      </c>
      <c r="B149" s="677" t="s">
        <v>18899</v>
      </c>
      <c r="C149" s="679" t="s">
        <v>767</v>
      </c>
      <c r="D149" s="677" t="s">
        <v>2186</v>
      </c>
      <c r="E149" s="677" t="s">
        <v>18631</v>
      </c>
      <c r="F149" s="680" t="s">
        <v>18869</v>
      </c>
      <c r="G149" s="681" t="s">
        <v>18632</v>
      </c>
      <c r="H149" s="677" t="s">
        <v>18900</v>
      </c>
      <c r="I149" s="683" t="str">
        <f>HYPERLINK("https://www.google.com/maps/search/Oura-Leste%20Albufeira%20Algarve%20Portugal","📍 Oura-Leste")</f>
        <v>📍 Oura-Leste</v>
      </c>
    </row>
    <row r="150" spans="1:9" ht="36" customHeight="1" x14ac:dyDescent="0.4">
      <c r="A150" s="672">
        <v>117</v>
      </c>
      <c r="B150" s="671" t="s">
        <v>18901</v>
      </c>
      <c r="C150" s="673" t="s">
        <v>767</v>
      </c>
      <c r="D150" s="671" t="s">
        <v>2186</v>
      </c>
      <c r="E150" s="671" t="s">
        <v>18631</v>
      </c>
      <c r="F150" s="674" t="s">
        <v>18869</v>
      </c>
      <c r="G150" s="675" t="s">
        <v>18632</v>
      </c>
      <c r="H150" s="671" t="s">
        <v>18902</v>
      </c>
      <c r="I150" s="682" t="str">
        <f>HYPERLINK("https://www.google.com/maps/search/Peneco%20Albufeira%20Algarve%20Portugal","📍 Peneco")</f>
        <v>📍 Peneco</v>
      </c>
    </row>
    <row r="151" spans="1:9" ht="36" customHeight="1" x14ac:dyDescent="0.4">
      <c r="A151" s="678">
        <v>118</v>
      </c>
      <c r="B151" s="677" t="s">
        <v>18903</v>
      </c>
      <c r="C151" s="679" t="s">
        <v>767</v>
      </c>
      <c r="D151" s="677" t="s">
        <v>2186</v>
      </c>
      <c r="E151" s="677" t="s">
        <v>18631</v>
      </c>
      <c r="F151" s="680" t="s">
        <v>18869</v>
      </c>
      <c r="G151" s="681" t="s">
        <v>18632</v>
      </c>
      <c r="H151" s="677" t="s">
        <v>18904</v>
      </c>
      <c r="I151" s="683" t="str">
        <f>HYPERLINK("https://www.google.com/maps/search/Pescadores%20Albufeira%20Algarve%20Portugal","📍 Pescadores")</f>
        <v>📍 Pescadores</v>
      </c>
    </row>
    <row r="152" spans="1:9" ht="36" customHeight="1" x14ac:dyDescent="0.4">
      <c r="A152" s="672">
        <v>119</v>
      </c>
      <c r="B152" s="671" t="s">
        <v>18905</v>
      </c>
      <c r="C152" s="673" t="s">
        <v>767</v>
      </c>
      <c r="D152" s="671" t="s">
        <v>2186</v>
      </c>
      <c r="E152" s="671" t="s">
        <v>18631</v>
      </c>
      <c r="F152" s="674" t="s">
        <v>18869</v>
      </c>
      <c r="G152" s="675" t="s">
        <v>18632</v>
      </c>
      <c r="H152" s="671" t="s">
        <v>18906</v>
      </c>
      <c r="I152" s="682" t="str">
        <f>HYPERLINK("https://www.google.com/maps/search/Rocha%20Baixinha%20Albufeira%20Algarve%20Portugal","📍 Rocha Baixinha")</f>
        <v>📍 Rocha Baixinha</v>
      </c>
    </row>
    <row r="153" spans="1:9" ht="36" customHeight="1" x14ac:dyDescent="0.4">
      <c r="A153" s="678">
        <v>120</v>
      </c>
      <c r="B153" s="677" t="s">
        <v>18907</v>
      </c>
      <c r="C153" s="679" t="s">
        <v>767</v>
      </c>
      <c r="D153" s="677" t="s">
        <v>2186</v>
      </c>
      <c r="E153" s="677" t="s">
        <v>18631</v>
      </c>
      <c r="F153" s="680" t="s">
        <v>18869</v>
      </c>
      <c r="G153" s="681" t="s">
        <v>18632</v>
      </c>
      <c r="H153" s="677" t="s">
        <v>18908</v>
      </c>
      <c r="I153" s="683" t="str">
        <f>HYPERLINK("https://www.google.com/maps/search/Rocha%20Baixinha-Nascente%20Albufeira%20Algarve%20Portugal","📍 Rocha Baixinha-Nascente")</f>
        <v>📍 Rocha Baixinha-Nascente</v>
      </c>
    </row>
    <row r="154" spans="1:9" ht="36" customHeight="1" x14ac:dyDescent="0.4">
      <c r="A154" s="672">
        <v>121</v>
      </c>
      <c r="B154" s="671" t="s">
        <v>18909</v>
      </c>
      <c r="C154" s="673" t="s">
        <v>767</v>
      </c>
      <c r="D154" s="671" t="s">
        <v>2186</v>
      </c>
      <c r="E154" s="671" t="s">
        <v>18631</v>
      </c>
      <c r="F154" s="674" t="s">
        <v>18869</v>
      </c>
      <c r="G154" s="675" t="s">
        <v>18632</v>
      </c>
      <c r="H154" s="671" t="s">
        <v>18910</v>
      </c>
      <c r="I154" s="682" t="str">
        <f>HYPERLINK("https://www.google.com/maps/search/Rocha%20Baixinha-Poente%20Albufeira%20Algarve%20Portugal","📍 Rocha Baixinha-Poente")</f>
        <v>📍 Rocha Baixinha-Poente</v>
      </c>
    </row>
    <row r="155" spans="1:9" ht="36" customHeight="1" x14ac:dyDescent="0.4">
      <c r="A155" s="678">
        <v>122</v>
      </c>
      <c r="B155" s="677" t="s">
        <v>18911</v>
      </c>
      <c r="C155" s="679" t="s">
        <v>767</v>
      </c>
      <c r="D155" s="677" t="s">
        <v>2186</v>
      </c>
      <c r="E155" s="677" t="s">
        <v>18631</v>
      </c>
      <c r="F155" s="680" t="s">
        <v>18869</v>
      </c>
      <c r="G155" s="681" t="s">
        <v>18632</v>
      </c>
      <c r="H155" s="677" t="s">
        <v>18912</v>
      </c>
      <c r="I155" s="683" t="str">
        <f>HYPERLINK("https://www.google.com/maps/search/S.%20Rafael%20Albufeira%20Algarve%20Portugal","📍 S. Rafael")</f>
        <v>📍 S. Rafael</v>
      </c>
    </row>
    <row r="156" spans="1:9" ht="36" customHeight="1" x14ac:dyDescent="0.4">
      <c r="A156" s="672">
        <v>123</v>
      </c>
      <c r="B156" s="671" t="s">
        <v>18913</v>
      </c>
      <c r="C156" s="673" t="s">
        <v>767</v>
      </c>
      <c r="D156" s="671" t="s">
        <v>2186</v>
      </c>
      <c r="E156" s="671" t="s">
        <v>18631</v>
      </c>
      <c r="F156" s="674" t="s">
        <v>18869</v>
      </c>
      <c r="G156" s="675" t="s">
        <v>18632</v>
      </c>
      <c r="H156" s="671" t="s">
        <v>18914</v>
      </c>
      <c r="I156" s="682" t="str">
        <f>HYPERLINK("https://www.google.com/maps/search/Salgados%20Albufeira%20Algarve%20Portugal","📍 Salgados")</f>
        <v>📍 Salgados</v>
      </c>
    </row>
    <row r="157" spans="1:9" ht="36" customHeight="1" x14ac:dyDescent="0.4">
      <c r="A157" s="678">
        <v>124</v>
      </c>
      <c r="B157" s="677" t="s">
        <v>18915</v>
      </c>
      <c r="C157" s="679" t="s">
        <v>767</v>
      </c>
      <c r="D157" s="677" t="s">
        <v>2186</v>
      </c>
      <c r="E157" s="677" t="s">
        <v>18631</v>
      </c>
      <c r="F157" s="680" t="s">
        <v>18869</v>
      </c>
      <c r="G157" s="681" t="s">
        <v>18632</v>
      </c>
      <c r="H157" s="677" t="s">
        <v>18916</v>
      </c>
      <c r="I157" s="683" t="str">
        <f>HYPERLINK("https://www.google.com/maps/search/Santa%20Eul%C3%A1lia%20Albufeira%20Algarve%20Portugal","📍 Santa Eulália")</f>
        <v>📍 Santa Eulália</v>
      </c>
    </row>
    <row r="158" spans="1:9" ht="36" customHeight="1" x14ac:dyDescent="0.4">
      <c r="A158" s="672">
        <v>125</v>
      </c>
      <c r="B158" s="671" t="s">
        <v>18917</v>
      </c>
      <c r="C158" s="673" t="s">
        <v>767</v>
      </c>
      <c r="D158" s="671" t="s">
        <v>2186</v>
      </c>
      <c r="E158" s="671" t="s">
        <v>18645</v>
      </c>
      <c r="F158" s="674" t="s">
        <v>18869</v>
      </c>
      <c r="G158" s="675" t="s">
        <v>18632</v>
      </c>
      <c r="H158" s="671" t="s">
        <v>18918</v>
      </c>
      <c r="I158" s="682" t="str">
        <f>HYPERLINK("https://www.google.com/maps/search/Marina%20de%20Albufeira%20Albufeira%20Algarve%20Portugal","📍 Marina de Albufeira")</f>
        <v>📍 Marina de Albufeira</v>
      </c>
    </row>
    <row r="159" spans="1:9" ht="20" customHeight="1" x14ac:dyDescent="0.45">
      <c r="A159" s="1595" t="s">
        <v>18856</v>
      </c>
      <c r="B159" s="1313"/>
      <c r="C159" s="1313"/>
      <c r="D159" s="1313"/>
      <c r="E159" s="1313"/>
      <c r="F159" s="1313"/>
      <c r="G159" s="1313"/>
      <c r="H159" s="1313"/>
      <c r="I159" s="1313"/>
    </row>
    <row r="160" spans="1:9" ht="36" customHeight="1" x14ac:dyDescent="0.4">
      <c r="A160" s="678">
        <v>126</v>
      </c>
      <c r="B160" s="677" t="s">
        <v>18919</v>
      </c>
      <c r="C160" s="679" t="s">
        <v>767</v>
      </c>
      <c r="D160" s="677" t="s">
        <v>2194</v>
      </c>
      <c r="E160" s="677" t="s">
        <v>18631</v>
      </c>
      <c r="F160" s="680" t="s">
        <v>18920</v>
      </c>
      <c r="G160" s="681" t="s">
        <v>18632</v>
      </c>
      <c r="H160" s="677" t="s">
        <v>18921</v>
      </c>
      <c r="I160" s="683" t="str">
        <f>HYPERLINK("https://www.google.com/maps/search/Amoreira-Mar%20Aljezur%20Algarve%20Portugal","📍 Amoreira-Mar")</f>
        <v>📍 Amoreira-Mar</v>
      </c>
    </row>
    <row r="161" spans="1:9" ht="36" customHeight="1" x14ac:dyDescent="0.4">
      <c r="A161" s="672">
        <v>127</v>
      </c>
      <c r="B161" s="671" t="s">
        <v>8136</v>
      </c>
      <c r="C161" s="673" t="s">
        <v>767</v>
      </c>
      <c r="D161" s="671" t="s">
        <v>2194</v>
      </c>
      <c r="E161" s="671" t="s">
        <v>18631</v>
      </c>
      <c r="F161" s="674" t="s">
        <v>18920</v>
      </c>
      <c r="G161" s="675" t="s">
        <v>18632</v>
      </c>
      <c r="H161" s="671" t="s">
        <v>18922</v>
      </c>
      <c r="I161" s="682" t="str">
        <f>HYPERLINK("https://www.google.com/maps/search/Arrifana%20Aljezur%20Algarve%20Portugal","📍 Arrifana")</f>
        <v>📍 Arrifana</v>
      </c>
    </row>
    <row r="162" spans="1:9" ht="36" customHeight="1" x14ac:dyDescent="0.4">
      <c r="A162" s="678">
        <v>128</v>
      </c>
      <c r="B162" s="677" t="s">
        <v>17432</v>
      </c>
      <c r="C162" s="679" t="s">
        <v>767</v>
      </c>
      <c r="D162" s="677" t="s">
        <v>2194</v>
      </c>
      <c r="E162" s="677" t="s">
        <v>18631</v>
      </c>
      <c r="F162" s="680" t="s">
        <v>18920</v>
      </c>
      <c r="G162" s="681" t="s">
        <v>18632</v>
      </c>
      <c r="H162" s="677" t="s">
        <v>18923</v>
      </c>
      <c r="I162" s="683" t="str">
        <f>HYPERLINK("https://www.google.com/maps/search/Monte%20Cl%C3%A9rigo%20Aljezur%20Algarve%20Portugal","📍 Monte Clérigo")</f>
        <v>📍 Monte Clérigo</v>
      </c>
    </row>
    <row r="163" spans="1:9" ht="36" customHeight="1" x14ac:dyDescent="0.4">
      <c r="A163" s="672">
        <v>129</v>
      </c>
      <c r="B163" s="671" t="s">
        <v>18924</v>
      </c>
      <c r="C163" s="673" t="s">
        <v>767</v>
      </c>
      <c r="D163" s="671" t="s">
        <v>2194</v>
      </c>
      <c r="E163" s="671" t="s">
        <v>18925</v>
      </c>
      <c r="F163" s="674" t="s">
        <v>18920</v>
      </c>
      <c r="G163" s="675" t="s">
        <v>18632</v>
      </c>
      <c r="H163" s="671" t="s">
        <v>18926</v>
      </c>
      <c r="I163" s="682" t="str">
        <f>HYPERLINK("https://www.google.com/maps/search/Odeceixe-Mar%20Aljezur%20Algarve%20Portugal","📍 Odeceixe-Mar")</f>
        <v>📍 Odeceixe-Mar</v>
      </c>
    </row>
    <row r="164" spans="1:9" ht="20" customHeight="1" x14ac:dyDescent="0.45">
      <c r="A164" s="1595" t="s">
        <v>18857</v>
      </c>
      <c r="B164" s="1313"/>
      <c r="C164" s="1313"/>
      <c r="D164" s="1313"/>
      <c r="E164" s="1313"/>
      <c r="F164" s="1313"/>
      <c r="G164" s="1313"/>
      <c r="H164" s="1313"/>
      <c r="I164" s="1313"/>
    </row>
    <row r="165" spans="1:9" ht="36" customHeight="1" x14ac:dyDescent="0.4">
      <c r="A165" s="678">
        <v>130</v>
      </c>
      <c r="B165" s="677" t="s">
        <v>18927</v>
      </c>
      <c r="C165" s="679" t="s">
        <v>767</v>
      </c>
      <c r="D165" s="677" t="s">
        <v>5532</v>
      </c>
      <c r="E165" s="677" t="s">
        <v>18631</v>
      </c>
      <c r="F165" s="680" t="s">
        <v>18928</v>
      </c>
      <c r="G165" s="681" t="s">
        <v>18632</v>
      </c>
      <c r="H165" s="677" t="s">
        <v>18929</v>
      </c>
      <c r="I165" s="683" t="str">
        <f>HYPERLINK("https://www.google.com/maps/search/Alagoa-Altura%20Castro%20Marim%20Algarve%20Portugal","📍 Alagoa-Altura")</f>
        <v>📍 Alagoa-Altura</v>
      </c>
    </row>
    <row r="166" spans="1:9" ht="36" customHeight="1" x14ac:dyDescent="0.4">
      <c r="A166" s="672">
        <v>131</v>
      </c>
      <c r="B166" s="671" t="s">
        <v>18930</v>
      </c>
      <c r="C166" s="673" t="s">
        <v>767</v>
      </c>
      <c r="D166" s="671" t="s">
        <v>5532</v>
      </c>
      <c r="E166" s="671" t="s">
        <v>18631</v>
      </c>
      <c r="F166" s="674" t="s">
        <v>18928</v>
      </c>
      <c r="G166" s="675" t="s">
        <v>18632</v>
      </c>
      <c r="H166" s="671" t="s">
        <v>18931</v>
      </c>
      <c r="I166" s="682" t="str">
        <f>HYPERLINK("https://www.google.com/maps/search/Cabe%C3%A7o%20Castro%20Marim%20Algarve%20Portugal","📍 Cabeço")</f>
        <v>📍 Cabeço</v>
      </c>
    </row>
    <row r="167" spans="1:9" ht="36" customHeight="1" x14ac:dyDescent="0.4">
      <c r="A167" s="678">
        <v>132</v>
      </c>
      <c r="B167" s="677" t="s">
        <v>18932</v>
      </c>
      <c r="C167" s="679" t="s">
        <v>767</v>
      </c>
      <c r="D167" s="677" t="s">
        <v>5532</v>
      </c>
      <c r="E167" s="677" t="s">
        <v>18631</v>
      </c>
      <c r="F167" s="680" t="s">
        <v>18928</v>
      </c>
      <c r="G167" s="681" t="s">
        <v>18632</v>
      </c>
      <c r="H167" s="677" t="s">
        <v>18933</v>
      </c>
      <c r="I167" s="683" t="str">
        <f>HYPERLINK("https://www.google.com/maps/search/Praia%20Verde%20Castro%20Marim%20Algarve%20Portugal","📍 Praia Verde")</f>
        <v>📍 Praia Verde</v>
      </c>
    </row>
    <row r="168" spans="1:9" ht="20" customHeight="1" x14ac:dyDescent="0.45">
      <c r="A168" s="1595" t="s">
        <v>18858</v>
      </c>
      <c r="B168" s="1313"/>
      <c r="C168" s="1313"/>
      <c r="D168" s="1313"/>
      <c r="E168" s="1313"/>
      <c r="F168" s="1313"/>
      <c r="G168" s="1313"/>
      <c r="H168" s="1313"/>
      <c r="I168" s="1313"/>
    </row>
    <row r="169" spans="1:9" ht="36" customHeight="1" x14ac:dyDescent="0.4">
      <c r="A169" s="672">
        <v>133</v>
      </c>
      <c r="B169" s="671" t="s">
        <v>18934</v>
      </c>
      <c r="C169" s="673" t="s">
        <v>767</v>
      </c>
      <c r="D169" s="671" t="s">
        <v>5761</v>
      </c>
      <c r="E169" s="671" t="s">
        <v>18935</v>
      </c>
      <c r="F169" s="674" t="s">
        <v>2719</v>
      </c>
      <c r="G169" s="675" t="s">
        <v>18632</v>
      </c>
      <c r="H169" s="671" t="s">
        <v>18936</v>
      </c>
      <c r="I169" s="682" t="str">
        <f>HYPERLINK("https://www.google.com/maps/search/Barreta%20Faro%20Algarve%20Portugal","📍 Barreta")</f>
        <v>📍 Barreta</v>
      </c>
    </row>
    <row r="170" spans="1:9" ht="36" customHeight="1" x14ac:dyDescent="0.4">
      <c r="A170" s="678">
        <v>134</v>
      </c>
      <c r="B170" s="677" t="s">
        <v>18937</v>
      </c>
      <c r="C170" s="679" t="s">
        <v>767</v>
      </c>
      <c r="D170" s="677" t="s">
        <v>5761</v>
      </c>
      <c r="E170" s="677" t="s">
        <v>18935</v>
      </c>
      <c r="F170" s="680" t="s">
        <v>2719</v>
      </c>
      <c r="G170" s="681" t="s">
        <v>18632</v>
      </c>
      <c r="H170" s="677" t="s">
        <v>18938</v>
      </c>
      <c r="I170" s="683" t="str">
        <f>HYPERLINK("https://www.google.com/maps/search/Culatra-Mar%20Faro%20Algarve%20Portugal","📍 Culatra-Mar")</f>
        <v>📍 Culatra-Mar</v>
      </c>
    </row>
    <row r="171" spans="1:9" ht="36" customHeight="1" x14ac:dyDescent="0.4">
      <c r="A171" s="672">
        <v>135</v>
      </c>
      <c r="B171" s="671" t="s">
        <v>18939</v>
      </c>
      <c r="C171" s="673" t="s">
        <v>767</v>
      </c>
      <c r="D171" s="671" t="s">
        <v>5761</v>
      </c>
      <c r="E171" s="671" t="s">
        <v>18935</v>
      </c>
      <c r="F171" s="674" t="s">
        <v>2719</v>
      </c>
      <c r="G171" s="675" t="s">
        <v>18632</v>
      </c>
      <c r="H171" s="671" t="s">
        <v>18940</v>
      </c>
      <c r="I171" s="682" t="str">
        <f>HYPERLINK("https://www.google.com/maps/search/Faro-Mar%20Faro%20Algarve%20Portugal","📍 Faro-Mar")</f>
        <v>📍 Faro-Mar</v>
      </c>
    </row>
    <row r="172" spans="1:9" ht="36" customHeight="1" x14ac:dyDescent="0.4">
      <c r="A172" s="678">
        <v>136</v>
      </c>
      <c r="B172" s="677" t="s">
        <v>18941</v>
      </c>
      <c r="C172" s="679" t="s">
        <v>767</v>
      </c>
      <c r="D172" s="677" t="s">
        <v>5761</v>
      </c>
      <c r="E172" s="677" t="s">
        <v>18935</v>
      </c>
      <c r="F172" s="680" t="s">
        <v>2719</v>
      </c>
      <c r="G172" s="681" t="s">
        <v>18632</v>
      </c>
      <c r="H172" s="677" t="s">
        <v>18942</v>
      </c>
      <c r="I172" s="683" t="str">
        <f>HYPERLINK("https://www.google.com/maps/search/Ilha%20do%20Farol-Mar%20Faro%20Algarve%20Portugal","📍 Ilha do Farol-Mar")</f>
        <v>📍 Ilha do Farol-Mar</v>
      </c>
    </row>
    <row r="173" spans="1:9" ht="20" customHeight="1" x14ac:dyDescent="0.45">
      <c r="A173" s="1595" t="s">
        <v>18859</v>
      </c>
      <c r="B173" s="1313"/>
      <c r="C173" s="1313"/>
      <c r="D173" s="1313"/>
      <c r="E173" s="1313"/>
      <c r="F173" s="1313"/>
      <c r="G173" s="1313"/>
      <c r="H173" s="1313"/>
      <c r="I173" s="1313"/>
    </row>
    <row r="174" spans="1:9" ht="36" customHeight="1" x14ac:dyDescent="0.4">
      <c r="A174" s="672">
        <v>137</v>
      </c>
      <c r="B174" s="671" t="s">
        <v>18943</v>
      </c>
      <c r="C174" s="673" t="s">
        <v>767</v>
      </c>
      <c r="D174" s="671" t="s">
        <v>2190</v>
      </c>
      <c r="E174" s="671" t="s">
        <v>18631</v>
      </c>
      <c r="F174" s="674" t="s">
        <v>18944</v>
      </c>
      <c r="G174" s="675" t="s">
        <v>18632</v>
      </c>
      <c r="H174" s="671" t="s">
        <v>18945</v>
      </c>
      <c r="I174" s="682" t="str">
        <f>HYPERLINK("https://www.google.com/maps/search/Caneiros%20Lagoa%20Algarve%20Portugal","📍 Caneiros")</f>
        <v>📍 Caneiros</v>
      </c>
    </row>
    <row r="175" spans="1:9" ht="36" customHeight="1" x14ac:dyDescent="0.4">
      <c r="A175" s="678">
        <v>138</v>
      </c>
      <c r="B175" s="677" t="s">
        <v>13678</v>
      </c>
      <c r="C175" s="679" t="s">
        <v>767</v>
      </c>
      <c r="D175" s="677" t="s">
        <v>2190</v>
      </c>
      <c r="E175" s="677" t="s">
        <v>18631</v>
      </c>
      <c r="F175" s="680" t="s">
        <v>18944</v>
      </c>
      <c r="G175" s="681" t="s">
        <v>18632</v>
      </c>
      <c r="H175" s="677" t="s">
        <v>18946</v>
      </c>
      <c r="I175" s="683" t="str">
        <f>HYPERLINK("https://www.google.com/maps/search/Carvoeiro%20Lagoa%20Algarve%20Portugal","📍 Carvoeiro")</f>
        <v>📍 Carvoeiro</v>
      </c>
    </row>
    <row r="176" spans="1:9" ht="36" customHeight="1" x14ac:dyDescent="0.4">
      <c r="A176" s="672">
        <v>139</v>
      </c>
      <c r="B176" s="671" t="s">
        <v>6440</v>
      </c>
      <c r="C176" s="673" t="s">
        <v>767</v>
      </c>
      <c r="D176" s="671" t="s">
        <v>2190</v>
      </c>
      <c r="E176" s="671" t="s">
        <v>18631</v>
      </c>
      <c r="F176" s="674" t="s">
        <v>18944</v>
      </c>
      <c r="G176" s="675" t="s">
        <v>18632</v>
      </c>
      <c r="H176" s="671" t="s">
        <v>18947</v>
      </c>
      <c r="I176" s="682" t="str">
        <f>HYPERLINK("https://www.google.com/maps/search/Ferragudo%20Lagoa%20Algarve%20Portugal","📍 Ferragudo")</f>
        <v>📍 Ferragudo</v>
      </c>
    </row>
    <row r="177" spans="1:9" ht="36" customHeight="1" x14ac:dyDescent="0.4">
      <c r="A177" s="678">
        <v>140</v>
      </c>
      <c r="B177" s="677" t="s">
        <v>13670</v>
      </c>
      <c r="C177" s="679" t="s">
        <v>767</v>
      </c>
      <c r="D177" s="677" t="s">
        <v>2190</v>
      </c>
      <c r="E177" s="677" t="s">
        <v>18631</v>
      </c>
      <c r="F177" s="680" t="s">
        <v>18944</v>
      </c>
      <c r="G177" s="681" t="s">
        <v>18632</v>
      </c>
      <c r="H177" s="677" t="s">
        <v>18948</v>
      </c>
      <c r="I177" s="683" t="str">
        <f>HYPERLINK("https://www.google.com/maps/search/Senhora%20da%20Rocha%20Lagoa%20Algarve%20Portugal","📍 Senhora da Rocha")</f>
        <v>📍 Senhora da Rocha</v>
      </c>
    </row>
    <row r="178" spans="1:9" ht="36" customHeight="1" x14ac:dyDescent="0.4">
      <c r="A178" s="672">
        <v>141</v>
      </c>
      <c r="B178" s="671" t="s">
        <v>18949</v>
      </c>
      <c r="C178" s="673" t="s">
        <v>767</v>
      </c>
      <c r="D178" s="671" t="s">
        <v>2190</v>
      </c>
      <c r="E178" s="671" t="s">
        <v>18631</v>
      </c>
      <c r="F178" s="674" t="s">
        <v>18944</v>
      </c>
      <c r="G178" s="675" t="s">
        <v>18632</v>
      </c>
      <c r="H178" s="671" t="s">
        <v>18950</v>
      </c>
      <c r="I178" s="682" t="str">
        <f>HYPERLINK("https://www.google.com/maps/search/Vale%20Centeanes%20Lagoa%20Algarve%20Portugal","📍 Vale Centeanes")</f>
        <v>📍 Vale Centeanes</v>
      </c>
    </row>
    <row r="179" spans="1:9" ht="36" customHeight="1" x14ac:dyDescent="0.4">
      <c r="A179" s="678">
        <v>142</v>
      </c>
      <c r="B179" s="677" t="s">
        <v>18951</v>
      </c>
      <c r="C179" s="679" t="s">
        <v>767</v>
      </c>
      <c r="D179" s="677" t="s">
        <v>2190</v>
      </c>
      <c r="E179" s="677" t="s">
        <v>18631</v>
      </c>
      <c r="F179" s="680" t="s">
        <v>18944</v>
      </c>
      <c r="G179" s="681" t="s">
        <v>18632</v>
      </c>
      <c r="H179" s="677" t="s">
        <v>18952</v>
      </c>
      <c r="I179" s="683" t="str">
        <f>HYPERLINK("https://www.google.com/maps/search/Vale%20do%20Olival%20Lagoa%20Algarve%20Portugal","📍 Vale do Olival")</f>
        <v>📍 Vale do Olival</v>
      </c>
    </row>
    <row r="180" spans="1:9" ht="20" customHeight="1" x14ac:dyDescent="0.45">
      <c r="A180" s="1595" t="s">
        <v>18860</v>
      </c>
      <c r="B180" s="1313"/>
      <c r="C180" s="1313"/>
      <c r="D180" s="1313"/>
      <c r="E180" s="1313"/>
      <c r="F180" s="1313"/>
      <c r="G180" s="1313"/>
      <c r="H180" s="1313"/>
      <c r="I180" s="1313"/>
    </row>
    <row r="181" spans="1:9" ht="36" customHeight="1" x14ac:dyDescent="0.4">
      <c r="A181" s="672">
        <v>143</v>
      </c>
      <c r="B181" s="671" t="s">
        <v>9980</v>
      </c>
      <c r="C181" s="673" t="s">
        <v>767</v>
      </c>
      <c r="D181" s="671" t="s">
        <v>2201</v>
      </c>
      <c r="E181" s="671" t="s">
        <v>18631</v>
      </c>
      <c r="F181" s="674" t="s">
        <v>18944</v>
      </c>
      <c r="G181" s="675" t="s">
        <v>18632</v>
      </c>
      <c r="H181" s="671" t="s">
        <v>18953</v>
      </c>
      <c r="I181" s="682" t="str">
        <f>HYPERLINK("https://www.google.com/maps/search/Luz%20Lagos%20Algarve%20Portugal","📍 Luz")</f>
        <v>📍 Luz</v>
      </c>
    </row>
    <row r="182" spans="1:9" ht="36" customHeight="1" x14ac:dyDescent="0.4">
      <c r="A182" s="678">
        <v>144</v>
      </c>
      <c r="B182" s="677" t="s">
        <v>18954</v>
      </c>
      <c r="C182" s="679" t="s">
        <v>767</v>
      </c>
      <c r="D182" s="677" t="s">
        <v>2201</v>
      </c>
      <c r="E182" s="677" t="s">
        <v>18631</v>
      </c>
      <c r="F182" s="680" t="s">
        <v>18944</v>
      </c>
      <c r="G182" s="681" t="s">
        <v>18632</v>
      </c>
      <c r="H182" s="677" t="s">
        <v>18955</v>
      </c>
      <c r="I182" s="683" t="str">
        <f>HYPERLINK("https://www.google.com/maps/search/Meia%20Praia%20Lagos%20Algarve%20Portugal","📍 Meia Praia")</f>
        <v>📍 Meia Praia</v>
      </c>
    </row>
    <row r="183" spans="1:9" ht="36" customHeight="1" x14ac:dyDescent="0.4">
      <c r="A183" s="672">
        <v>145</v>
      </c>
      <c r="B183" s="671" t="s">
        <v>5935</v>
      </c>
      <c r="C183" s="673" t="s">
        <v>767</v>
      </c>
      <c r="D183" s="671" t="s">
        <v>2201</v>
      </c>
      <c r="E183" s="671" t="s">
        <v>18631</v>
      </c>
      <c r="F183" s="674" t="s">
        <v>18944</v>
      </c>
      <c r="G183" s="675" t="s">
        <v>18632</v>
      </c>
      <c r="H183" s="671" t="s">
        <v>18956</v>
      </c>
      <c r="I183" s="682" t="str">
        <f>HYPERLINK("https://www.google.com/maps/search/Porto%20de%20M%C3%B3s%20Lagos%20Algarve%20Portugal","📍 Porto de Mós")</f>
        <v>📍 Porto de Mós</v>
      </c>
    </row>
    <row r="184" spans="1:9" ht="36" customHeight="1" x14ac:dyDescent="0.4">
      <c r="A184" s="678">
        <v>146</v>
      </c>
      <c r="B184" s="677" t="s">
        <v>18957</v>
      </c>
      <c r="C184" s="679" t="s">
        <v>767</v>
      </c>
      <c r="D184" s="677" t="s">
        <v>2201</v>
      </c>
      <c r="E184" s="677" t="s">
        <v>18645</v>
      </c>
      <c r="F184" s="680" t="s">
        <v>18944</v>
      </c>
      <c r="G184" s="681" t="s">
        <v>18632</v>
      </c>
      <c r="H184" s="677" t="s">
        <v>18958</v>
      </c>
      <c r="I184" s="683" t="str">
        <f>HYPERLINK("https://www.google.com/maps/search/Marina%20de%20Lagos%20Lagos%20Algarve%20Portugal","📍 Marina de Lagos")</f>
        <v>📍 Marina de Lagos</v>
      </c>
    </row>
    <row r="185" spans="1:9" ht="20" customHeight="1" x14ac:dyDescent="0.45">
      <c r="A185" s="1595" t="s">
        <v>18861</v>
      </c>
      <c r="B185" s="1313"/>
      <c r="C185" s="1313"/>
      <c r="D185" s="1313"/>
      <c r="E185" s="1313"/>
      <c r="F185" s="1313"/>
      <c r="G185" s="1313"/>
      <c r="H185" s="1313"/>
      <c r="I185" s="1313"/>
    </row>
    <row r="186" spans="1:9" ht="36" customHeight="1" x14ac:dyDescent="0.4">
      <c r="A186" s="672">
        <v>147</v>
      </c>
      <c r="B186" s="671" t="s">
        <v>18959</v>
      </c>
      <c r="C186" s="673" t="s">
        <v>767</v>
      </c>
      <c r="D186" s="671" t="s">
        <v>2172</v>
      </c>
      <c r="E186" s="671" t="s">
        <v>18631</v>
      </c>
      <c r="F186" s="674" t="s">
        <v>18944</v>
      </c>
      <c r="G186" s="675" t="s">
        <v>18632</v>
      </c>
      <c r="H186" s="671" t="s">
        <v>18960</v>
      </c>
      <c r="I186" s="682" t="str">
        <f>HYPERLINK("https://www.google.com/maps/search/Almargem%20Loul%C3%A9%20Algarve%20Portugal","📍 Almargem")</f>
        <v>📍 Almargem</v>
      </c>
    </row>
    <row r="187" spans="1:9" ht="36" customHeight="1" x14ac:dyDescent="0.4">
      <c r="A187" s="678">
        <v>148</v>
      </c>
      <c r="B187" s="677" t="s">
        <v>18961</v>
      </c>
      <c r="C187" s="679" t="s">
        <v>767</v>
      </c>
      <c r="D187" s="677" t="s">
        <v>2172</v>
      </c>
      <c r="E187" s="677" t="s">
        <v>18935</v>
      </c>
      <c r="F187" s="680" t="s">
        <v>2719</v>
      </c>
      <c r="G187" s="681" t="s">
        <v>18632</v>
      </c>
      <c r="H187" s="677" t="s">
        <v>18962</v>
      </c>
      <c r="I187" s="683" t="str">
        <f>HYPERLINK("https://www.google.com/maps/search/Anc%C3%A3o%20Loul%C3%A9%20Algarve%20Portugal","📍 Ancão")</f>
        <v>📍 Ancão</v>
      </c>
    </row>
    <row r="188" spans="1:9" ht="36" customHeight="1" x14ac:dyDescent="0.4">
      <c r="A188" s="672">
        <v>149</v>
      </c>
      <c r="B188" s="671" t="s">
        <v>18963</v>
      </c>
      <c r="C188" s="673" t="s">
        <v>767</v>
      </c>
      <c r="D188" s="671" t="s">
        <v>2172</v>
      </c>
      <c r="E188" s="671" t="s">
        <v>18631</v>
      </c>
      <c r="F188" s="674" t="s">
        <v>18944</v>
      </c>
      <c r="G188" s="675" t="s">
        <v>18632</v>
      </c>
      <c r="H188" s="671" t="s">
        <v>18964</v>
      </c>
      <c r="I188" s="682" t="str">
        <f>HYPERLINK("https://www.google.com/maps/search/Forte%20Novo%20Loul%C3%A9%20Algarve%20Portugal","📍 Forte Novo")</f>
        <v>📍 Forte Novo</v>
      </c>
    </row>
    <row r="189" spans="1:9" ht="36" customHeight="1" x14ac:dyDescent="0.4">
      <c r="A189" s="678">
        <v>150</v>
      </c>
      <c r="B189" s="677" t="s">
        <v>18965</v>
      </c>
      <c r="C189" s="679" t="s">
        <v>767</v>
      </c>
      <c r="D189" s="677" t="s">
        <v>2172</v>
      </c>
      <c r="E189" s="677" t="s">
        <v>18631</v>
      </c>
      <c r="F189" s="680" t="s">
        <v>18944</v>
      </c>
      <c r="G189" s="681" t="s">
        <v>18632</v>
      </c>
      <c r="H189" s="677" t="s">
        <v>18966</v>
      </c>
      <c r="I189" s="683" t="str">
        <f>HYPERLINK("https://www.google.com/maps/search/Garr%C3%A3o%20Nascente%20Loul%C3%A9%20Algarve%20Portugal","📍 Garrão Nascente")</f>
        <v>📍 Garrão Nascente</v>
      </c>
    </row>
    <row r="190" spans="1:9" ht="36" customHeight="1" x14ac:dyDescent="0.4">
      <c r="A190" s="672">
        <v>151</v>
      </c>
      <c r="B190" s="671" t="s">
        <v>18967</v>
      </c>
      <c r="C190" s="673" t="s">
        <v>767</v>
      </c>
      <c r="D190" s="671" t="s">
        <v>2172</v>
      </c>
      <c r="E190" s="671" t="s">
        <v>18631</v>
      </c>
      <c r="F190" s="674" t="s">
        <v>18944</v>
      </c>
      <c r="G190" s="675" t="s">
        <v>18632</v>
      </c>
      <c r="H190" s="671" t="s">
        <v>18968</v>
      </c>
      <c r="I190" s="682" t="str">
        <f>HYPERLINK("https://www.google.com/maps/search/Garr%C3%A3o%20Poente%20Loul%C3%A9%20Algarve%20Portugal","📍 Garrão Poente")</f>
        <v>📍 Garrão Poente</v>
      </c>
    </row>
    <row r="191" spans="1:9" ht="36" customHeight="1" x14ac:dyDescent="0.4">
      <c r="A191" s="678">
        <v>152</v>
      </c>
      <c r="B191" s="677" t="s">
        <v>18969</v>
      </c>
      <c r="C191" s="679" t="s">
        <v>767</v>
      </c>
      <c r="D191" s="677" t="s">
        <v>2172</v>
      </c>
      <c r="E191" s="677" t="s">
        <v>18631</v>
      </c>
      <c r="F191" s="680" t="s">
        <v>18944</v>
      </c>
      <c r="G191" s="681" t="s">
        <v>18632</v>
      </c>
      <c r="H191" s="677" t="s">
        <v>18970</v>
      </c>
      <c r="I191" s="683" t="str">
        <f>HYPERLINK("https://www.google.com/maps/search/Loul%C3%A9%20Velho%20Loul%C3%A9%20Algarve%20Portugal","📍 Loulé Velho")</f>
        <v>📍 Loulé Velho</v>
      </c>
    </row>
    <row r="192" spans="1:9" ht="36" customHeight="1" x14ac:dyDescent="0.4">
      <c r="A192" s="672">
        <v>153</v>
      </c>
      <c r="B192" s="671" t="s">
        <v>11410</v>
      </c>
      <c r="C192" s="673" t="s">
        <v>767</v>
      </c>
      <c r="D192" s="671" t="s">
        <v>2172</v>
      </c>
      <c r="E192" s="671" t="s">
        <v>18631</v>
      </c>
      <c r="F192" s="674" t="s">
        <v>18944</v>
      </c>
      <c r="G192" s="675" t="s">
        <v>18632</v>
      </c>
      <c r="H192" s="671" t="s">
        <v>18971</v>
      </c>
      <c r="I192" s="682" t="str">
        <f>HYPERLINK("https://www.google.com/maps/search/Quarteira%20Loul%C3%A9%20Algarve%20Portugal","📍 Quarteira")</f>
        <v>📍 Quarteira</v>
      </c>
    </row>
    <row r="193" spans="1:9" ht="36" customHeight="1" x14ac:dyDescent="0.4">
      <c r="A193" s="678">
        <v>154</v>
      </c>
      <c r="B193" s="677" t="s">
        <v>18972</v>
      </c>
      <c r="C193" s="679" t="s">
        <v>767</v>
      </c>
      <c r="D193" s="677" t="s">
        <v>2172</v>
      </c>
      <c r="E193" s="677" t="s">
        <v>18631</v>
      </c>
      <c r="F193" s="680" t="s">
        <v>18944</v>
      </c>
      <c r="G193" s="681" t="s">
        <v>18632</v>
      </c>
      <c r="H193" s="677" t="s">
        <v>18973</v>
      </c>
      <c r="I193" s="683" t="str">
        <f>HYPERLINK("https://www.google.com/maps/search/Quinta%20do%20Lago%20Loul%C3%A9%20Algarve%20Portugal","📍 Quinta do Lago")</f>
        <v>📍 Quinta do Lago</v>
      </c>
    </row>
    <row r="194" spans="1:9" ht="36" customHeight="1" x14ac:dyDescent="0.4">
      <c r="A194" s="672">
        <v>155</v>
      </c>
      <c r="B194" s="671" t="s">
        <v>18974</v>
      </c>
      <c r="C194" s="673" t="s">
        <v>767</v>
      </c>
      <c r="D194" s="671" t="s">
        <v>2172</v>
      </c>
      <c r="E194" s="671" t="s">
        <v>18631</v>
      </c>
      <c r="F194" s="674" t="s">
        <v>18944</v>
      </c>
      <c r="G194" s="675" t="s">
        <v>18632</v>
      </c>
      <c r="H194" s="671" t="s">
        <v>18975</v>
      </c>
      <c r="I194" s="682" t="str">
        <f>HYPERLINK("https://www.google.com/maps/search/Vale%20de%20Lobo%20Loul%C3%A9%20Algarve%20Portugal","📍 Vale de Lobo")</f>
        <v>📍 Vale de Lobo</v>
      </c>
    </row>
    <row r="195" spans="1:9" ht="36" customHeight="1" x14ac:dyDescent="0.4">
      <c r="A195" s="678">
        <v>156</v>
      </c>
      <c r="B195" s="677" t="s">
        <v>6469</v>
      </c>
      <c r="C195" s="679" t="s">
        <v>767</v>
      </c>
      <c r="D195" s="677" t="s">
        <v>2172</v>
      </c>
      <c r="E195" s="677" t="s">
        <v>18631</v>
      </c>
      <c r="F195" s="680" t="s">
        <v>18944</v>
      </c>
      <c r="G195" s="681" t="s">
        <v>18632</v>
      </c>
      <c r="H195" s="677" t="s">
        <v>18976</v>
      </c>
      <c r="I195" s="683" t="str">
        <f>HYPERLINK("https://www.google.com/maps/search/Vilamoura%20Loul%C3%A9%20Algarve%20Portugal","📍 Vilamoura")</f>
        <v>📍 Vilamoura</v>
      </c>
    </row>
    <row r="196" spans="1:9" ht="36" customHeight="1" x14ac:dyDescent="0.4">
      <c r="A196" s="672">
        <v>157</v>
      </c>
      <c r="B196" s="671" t="s">
        <v>18977</v>
      </c>
      <c r="C196" s="673" t="s">
        <v>767</v>
      </c>
      <c r="D196" s="671" t="s">
        <v>2172</v>
      </c>
      <c r="E196" s="671" t="s">
        <v>18645</v>
      </c>
      <c r="F196" s="674" t="s">
        <v>18944</v>
      </c>
      <c r="G196" s="675" t="s">
        <v>18632</v>
      </c>
      <c r="H196" s="671" t="s">
        <v>18978</v>
      </c>
      <c r="I196" s="682" t="str">
        <f>HYPERLINK("https://www.google.com/maps/search/Marina%20de%20Vilamoura%20Loul%C3%A9%20Algarve%20Portugal","📍 Marina de Vilamoura")</f>
        <v>📍 Marina de Vilamoura</v>
      </c>
    </row>
    <row r="197" spans="1:9" ht="20" customHeight="1" x14ac:dyDescent="0.45">
      <c r="A197" s="1595" t="s">
        <v>18862</v>
      </c>
      <c r="B197" s="1313"/>
      <c r="C197" s="1313"/>
      <c r="D197" s="1313"/>
      <c r="E197" s="1313"/>
      <c r="F197" s="1313"/>
      <c r="G197" s="1313"/>
      <c r="H197" s="1313"/>
      <c r="I197" s="1313"/>
    </row>
    <row r="198" spans="1:9" ht="36" customHeight="1" x14ac:dyDescent="0.4">
      <c r="A198" s="678">
        <v>158</v>
      </c>
      <c r="B198" s="677" t="s">
        <v>18979</v>
      </c>
      <c r="C198" s="679" t="s">
        <v>767</v>
      </c>
      <c r="D198" s="677" t="s">
        <v>5527</v>
      </c>
      <c r="E198" s="677" t="s">
        <v>18935</v>
      </c>
      <c r="F198" s="680" t="s">
        <v>2719</v>
      </c>
      <c r="G198" s="681" t="s">
        <v>18632</v>
      </c>
      <c r="H198" s="677" t="s">
        <v>18980</v>
      </c>
      <c r="I198" s="683" t="str">
        <f>HYPERLINK("https://www.google.com/maps/search/Armona-Mar%20Olh%C3%A3o%20Algarve%20Portugal","📍 Armona-Mar")</f>
        <v>📍 Armona-Mar</v>
      </c>
    </row>
    <row r="199" spans="1:9" ht="36" customHeight="1" x14ac:dyDescent="0.4">
      <c r="A199" s="672">
        <v>159</v>
      </c>
      <c r="B199" s="671" t="s">
        <v>18981</v>
      </c>
      <c r="C199" s="673" t="s">
        <v>767</v>
      </c>
      <c r="D199" s="671" t="s">
        <v>5527</v>
      </c>
      <c r="E199" s="671" t="s">
        <v>18982</v>
      </c>
      <c r="F199" s="674" t="s">
        <v>2719</v>
      </c>
      <c r="G199" s="675" t="s">
        <v>18632</v>
      </c>
      <c r="H199" s="671" t="s">
        <v>18983</v>
      </c>
      <c r="I199" s="682" t="str">
        <f>HYPERLINK("https://www.google.com/maps/search/Armona-Ria%20Olh%C3%A3o%20Algarve%20Portugal","📍 Armona-Ria")</f>
        <v>📍 Armona-Ria</v>
      </c>
    </row>
    <row r="200" spans="1:9" ht="36" customHeight="1" x14ac:dyDescent="0.4">
      <c r="A200" s="678">
        <v>160</v>
      </c>
      <c r="B200" s="677" t="s">
        <v>18984</v>
      </c>
      <c r="C200" s="679" t="s">
        <v>767</v>
      </c>
      <c r="D200" s="677" t="s">
        <v>5527</v>
      </c>
      <c r="E200" s="677" t="s">
        <v>18935</v>
      </c>
      <c r="F200" s="680" t="s">
        <v>2719</v>
      </c>
      <c r="G200" s="681" t="s">
        <v>18632</v>
      </c>
      <c r="H200" s="677" t="s">
        <v>18985</v>
      </c>
      <c r="I200" s="683" t="str">
        <f>HYPERLINK("https://www.google.com/maps/search/Fuseta-Mar%20Olh%C3%A3o%20Algarve%20Portugal","📍 Fuseta-Mar")</f>
        <v>📍 Fuseta-Mar</v>
      </c>
    </row>
    <row r="201" spans="1:9" ht="36" customHeight="1" x14ac:dyDescent="0.4">
      <c r="A201" s="672">
        <v>161</v>
      </c>
      <c r="B201" s="671" t="s">
        <v>18986</v>
      </c>
      <c r="C201" s="673" t="s">
        <v>767</v>
      </c>
      <c r="D201" s="671" t="s">
        <v>5527</v>
      </c>
      <c r="E201" s="671" t="s">
        <v>18987</v>
      </c>
      <c r="F201" s="674" t="s">
        <v>2719</v>
      </c>
      <c r="G201" s="675" t="s">
        <v>18632</v>
      </c>
      <c r="H201" s="671" t="s">
        <v>18988</v>
      </c>
      <c r="I201" s="682" t="str">
        <f>HYPERLINK("https://www.google.com/maps/search/Fuseta-Ria%20Olh%C3%A3o%20Algarve%20Portugal","📍 Fuseta-Ria")</f>
        <v>📍 Fuseta-Ria</v>
      </c>
    </row>
    <row r="202" spans="1:9" ht="20" customHeight="1" x14ac:dyDescent="0.45">
      <c r="A202" s="1595" t="s">
        <v>18863</v>
      </c>
      <c r="B202" s="1313"/>
      <c r="C202" s="1313"/>
      <c r="D202" s="1313"/>
      <c r="E202" s="1313"/>
      <c r="F202" s="1313"/>
      <c r="G202" s="1313"/>
      <c r="H202" s="1313"/>
      <c r="I202" s="1313"/>
    </row>
    <row r="203" spans="1:9" ht="36" customHeight="1" x14ac:dyDescent="0.4">
      <c r="A203" s="678">
        <v>162</v>
      </c>
      <c r="B203" s="677" t="s">
        <v>18989</v>
      </c>
      <c r="C203" s="679" t="s">
        <v>767</v>
      </c>
      <c r="D203" s="677" t="s">
        <v>2205</v>
      </c>
      <c r="E203" s="677" t="s">
        <v>18631</v>
      </c>
      <c r="F203" s="680" t="s">
        <v>18944</v>
      </c>
      <c r="G203" s="681" t="s">
        <v>18632</v>
      </c>
      <c r="H203" s="677" t="s">
        <v>18990</v>
      </c>
      <c r="I203" s="683" t="str">
        <f>HYPERLINK("https://www.google.com/maps/search/Alvor%20Nascente%20Portim%C3%A3o%20Algarve%20Portugal","📍 Alvor Nascente")</f>
        <v>📍 Alvor Nascente</v>
      </c>
    </row>
    <row r="204" spans="1:9" ht="36" customHeight="1" x14ac:dyDescent="0.4">
      <c r="A204" s="672">
        <v>163</v>
      </c>
      <c r="B204" s="671" t="s">
        <v>18991</v>
      </c>
      <c r="C204" s="673" t="s">
        <v>767</v>
      </c>
      <c r="D204" s="671" t="s">
        <v>2205</v>
      </c>
      <c r="E204" s="671" t="s">
        <v>18631</v>
      </c>
      <c r="F204" s="674" t="s">
        <v>18944</v>
      </c>
      <c r="G204" s="675" t="s">
        <v>18632</v>
      </c>
      <c r="H204" s="671" t="s">
        <v>18992</v>
      </c>
      <c r="I204" s="682" t="str">
        <f>HYPERLINK("https://www.google.com/maps/search/Alvor%20Poente%20Portim%C3%A3o%20Algarve%20Portugal","📍 Alvor Poente")</f>
        <v>📍 Alvor Poente</v>
      </c>
    </row>
    <row r="205" spans="1:9" ht="36" customHeight="1" x14ac:dyDescent="0.4">
      <c r="A205" s="678">
        <v>164</v>
      </c>
      <c r="B205" s="677" t="s">
        <v>18993</v>
      </c>
      <c r="C205" s="679" t="s">
        <v>767</v>
      </c>
      <c r="D205" s="677" t="s">
        <v>2205</v>
      </c>
      <c r="E205" s="677" t="s">
        <v>18631</v>
      </c>
      <c r="F205" s="680" t="s">
        <v>18944</v>
      </c>
      <c r="G205" s="681" t="s">
        <v>18632</v>
      </c>
      <c r="H205" s="677" t="s">
        <v>18994</v>
      </c>
      <c r="I205" s="683" t="str">
        <f>HYPERLINK("https://www.google.com/maps/search/Praia%20da%20Marina%20de%20Portim%C3%A3o%20Portim%C3%A3o%20Algarve%20Portugal","📍 Praia da Marina de Portimão")</f>
        <v>📍 Praia da Marina de Portimão</v>
      </c>
    </row>
    <row r="206" spans="1:9" ht="36" customHeight="1" x14ac:dyDescent="0.4">
      <c r="A206" s="672">
        <v>165</v>
      </c>
      <c r="B206" s="671" t="s">
        <v>18995</v>
      </c>
      <c r="C206" s="673" t="s">
        <v>767</v>
      </c>
      <c r="D206" s="671" t="s">
        <v>2205</v>
      </c>
      <c r="E206" s="671" t="s">
        <v>18631</v>
      </c>
      <c r="F206" s="674" t="s">
        <v>18944</v>
      </c>
      <c r="G206" s="675" t="s">
        <v>18632</v>
      </c>
      <c r="H206" s="671" t="s">
        <v>18996</v>
      </c>
      <c r="I206" s="682" t="str">
        <f>HYPERLINK("https://www.google.com/maps/search/Rocha%20Portim%C3%A3o%20Algarve%20Portugal","📍 Rocha")</f>
        <v>📍 Rocha</v>
      </c>
    </row>
    <row r="207" spans="1:9" ht="36" customHeight="1" x14ac:dyDescent="0.4">
      <c r="A207" s="678">
        <v>166</v>
      </c>
      <c r="B207" s="677" t="s">
        <v>18997</v>
      </c>
      <c r="C207" s="679" t="s">
        <v>767</v>
      </c>
      <c r="D207" s="677" t="s">
        <v>2205</v>
      </c>
      <c r="E207" s="677" t="s">
        <v>18631</v>
      </c>
      <c r="F207" s="680" t="s">
        <v>18944</v>
      </c>
      <c r="G207" s="681" t="s">
        <v>18632</v>
      </c>
      <c r="H207" s="677" t="s">
        <v>18998</v>
      </c>
      <c r="I207" s="683" t="str">
        <f>HYPERLINK("https://www.google.com/maps/search/Tr%C3%AAs%20Castelos%20Portim%C3%A3o%20Algarve%20Portugal","📍 Três Castelos")</f>
        <v>📍 Três Castelos</v>
      </c>
    </row>
    <row r="208" spans="1:9" ht="36" customHeight="1" x14ac:dyDescent="0.4">
      <c r="A208" s="672">
        <v>167</v>
      </c>
      <c r="B208" s="671" t="s">
        <v>18999</v>
      </c>
      <c r="C208" s="673" t="s">
        <v>767</v>
      </c>
      <c r="D208" s="671" t="s">
        <v>2205</v>
      </c>
      <c r="E208" s="671" t="s">
        <v>18631</v>
      </c>
      <c r="F208" s="674" t="s">
        <v>18944</v>
      </c>
      <c r="G208" s="675" t="s">
        <v>18632</v>
      </c>
      <c r="H208" s="671" t="s">
        <v>19000</v>
      </c>
      <c r="I208" s="682" t="str">
        <f>HYPERLINK("https://www.google.com/maps/search/Vau%20Portim%C3%A3o%20Algarve%20Portugal","📍 Vau")</f>
        <v>📍 Vau</v>
      </c>
    </row>
    <row r="209" spans="1:9" ht="36" customHeight="1" x14ac:dyDescent="0.4">
      <c r="A209" s="678">
        <v>168</v>
      </c>
      <c r="B209" s="677" t="s">
        <v>19001</v>
      </c>
      <c r="C209" s="679" t="s">
        <v>767</v>
      </c>
      <c r="D209" s="677" t="s">
        <v>2205</v>
      </c>
      <c r="E209" s="677" t="s">
        <v>18645</v>
      </c>
      <c r="F209" s="680" t="s">
        <v>18944</v>
      </c>
      <c r="G209" s="681" t="s">
        <v>18632</v>
      </c>
      <c r="H209" s="677" t="s">
        <v>19002</v>
      </c>
      <c r="I209" s="683" t="str">
        <f>HYPERLINK("https://www.google.com/maps/search/Marina%20de%20Portim%C3%A3o%20Portim%C3%A3o%20Algarve%20Portugal","📍 Marina de Portimão")</f>
        <v>📍 Marina de Portimão</v>
      </c>
    </row>
    <row r="210" spans="1:9" ht="36" customHeight="1" x14ac:dyDescent="0.4">
      <c r="A210" s="672">
        <v>169</v>
      </c>
      <c r="B210" s="671" t="s">
        <v>19003</v>
      </c>
      <c r="C210" s="673" t="s">
        <v>767</v>
      </c>
      <c r="D210" s="671" t="s">
        <v>2205</v>
      </c>
      <c r="E210" s="671" t="s">
        <v>19004</v>
      </c>
      <c r="F210" s="674" t="s">
        <v>18944</v>
      </c>
      <c r="G210" s="675" t="s">
        <v>18632</v>
      </c>
      <c r="H210" s="671" t="s">
        <v>19005</v>
      </c>
      <c r="I210" s="682" t="str">
        <f>HYPERLINK("https://www.google.com/maps/search/Sun%20Boat%20I%20Portim%C3%A3o%20Algarve%20Portugal","📍 Sun Boat I")</f>
        <v>📍 Sun Boat I</v>
      </c>
    </row>
    <row r="211" spans="1:9" ht="36" customHeight="1" x14ac:dyDescent="0.4">
      <c r="A211" s="678">
        <v>170</v>
      </c>
      <c r="B211" s="677" t="s">
        <v>19006</v>
      </c>
      <c r="C211" s="679" t="s">
        <v>767</v>
      </c>
      <c r="D211" s="677" t="s">
        <v>2205</v>
      </c>
      <c r="E211" s="677" t="s">
        <v>19004</v>
      </c>
      <c r="F211" s="680" t="s">
        <v>18944</v>
      </c>
      <c r="G211" s="681" t="s">
        <v>18632</v>
      </c>
      <c r="H211" s="677" t="s">
        <v>19007</v>
      </c>
      <c r="I211" s="683" t="str">
        <f>HYPERLINK("https://www.google.com/maps/search/Sun%20Cat%20I%20Portim%C3%A3o%20Algarve%20Portugal","📍 Sun Cat I")</f>
        <v>📍 Sun Cat I</v>
      </c>
    </row>
    <row r="212" spans="1:9" ht="20" customHeight="1" x14ac:dyDescent="0.45">
      <c r="A212" s="1595" t="s">
        <v>18864</v>
      </c>
      <c r="B212" s="1313"/>
      <c r="C212" s="1313"/>
      <c r="D212" s="1313"/>
      <c r="E212" s="1313"/>
      <c r="F212" s="1313"/>
      <c r="G212" s="1313"/>
      <c r="H212" s="1313"/>
      <c r="I212" s="1313"/>
    </row>
    <row r="213" spans="1:9" ht="36" customHeight="1" x14ac:dyDescent="0.4">
      <c r="A213" s="672">
        <v>171</v>
      </c>
      <c r="B213" s="671" t="s">
        <v>9993</v>
      </c>
      <c r="C213" s="673" t="s">
        <v>767</v>
      </c>
      <c r="D213" s="671" t="s">
        <v>2180</v>
      </c>
      <c r="E213" s="671" t="s">
        <v>18631</v>
      </c>
      <c r="F213" s="674" t="s">
        <v>18944</v>
      </c>
      <c r="G213" s="675" t="s">
        <v>18632</v>
      </c>
      <c r="H213" s="671" t="s">
        <v>19008</v>
      </c>
      <c r="I213" s="682" t="str">
        <f>HYPERLINK("https://www.google.com/maps/search/Arma%C3%A7%C3%A3o%20de%20P%C3%AAra%20Silves%20Algarve%20Portugal","📍 Armação de Pêra")</f>
        <v>📍 Armação de Pêra</v>
      </c>
    </row>
    <row r="214" spans="1:9" ht="36" customHeight="1" x14ac:dyDescent="0.4">
      <c r="A214" s="678">
        <v>172</v>
      </c>
      <c r="B214" s="677" t="s">
        <v>19009</v>
      </c>
      <c r="C214" s="679" t="s">
        <v>767</v>
      </c>
      <c r="D214" s="677" t="s">
        <v>2180</v>
      </c>
      <c r="E214" s="677" t="s">
        <v>18631</v>
      </c>
      <c r="F214" s="680" t="s">
        <v>18944</v>
      </c>
      <c r="G214" s="681" t="s">
        <v>18632</v>
      </c>
      <c r="H214" s="677" t="s">
        <v>19010</v>
      </c>
      <c r="I214" s="683" t="str">
        <f>HYPERLINK("https://www.google.com/maps/search/Praia%20Grande%20Poente%20Silves%20Algarve%20Portugal","📍 Praia Grande Poente")</f>
        <v>📍 Praia Grande Poente</v>
      </c>
    </row>
    <row r="215" spans="1:9" ht="20" customHeight="1" x14ac:dyDescent="0.45">
      <c r="A215" s="1595" t="s">
        <v>18865</v>
      </c>
      <c r="B215" s="1313"/>
      <c r="C215" s="1313"/>
      <c r="D215" s="1313"/>
      <c r="E215" s="1313"/>
      <c r="F215" s="1313"/>
      <c r="G215" s="1313"/>
      <c r="H215" s="1313"/>
      <c r="I215" s="1313"/>
    </row>
    <row r="216" spans="1:9" ht="36" customHeight="1" x14ac:dyDescent="0.4">
      <c r="A216" s="672">
        <v>173</v>
      </c>
      <c r="B216" s="671" t="s">
        <v>19011</v>
      </c>
      <c r="C216" s="673" t="s">
        <v>767</v>
      </c>
      <c r="D216" s="671" t="s">
        <v>5764</v>
      </c>
      <c r="E216" s="671" t="s">
        <v>18935</v>
      </c>
      <c r="F216" s="674" t="s">
        <v>2719</v>
      </c>
      <c r="G216" s="675" t="s">
        <v>18632</v>
      </c>
      <c r="H216" s="671" t="s">
        <v>19012</v>
      </c>
      <c r="I216" s="682" t="str">
        <f>HYPERLINK("https://www.google.com/maps/search/Barril%20Tavira%20Algarve%20Portugal","📍 Barril")</f>
        <v>📍 Barril</v>
      </c>
    </row>
    <row r="217" spans="1:9" ht="36" customHeight="1" x14ac:dyDescent="0.4">
      <c r="A217" s="678">
        <v>174</v>
      </c>
      <c r="B217" s="677" t="s">
        <v>19013</v>
      </c>
      <c r="C217" s="679" t="s">
        <v>767</v>
      </c>
      <c r="D217" s="677" t="s">
        <v>5764</v>
      </c>
      <c r="E217" s="677" t="s">
        <v>18935</v>
      </c>
      <c r="F217" s="680" t="s">
        <v>2719</v>
      </c>
      <c r="G217" s="681" t="s">
        <v>18632</v>
      </c>
      <c r="H217" s="677" t="s">
        <v>19014</v>
      </c>
      <c r="I217" s="683" t="str">
        <f>HYPERLINK("https://www.google.com/maps/search/Cabanas-Mar%20Tavira%20Algarve%20Portugal","📍 Cabanas-Mar")</f>
        <v>📍 Cabanas-Mar</v>
      </c>
    </row>
    <row r="218" spans="1:9" ht="36" customHeight="1" x14ac:dyDescent="0.4">
      <c r="A218" s="672">
        <v>175</v>
      </c>
      <c r="B218" s="671" t="s">
        <v>19015</v>
      </c>
      <c r="C218" s="673" t="s">
        <v>767</v>
      </c>
      <c r="D218" s="671" t="s">
        <v>5764</v>
      </c>
      <c r="E218" s="671" t="s">
        <v>18935</v>
      </c>
      <c r="F218" s="674" t="s">
        <v>2719</v>
      </c>
      <c r="G218" s="675" t="s">
        <v>18632</v>
      </c>
      <c r="H218" s="671" t="s">
        <v>19016</v>
      </c>
      <c r="I218" s="682" t="str">
        <f>HYPERLINK("https://www.google.com/maps/search/Ilha%20de%20Tavira-Mar%20Tavira%20Algarve%20Portugal","📍 Ilha de Tavira-Mar")</f>
        <v>📍 Ilha de Tavira-Mar</v>
      </c>
    </row>
    <row r="219" spans="1:9" ht="36" customHeight="1" x14ac:dyDescent="0.4">
      <c r="A219" s="678">
        <v>176</v>
      </c>
      <c r="B219" s="677" t="s">
        <v>19017</v>
      </c>
      <c r="C219" s="679" t="s">
        <v>767</v>
      </c>
      <c r="D219" s="677" t="s">
        <v>5764</v>
      </c>
      <c r="E219" s="677" t="s">
        <v>18935</v>
      </c>
      <c r="F219" s="680" t="s">
        <v>2719</v>
      </c>
      <c r="G219" s="681" t="s">
        <v>18632</v>
      </c>
      <c r="H219" s="677" t="s">
        <v>19018</v>
      </c>
      <c r="I219" s="683" t="str">
        <f>HYPERLINK("https://www.google.com/maps/search/Terra%20Estreita%20Tavira%20Algarve%20Portugal","📍 Terra Estreita")</f>
        <v>📍 Terra Estreita</v>
      </c>
    </row>
    <row r="220" spans="1:9" ht="20" customHeight="1" x14ac:dyDescent="0.45">
      <c r="A220" s="1595" t="s">
        <v>18866</v>
      </c>
      <c r="B220" s="1313"/>
      <c r="C220" s="1313"/>
      <c r="D220" s="1313"/>
      <c r="E220" s="1313"/>
      <c r="F220" s="1313"/>
      <c r="G220" s="1313"/>
      <c r="H220" s="1313"/>
      <c r="I220" s="1313"/>
    </row>
    <row r="221" spans="1:9" ht="36" customHeight="1" x14ac:dyDescent="0.4">
      <c r="A221" s="672">
        <v>177</v>
      </c>
      <c r="B221" s="671" t="s">
        <v>19019</v>
      </c>
      <c r="C221" s="673" t="s">
        <v>767</v>
      </c>
      <c r="D221" s="671" t="s">
        <v>9985</v>
      </c>
      <c r="E221" s="671" t="s">
        <v>18631</v>
      </c>
      <c r="F221" s="674" t="s">
        <v>19020</v>
      </c>
      <c r="G221" s="675" t="s">
        <v>18632</v>
      </c>
      <c r="H221" s="671" t="s">
        <v>19021</v>
      </c>
      <c r="I221" s="682" t="str">
        <f>HYPERLINK("https://www.google.com/maps/search/Alm%C3%A1dena-Cabanas%20Velhas%20Vila%20do%20Bispo%20Algarve%20Portugal","📍 Almádena-Cabanas Velhas")</f>
        <v>📍 Almádena-Cabanas Velhas</v>
      </c>
    </row>
    <row r="222" spans="1:9" ht="36" customHeight="1" x14ac:dyDescent="0.4">
      <c r="A222" s="678">
        <v>178</v>
      </c>
      <c r="B222" s="677" t="s">
        <v>19022</v>
      </c>
      <c r="C222" s="679" t="s">
        <v>767</v>
      </c>
      <c r="D222" s="677" t="s">
        <v>9985</v>
      </c>
      <c r="E222" s="677" t="s">
        <v>18631</v>
      </c>
      <c r="F222" s="680" t="s">
        <v>19020</v>
      </c>
      <c r="G222" s="681" t="s">
        <v>18632</v>
      </c>
      <c r="H222" s="677" t="s">
        <v>19023</v>
      </c>
      <c r="I222" s="683" t="str">
        <f>HYPERLINK("https://www.google.com/maps/search/Burgau%20Vila%20do%20Bispo%20Algarve%20Portugal","📍 Burgau")</f>
        <v>📍 Burgau</v>
      </c>
    </row>
    <row r="223" spans="1:9" ht="36" customHeight="1" x14ac:dyDescent="0.4">
      <c r="A223" s="672">
        <v>179</v>
      </c>
      <c r="B223" s="671" t="s">
        <v>19024</v>
      </c>
      <c r="C223" s="673" t="s">
        <v>767</v>
      </c>
      <c r="D223" s="671" t="s">
        <v>9985</v>
      </c>
      <c r="E223" s="671" t="s">
        <v>18631</v>
      </c>
      <c r="F223" s="674" t="s">
        <v>2789</v>
      </c>
      <c r="G223" s="675" t="s">
        <v>18632</v>
      </c>
      <c r="H223" s="671" t="s">
        <v>19025</v>
      </c>
      <c r="I223" s="682" t="str">
        <f>HYPERLINK("https://www.google.com/maps/search/Castelejo%20Vila%20do%20Bispo%20Algarve%20Portugal","📍 Castelejo")</f>
        <v>📍 Castelejo</v>
      </c>
    </row>
    <row r="224" spans="1:9" ht="36" customHeight="1" x14ac:dyDescent="0.4">
      <c r="A224" s="678">
        <v>180</v>
      </c>
      <c r="B224" s="677" t="s">
        <v>19026</v>
      </c>
      <c r="C224" s="679" t="s">
        <v>767</v>
      </c>
      <c r="D224" s="677" t="s">
        <v>9985</v>
      </c>
      <c r="E224" s="677" t="s">
        <v>18631</v>
      </c>
      <c r="F224" s="680" t="s">
        <v>2789</v>
      </c>
      <c r="G224" s="681" t="s">
        <v>18632</v>
      </c>
      <c r="H224" s="677" t="s">
        <v>19027</v>
      </c>
      <c r="I224" s="683" t="str">
        <f>HYPERLINK("https://www.google.com/maps/search/Cordoama%20Vila%20do%20Bispo%20Algarve%20Portugal","📍 Cordoama")</f>
        <v>📍 Cordoama</v>
      </c>
    </row>
    <row r="225" spans="1:9" ht="36" customHeight="1" x14ac:dyDescent="0.4">
      <c r="A225" s="672">
        <v>181</v>
      </c>
      <c r="B225" s="671" t="s">
        <v>19028</v>
      </c>
      <c r="C225" s="673" t="s">
        <v>767</v>
      </c>
      <c r="D225" s="671" t="s">
        <v>9985</v>
      </c>
      <c r="E225" s="671" t="s">
        <v>18631</v>
      </c>
      <c r="F225" s="674" t="s">
        <v>19020</v>
      </c>
      <c r="G225" s="675" t="s">
        <v>18632</v>
      </c>
      <c r="H225" s="671" t="s">
        <v>19029</v>
      </c>
      <c r="I225" s="682" t="str">
        <f>HYPERLINK("https://www.google.com/maps/search/Ingrina%20Vila%20do%20Bispo%20Algarve%20Portugal","📍 Ingrina")</f>
        <v>📍 Ingrina</v>
      </c>
    </row>
    <row r="226" spans="1:9" ht="36" customHeight="1" x14ac:dyDescent="0.4">
      <c r="A226" s="678">
        <v>182</v>
      </c>
      <c r="B226" s="677" t="s">
        <v>19030</v>
      </c>
      <c r="C226" s="679" t="s">
        <v>767</v>
      </c>
      <c r="D226" s="677" t="s">
        <v>9985</v>
      </c>
      <c r="E226" s="677" t="s">
        <v>18631</v>
      </c>
      <c r="F226" s="680" t="s">
        <v>19031</v>
      </c>
      <c r="G226" s="681" t="s">
        <v>18632</v>
      </c>
      <c r="H226" s="677" t="s">
        <v>19032</v>
      </c>
      <c r="I226" s="683" t="str">
        <f>HYPERLINK("https://www.google.com/maps/search/Mareta%20Vila%20do%20Bispo%20Algarve%20Portugal","📍 Mareta")</f>
        <v>📍 Mareta</v>
      </c>
    </row>
    <row r="227" spans="1:9" ht="36" customHeight="1" x14ac:dyDescent="0.4">
      <c r="A227" s="672">
        <v>183</v>
      </c>
      <c r="B227" s="671" t="s">
        <v>19033</v>
      </c>
      <c r="C227" s="673" t="s">
        <v>767</v>
      </c>
      <c r="D227" s="671" t="s">
        <v>9985</v>
      </c>
      <c r="E227" s="671" t="s">
        <v>18631</v>
      </c>
      <c r="F227" s="674" t="s">
        <v>19031</v>
      </c>
      <c r="G227" s="675" t="s">
        <v>18632</v>
      </c>
      <c r="H227" s="671" t="s">
        <v>19034</v>
      </c>
      <c r="I227" s="682" t="str">
        <f>HYPERLINK("https://www.google.com/maps/search/Martinhal%20Vila%20do%20Bispo%20Algarve%20Portugal","📍 Martinhal")</f>
        <v>📍 Martinhal</v>
      </c>
    </row>
    <row r="228" spans="1:9" ht="36" customHeight="1" x14ac:dyDescent="0.4">
      <c r="A228" s="678">
        <v>184</v>
      </c>
      <c r="B228" s="677" t="s">
        <v>19035</v>
      </c>
      <c r="C228" s="679" t="s">
        <v>767</v>
      </c>
      <c r="D228" s="677" t="s">
        <v>9985</v>
      </c>
      <c r="E228" s="677" t="s">
        <v>18631</v>
      </c>
      <c r="F228" s="680" t="s">
        <v>19020</v>
      </c>
      <c r="G228" s="681" t="s">
        <v>18632</v>
      </c>
      <c r="H228" s="677" t="s">
        <v>19036</v>
      </c>
      <c r="I228" s="683" t="str">
        <f>HYPERLINK("https://www.google.com/maps/search/Salema%20Vila%20do%20Bispo%20Algarve%20Portugal","📍 Salema")</f>
        <v>📍 Salema</v>
      </c>
    </row>
    <row r="229" spans="1:9" ht="36" customHeight="1" x14ac:dyDescent="0.4">
      <c r="A229" s="672">
        <v>185</v>
      </c>
      <c r="B229" s="671" t="s">
        <v>19037</v>
      </c>
      <c r="C229" s="673" t="s">
        <v>767</v>
      </c>
      <c r="D229" s="671" t="s">
        <v>9985</v>
      </c>
      <c r="E229" s="671" t="s">
        <v>18631</v>
      </c>
      <c r="F229" s="674" t="s">
        <v>19031</v>
      </c>
      <c r="G229" s="675" t="s">
        <v>18632</v>
      </c>
      <c r="H229" s="671" t="s">
        <v>19038</v>
      </c>
      <c r="I229" s="682" t="str">
        <f>HYPERLINK("https://www.google.com/maps/search/Tonel%20Vila%20do%20Bispo%20Algarve%20Portugal","📍 Tonel")</f>
        <v>📍 Tonel</v>
      </c>
    </row>
    <row r="230" spans="1:9" ht="36" customHeight="1" x14ac:dyDescent="0.4">
      <c r="A230" s="678">
        <v>186</v>
      </c>
      <c r="B230" s="677" t="s">
        <v>19039</v>
      </c>
      <c r="C230" s="679" t="s">
        <v>767</v>
      </c>
      <c r="D230" s="677" t="s">
        <v>9985</v>
      </c>
      <c r="E230" s="677" t="s">
        <v>18631</v>
      </c>
      <c r="F230" s="680" t="s">
        <v>19020</v>
      </c>
      <c r="G230" s="681" t="s">
        <v>18632</v>
      </c>
      <c r="H230" s="677" t="s">
        <v>19040</v>
      </c>
      <c r="I230" s="683" t="str">
        <f>HYPERLINK("https://www.google.com/maps/search/Zavial%20Vila%20do%20Bispo%20Algarve%20Portugal","📍 Zavial")</f>
        <v>📍 Zavial</v>
      </c>
    </row>
    <row r="231" spans="1:9" ht="20" customHeight="1" x14ac:dyDescent="0.45">
      <c r="A231" s="1595" t="s">
        <v>18867</v>
      </c>
      <c r="B231" s="1313"/>
      <c r="C231" s="1313"/>
      <c r="D231" s="1313"/>
      <c r="E231" s="1313"/>
      <c r="F231" s="1313"/>
      <c r="G231" s="1313"/>
      <c r="H231" s="1313"/>
      <c r="I231" s="1313"/>
    </row>
    <row r="232" spans="1:9" ht="36" customHeight="1" x14ac:dyDescent="0.4">
      <c r="A232" s="672">
        <v>187</v>
      </c>
      <c r="B232" s="671" t="s">
        <v>19041</v>
      </c>
      <c r="C232" s="673" t="s">
        <v>767</v>
      </c>
      <c r="D232" s="671" t="s">
        <v>6448</v>
      </c>
      <c r="E232" s="671" t="s">
        <v>18631</v>
      </c>
      <c r="F232" s="674" t="s">
        <v>18928</v>
      </c>
      <c r="G232" s="675" t="s">
        <v>18632</v>
      </c>
      <c r="H232" s="671" t="s">
        <v>19042</v>
      </c>
      <c r="I232" s="682" t="str">
        <f>HYPERLINK("https://www.google.com/maps/search/Lota%20Vila%20Real%20de%20Santo%20Ant%C3%B3nio%20Algarve%20Portugal","📍 Lota")</f>
        <v>📍 Lota</v>
      </c>
    </row>
    <row r="233" spans="1:9" ht="36" customHeight="1" x14ac:dyDescent="0.4">
      <c r="A233" s="678">
        <v>188</v>
      </c>
      <c r="B233" s="677" t="s">
        <v>19043</v>
      </c>
      <c r="C233" s="679" t="s">
        <v>767</v>
      </c>
      <c r="D233" s="677" t="s">
        <v>6448</v>
      </c>
      <c r="E233" s="677" t="s">
        <v>18631</v>
      </c>
      <c r="F233" s="680" t="s">
        <v>18928</v>
      </c>
      <c r="G233" s="681" t="s">
        <v>18632</v>
      </c>
      <c r="H233" s="677" t="s">
        <v>19044</v>
      </c>
      <c r="I233" s="683" t="str">
        <f>HYPERLINK("https://www.google.com/maps/search/Manta%20Rota%20Vila%20Real%20de%20Santo%20Ant%C3%B3nio%20Algarve%20Portugal","📍 Manta Rota")</f>
        <v>📍 Manta Rota</v>
      </c>
    </row>
    <row r="234" spans="1:9" ht="36" customHeight="1" x14ac:dyDescent="0.4">
      <c r="A234" s="672">
        <v>189</v>
      </c>
      <c r="B234" s="671" t="s">
        <v>14781</v>
      </c>
      <c r="C234" s="673" t="s">
        <v>767</v>
      </c>
      <c r="D234" s="671" t="s">
        <v>6448</v>
      </c>
      <c r="E234" s="671" t="s">
        <v>18631</v>
      </c>
      <c r="F234" s="674" t="s">
        <v>18928</v>
      </c>
      <c r="G234" s="675" t="s">
        <v>18632</v>
      </c>
      <c r="H234" s="671" t="s">
        <v>19045</v>
      </c>
      <c r="I234" s="682" t="str">
        <f>HYPERLINK("https://www.google.com/maps/search/Monte%20Gordo%20Vila%20Real%20de%20Santo%20Ant%C3%B3nio%20Algarve%20Portugal","📍 Monte Gordo")</f>
        <v>📍 Monte Gordo</v>
      </c>
    </row>
    <row r="235" spans="1:9" ht="36" customHeight="1" x14ac:dyDescent="0.4">
      <c r="A235" s="678">
        <v>190</v>
      </c>
      <c r="B235" s="677" t="s">
        <v>12352</v>
      </c>
      <c r="C235" s="679" t="s">
        <v>767</v>
      </c>
      <c r="D235" s="677" t="s">
        <v>6448</v>
      </c>
      <c r="E235" s="677" t="s">
        <v>18631</v>
      </c>
      <c r="F235" s="680" t="s">
        <v>18928</v>
      </c>
      <c r="G235" s="681" t="s">
        <v>18632</v>
      </c>
      <c r="H235" s="677" t="s">
        <v>19046</v>
      </c>
      <c r="I235" s="683" t="str">
        <f>HYPERLINK("https://www.google.com/maps/search/Santo%20Ant%C3%B3nio%20Vila%20Real%20de%20Santo%20Ant%C3%B3nio%20Algarve%20Portugal","📍 Santo António")</f>
        <v>📍 Santo António</v>
      </c>
    </row>
    <row r="236" spans="1:9" ht="24" customHeight="1" x14ac:dyDescent="0.45">
      <c r="A236" s="1604" t="s">
        <v>19047</v>
      </c>
      <c r="B236" s="1313"/>
      <c r="C236" s="1313"/>
      <c r="D236" s="1313"/>
      <c r="E236" s="1313"/>
      <c r="F236" s="1313"/>
      <c r="G236" s="1313"/>
      <c r="H236" s="1313"/>
      <c r="I236" s="1313"/>
    </row>
    <row r="237" spans="1:9" ht="20" customHeight="1" x14ac:dyDescent="0.45">
      <c r="A237" s="1595" t="s">
        <v>19048</v>
      </c>
      <c r="B237" s="1313"/>
      <c r="C237" s="1313"/>
      <c r="D237" s="1313"/>
      <c r="E237" s="1313"/>
      <c r="F237" s="1313"/>
      <c r="G237" s="1313"/>
      <c r="H237" s="1313"/>
      <c r="I237" s="1313"/>
    </row>
    <row r="238" spans="1:9" ht="36" customHeight="1" x14ac:dyDescent="0.4">
      <c r="A238" s="672">
        <v>191</v>
      </c>
      <c r="B238" s="671" t="s">
        <v>19067</v>
      </c>
      <c r="C238" s="673" t="s">
        <v>836</v>
      </c>
      <c r="D238" s="671" t="s">
        <v>6558</v>
      </c>
      <c r="E238" s="671" t="s">
        <v>1482</v>
      </c>
      <c r="F238" s="674" t="s">
        <v>19068</v>
      </c>
      <c r="G238" s="675" t="s">
        <v>18632</v>
      </c>
      <c r="H238" s="671" t="s">
        <v>19069</v>
      </c>
      <c r="I238" s="682" t="str">
        <f>HYPERLINK("https://www.google.com/maps/search/Cascalheira%20-%20Secarias%20Arganil%20Centro%20Portugal","📍 Cascalheira - Secarias")</f>
        <v>📍 Cascalheira - Secarias</v>
      </c>
    </row>
    <row r="239" spans="1:9" ht="20" customHeight="1" x14ac:dyDescent="0.45">
      <c r="A239" s="1595" t="s">
        <v>19049</v>
      </c>
      <c r="B239" s="1313"/>
      <c r="C239" s="1313"/>
      <c r="D239" s="1313"/>
      <c r="E239" s="1313"/>
      <c r="F239" s="1313"/>
      <c r="G239" s="1313"/>
      <c r="H239" s="1313"/>
      <c r="I239" s="1313"/>
    </row>
    <row r="240" spans="1:9" ht="36" customHeight="1" x14ac:dyDescent="0.4">
      <c r="A240" s="678">
        <v>192</v>
      </c>
      <c r="B240" s="677" t="s">
        <v>19070</v>
      </c>
      <c r="C240" s="679" t="s">
        <v>836</v>
      </c>
      <c r="D240" s="677" t="s">
        <v>1363</v>
      </c>
      <c r="E240" s="677" t="s">
        <v>18631</v>
      </c>
      <c r="F240" s="680" t="s">
        <v>19071</v>
      </c>
      <c r="G240" s="681" t="s">
        <v>18632</v>
      </c>
      <c r="H240" s="677" t="s">
        <v>19072</v>
      </c>
      <c r="I240" s="683" t="str">
        <f>HYPERLINK("https://www.google.com/maps/search/S%C3%A3o%20Jacinto%20Aveiro%20Centro%20Portugal","📍 São Jacinto")</f>
        <v>📍 São Jacinto</v>
      </c>
    </row>
    <row r="241" spans="1:9" ht="36" customHeight="1" x14ac:dyDescent="0.4">
      <c r="A241" s="672">
        <v>193</v>
      </c>
      <c r="B241" s="671" t="s">
        <v>19073</v>
      </c>
      <c r="C241" s="673" t="s">
        <v>836</v>
      </c>
      <c r="D241" s="671" t="s">
        <v>1363</v>
      </c>
      <c r="E241" s="671" t="s">
        <v>18631</v>
      </c>
      <c r="F241" s="674" t="s">
        <v>19071</v>
      </c>
      <c r="G241" s="675" t="s">
        <v>18632</v>
      </c>
      <c r="H241" s="671" t="s">
        <v>19074</v>
      </c>
      <c r="I241" s="682" t="str">
        <f>HYPERLINK("https://www.google.com/maps/search/Gaivinha%20Aveiro%20Centro%20Portugal","📍 Gaivinha")</f>
        <v>📍 Gaivinha</v>
      </c>
    </row>
    <row r="242" spans="1:9" ht="20" customHeight="1" x14ac:dyDescent="0.45">
      <c r="A242" s="1595" t="s">
        <v>19050</v>
      </c>
      <c r="B242" s="1313"/>
      <c r="C242" s="1313"/>
      <c r="D242" s="1313"/>
      <c r="E242" s="1313"/>
      <c r="F242" s="1313"/>
      <c r="G242" s="1313"/>
      <c r="H242" s="1313"/>
      <c r="I242" s="1313"/>
    </row>
    <row r="243" spans="1:9" ht="36" customHeight="1" x14ac:dyDescent="0.4">
      <c r="A243" s="678">
        <v>194</v>
      </c>
      <c r="B243" s="677" t="s">
        <v>19075</v>
      </c>
      <c r="C243" s="679" t="s">
        <v>836</v>
      </c>
      <c r="D243" s="677" t="s">
        <v>1131</v>
      </c>
      <c r="E243" s="677" t="s">
        <v>1482</v>
      </c>
      <c r="F243" s="680" t="s">
        <v>19076</v>
      </c>
      <c r="G243" s="681" t="s">
        <v>18632</v>
      </c>
      <c r="H243" s="677" t="s">
        <v>19077</v>
      </c>
      <c r="I243" s="683" t="str">
        <f>HYPERLINK("https://www.google.com/maps/search/An%C3%A7%C3%A3%20Cantanhede%20Centro%20Portugal","📍 Ançã")</f>
        <v>📍 Ançã</v>
      </c>
    </row>
    <row r="244" spans="1:9" ht="36" customHeight="1" x14ac:dyDescent="0.4">
      <c r="A244" s="672">
        <v>195</v>
      </c>
      <c r="B244" s="671" t="s">
        <v>19078</v>
      </c>
      <c r="C244" s="673" t="s">
        <v>836</v>
      </c>
      <c r="D244" s="671" t="s">
        <v>1131</v>
      </c>
      <c r="E244" s="671" t="s">
        <v>1482</v>
      </c>
      <c r="F244" s="674" t="s">
        <v>19076</v>
      </c>
      <c r="G244" s="675" t="s">
        <v>18632</v>
      </c>
      <c r="H244" s="671" t="s">
        <v>19079</v>
      </c>
      <c r="I244" s="682" t="str">
        <f>HYPERLINK("https://www.google.com/maps/search/Olhos%20de%20Ferven%C3%A7a%20Cantanhede%20Centro%20Portugal","📍 Olhos de Fervença")</f>
        <v>📍 Olhos de Fervença</v>
      </c>
    </row>
    <row r="245" spans="1:9" ht="36" customHeight="1" x14ac:dyDescent="0.4">
      <c r="A245" s="678">
        <v>196</v>
      </c>
      <c r="B245" s="677" t="s">
        <v>19080</v>
      </c>
      <c r="C245" s="679" t="s">
        <v>836</v>
      </c>
      <c r="D245" s="677" t="s">
        <v>1131</v>
      </c>
      <c r="E245" s="677" t="s">
        <v>1482</v>
      </c>
      <c r="F245" s="680" t="s">
        <v>19076</v>
      </c>
      <c r="G245" s="681" t="s">
        <v>18632</v>
      </c>
      <c r="H245" s="677" t="s">
        <v>19081</v>
      </c>
      <c r="I245" s="683" t="str">
        <f>HYPERLINK("https://www.google.com/maps/search/Sete%20Fontes%20Cantanhede%20Centro%20Portugal","📍 Sete Fontes")</f>
        <v>📍 Sete Fontes</v>
      </c>
    </row>
    <row r="246" spans="1:9" ht="36" customHeight="1" x14ac:dyDescent="0.4">
      <c r="A246" s="672">
        <v>197</v>
      </c>
      <c r="B246" s="671" t="s">
        <v>19082</v>
      </c>
      <c r="C246" s="673" t="s">
        <v>836</v>
      </c>
      <c r="D246" s="671" t="s">
        <v>1131</v>
      </c>
      <c r="E246" s="671" t="s">
        <v>18631</v>
      </c>
      <c r="F246" s="674" t="s">
        <v>19083</v>
      </c>
      <c r="G246" s="675" t="s">
        <v>18632</v>
      </c>
      <c r="H246" s="671" t="s">
        <v>19084</v>
      </c>
      <c r="I246" s="682" t="str">
        <f>HYPERLINK("https://www.google.com/maps/search/Tocha%20Cantanhede%20Centro%20Portugal","📍 Tocha")</f>
        <v>📍 Tocha</v>
      </c>
    </row>
    <row r="247" spans="1:9" ht="20" customHeight="1" x14ac:dyDescent="0.45">
      <c r="A247" s="1595" t="s">
        <v>19051</v>
      </c>
      <c r="B247" s="1313"/>
      <c r="C247" s="1313"/>
      <c r="D247" s="1313"/>
      <c r="E247" s="1313"/>
      <c r="F247" s="1313"/>
      <c r="G247" s="1313"/>
      <c r="H247" s="1313"/>
      <c r="I247" s="1313"/>
    </row>
    <row r="248" spans="1:9" ht="36" customHeight="1" x14ac:dyDescent="0.4">
      <c r="A248" s="678">
        <v>198</v>
      </c>
      <c r="B248" s="677" t="s">
        <v>19085</v>
      </c>
      <c r="C248" s="679" t="s">
        <v>836</v>
      </c>
      <c r="D248" s="677" t="s">
        <v>5497</v>
      </c>
      <c r="E248" s="677" t="s">
        <v>18631</v>
      </c>
      <c r="F248" s="680" t="s">
        <v>19083</v>
      </c>
      <c r="G248" s="681" t="s">
        <v>18632</v>
      </c>
      <c r="H248" s="677" t="s">
        <v>19086</v>
      </c>
      <c r="I248" s="683" t="str">
        <f>HYPERLINK("https://www.google.com/maps/search/Palheiros%20e%20Zorro%20Coimbra%20Centro%20Portugal","📍 Palheiros e Zorro")</f>
        <v>📍 Palheiros e Zorro</v>
      </c>
    </row>
    <row r="249" spans="1:9" ht="36" customHeight="1" x14ac:dyDescent="0.4">
      <c r="A249" s="672">
        <v>199</v>
      </c>
      <c r="B249" s="671" t="s">
        <v>19087</v>
      </c>
      <c r="C249" s="673" t="s">
        <v>836</v>
      </c>
      <c r="D249" s="671" t="s">
        <v>5497</v>
      </c>
      <c r="E249" s="671" t="s">
        <v>18631</v>
      </c>
      <c r="F249" s="674" t="s">
        <v>19083</v>
      </c>
      <c r="G249" s="675" t="s">
        <v>18632</v>
      </c>
      <c r="H249" s="671" t="s">
        <v>19088</v>
      </c>
      <c r="I249" s="682" t="str">
        <f>HYPERLINK("https://www.google.com/maps/search/Rebolim%20Coimbra%20Centro%20Portugal","📍 Rebolim")</f>
        <v>📍 Rebolim</v>
      </c>
    </row>
    <row r="250" spans="1:9" ht="20" customHeight="1" x14ac:dyDescent="0.45">
      <c r="A250" s="1595" t="s">
        <v>19052</v>
      </c>
      <c r="B250" s="1313"/>
      <c r="C250" s="1313"/>
      <c r="D250" s="1313"/>
      <c r="E250" s="1313"/>
      <c r="F250" s="1313"/>
      <c r="G250" s="1313"/>
      <c r="H250" s="1313"/>
      <c r="I250" s="1313"/>
    </row>
    <row r="251" spans="1:9" ht="36" customHeight="1" x14ac:dyDescent="0.4">
      <c r="A251" s="678">
        <v>200</v>
      </c>
      <c r="B251" s="677" t="s">
        <v>13402</v>
      </c>
      <c r="C251" s="679" t="s">
        <v>836</v>
      </c>
      <c r="D251" s="677" t="s">
        <v>7331</v>
      </c>
      <c r="E251" s="677" t="s">
        <v>18631</v>
      </c>
      <c r="F251" s="680" t="s">
        <v>19083</v>
      </c>
      <c r="G251" s="681" t="s">
        <v>18632</v>
      </c>
      <c r="H251" s="677" t="s">
        <v>19089</v>
      </c>
      <c r="I251" s="683" t="str">
        <f>HYPERLINK("https://www.google.com/maps/search/Buarcos%20Figueira%20da%20Foz%20Centro%20Portugal","📍 Buarcos")</f>
        <v>📍 Buarcos</v>
      </c>
    </row>
    <row r="252" spans="1:9" ht="36" customHeight="1" x14ac:dyDescent="0.4">
      <c r="A252" s="672">
        <v>201</v>
      </c>
      <c r="B252" s="671" t="s">
        <v>19090</v>
      </c>
      <c r="C252" s="673" t="s">
        <v>836</v>
      </c>
      <c r="D252" s="671" t="s">
        <v>7331</v>
      </c>
      <c r="E252" s="671" t="s">
        <v>18631</v>
      </c>
      <c r="F252" s="674" t="s">
        <v>19091</v>
      </c>
      <c r="G252" s="675" t="s">
        <v>18632</v>
      </c>
      <c r="H252" s="671" t="s">
        <v>19092</v>
      </c>
      <c r="I252" s="682" t="str">
        <f>HYPERLINK("https://www.google.com/maps/search/Cabedelo%20Sul%20Figueira%20da%20Foz%20Centro%20Portugal","📍 Cabedelo Sul")</f>
        <v>📍 Cabedelo Sul</v>
      </c>
    </row>
    <row r="253" spans="1:9" ht="36" customHeight="1" x14ac:dyDescent="0.4">
      <c r="A253" s="678">
        <v>202</v>
      </c>
      <c r="B253" s="677" t="s">
        <v>13399</v>
      </c>
      <c r="C253" s="679" t="s">
        <v>836</v>
      </c>
      <c r="D253" s="677" t="s">
        <v>7331</v>
      </c>
      <c r="E253" s="677" t="s">
        <v>18631</v>
      </c>
      <c r="F253" s="680" t="s">
        <v>19083</v>
      </c>
      <c r="G253" s="681" t="s">
        <v>18632</v>
      </c>
      <c r="H253" s="677" t="s">
        <v>19093</v>
      </c>
      <c r="I253" s="683" t="str">
        <f>HYPERLINK("https://www.google.com/maps/search/Cabo%20Mondego%20Figueira%20da%20Foz%20Centro%20Portugal","📍 Cabo Mondego")</f>
        <v>📍 Cabo Mondego</v>
      </c>
    </row>
    <row r="254" spans="1:9" ht="36" customHeight="1" x14ac:dyDescent="0.4">
      <c r="A254" s="672">
        <v>203</v>
      </c>
      <c r="B254" s="671" t="s">
        <v>19094</v>
      </c>
      <c r="C254" s="673" t="s">
        <v>836</v>
      </c>
      <c r="D254" s="671" t="s">
        <v>7331</v>
      </c>
      <c r="E254" s="671" t="s">
        <v>18631</v>
      </c>
      <c r="F254" s="674" t="s">
        <v>19083</v>
      </c>
      <c r="G254" s="675" t="s">
        <v>18632</v>
      </c>
      <c r="H254" s="671" t="s">
        <v>19095</v>
      </c>
      <c r="I254" s="682" t="str">
        <f>HYPERLINK("https://www.google.com/maps/search/Costa%20de%20Lavos%20Figueira%20da%20Foz%20Centro%20Portugal","📍 Costa de Lavos")</f>
        <v>📍 Costa de Lavos</v>
      </c>
    </row>
    <row r="255" spans="1:9" ht="36" customHeight="1" x14ac:dyDescent="0.4">
      <c r="A255" s="678">
        <v>204</v>
      </c>
      <c r="B255" s="677" t="s">
        <v>19096</v>
      </c>
      <c r="C255" s="679" t="s">
        <v>836</v>
      </c>
      <c r="D255" s="677" t="s">
        <v>7331</v>
      </c>
      <c r="E255" s="677" t="s">
        <v>18631</v>
      </c>
      <c r="F255" s="680" t="s">
        <v>19083</v>
      </c>
      <c r="G255" s="681" t="s">
        <v>18632</v>
      </c>
      <c r="H255" s="677" t="s">
        <v>19097</v>
      </c>
      <c r="I255" s="683" t="str">
        <f>HYPERLINK("https://www.google.com/maps/search/Cova%20Gala%20Figueira%20da%20Foz%20Centro%20Portugal","📍 Cova Gala")</f>
        <v>📍 Cova Gala</v>
      </c>
    </row>
    <row r="256" spans="1:9" ht="36" customHeight="1" x14ac:dyDescent="0.4">
      <c r="A256" s="672">
        <v>205</v>
      </c>
      <c r="B256" s="671" t="s">
        <v>19098</v>
      </c>
      <c r="C256" s="673" t="s">
        <v>836</v>
      </c>
      <c r="D256" s="671" t="s">
        <v>7331</v>
      </c>
      <c r="E256" s="671" t="s">
        <v>18631</v>
      </c>
      <c r="F256" s="674" t="s">
        <v>19083</v>
      </c>
      <c r="G256" s="675" t="s">
        <v>18632</v>
      </c>
      <c r="H256" s="671" t="s">
        <v>19099</v>
      </c>
      <c r="I256" s="682" t="str">
        <f>HYPERLINK("https://www.google.com/maps/search/Cova%20Gala%20-%20Hospital%20Figueira%20da%20Foz%20Centro%20Portugal","📍 Cova Gala - Hospital")</f>
        <v>📍 Cova Gala - Hospital</v>
      </c>
    </row>
    <row r="257" spans="1:9" ht="36" customHeight="1" x14ac:dyDescent="0.4">
      <c r="A257" s="678">
        <v>206</v>
      </c>
      <c r="B257" s="677" t="s">
        <v>19100</v>
      </c>
      <c r="C257" s="679" t="s">
        <v>836</v>
      </c>
      <c r="D257" s="677" t="s">
        <v>7331</v>
      </c>
      <c r="E257" s="677" t="s">
        <v>18631</v>
      </c>
      <c r="F257" s="680" t="s">
        <v>19083</v>
      </c>
      <c r="G257" s="681" t="s">
        <v>18632</v>
      </c>
      <c r="H257" s="677" t="s">
        <v>19101</v>
      </c>
      <c r="I257" s="683" t="str">
        <f>HYPERLINK("https://www.google.com/maps/search/Figueira%20da%20Foz-Rel%C3%B3gio%20Figueira%20da%20Foz%20Centro%20Portugal","📍 Figueira da Foz-Relógio")</f>
        <v>📍 Figueira da Foz-Relógio</v>
      </c>
    </row>
    <row r="258" spans="1:9" ht="36" customHeight="1" x14ac:dyDescent="0.4">
      <c r="A258" s="672">
        <v>207</v>
      </c>
      <c r="B258" s="671" t="s">
        <v>19102</v>
      </c>
      <c r="C258" s="673" t="s">
        <v>836</v>
      </c>
      <c r="D258" s="671" t="s">
        <v>7331</v>
      </c>
      <c r="E258" s="671" t="s">
        <v>18631</v>
      </c>
      <c r="F258" s="674" t="s">
        <v>19083</v>
      </c>
      <c r="G258" s="675" t="s">
        <v>18632</v>
      </c>
      <c r="H258" s="671" t="s">
        <v>19103</v>
      </c>
      <c r="I258" s="682" t="str">
        <f>HYPERLINK("https://www.google.com/maps/search/Leirosa%20Figueira%20da%20Foz%20Centro%20Portugal","📍 Leirosa")</f>
        <v>📍 Leirosa</v>
      </c>
    </row>
    <row r="259" spans="1:9" ht="36" customHeight="1" x14ac:dyDescent="0.4">
      <c r="A259" s="678">
        <v>208</v>
      </c>
      <c r="B259" s="677" t="s">
        <v>19104</v>
      </c>
      <c r="C259" s="679" t="s">
        <v>836</v>
      </c>
      <c r="D259" s="677" t="s">
        <v>7331</v>
      </c>
      <c r="E259" s="677" t="s">
        <v>18631</v>
      </c>
      <c r="F259" s="680" t="s">
        <v>19083</v>
      </c>
      <c r="G259" s="681" t="s">
        <v>18632</v>
      </c>
      <c r="H259" s="677" t="s">
        <v>19105</v>
      </c>
      <c r="I259" s="683" t="str">
        <f>HYPERLINK("https://www.google.com/maps/search/Murtinheira%20Figueira%20da%20Foz%20Centro%20Portugal","📍 Murtinheira")</f>
        <v>📍 Murtinheira</v>
      </c>
    </row>
    <row r="260" spans="1:9" ht="36" customHeight="1" x14ac:dyDescent="0.4">
      <c r="A260" s="672">
        <v>209</v>
      </c>
      <c r="B260" s="671" t="s">
        <v>19106</v>
      </c>
      <c r="C260" s="673" t="s">
        <v>836</v>
      </c>
      <c r="D260" s="671" t="s">
        <v>7331</v>
      </c>
      <c r="E260" s="671" t="s">
        <v>18631</v>
      </c>
      <c r="F260" s="674" t="s">
        <v>19083</v>
      </c>
      <c r="G260" s="675" t="s">
        <v>18632</v>
      </c>
      <c r="H260" s="671" t="s">
        <v>19107</v>
      </c>
      <c r="I260" s="682" t="str">
        <f>HYPERLINK("https://www.google.com/maps/search/Quiaios%20Figueira%20da%20Foz%20Centro%20Portugal","📍 Quiaios")</f>
        <v>📍 Quiaios</v>
      </c>
    </row>
    <row r="261" spans="1:9" ht="36" customHeight="1" x14ac:dyDescent="0.4">
      <c r="A261" s="678">
        <v>210</v>
      </c>
      <c r="B261" s="677" t="s">
        <v>6213</v>
      </c>
      <c r="C261" s="679" t="s">
        <v>836</v>
      </c>
      <c r="D261" s="677" t="s">
        <v>7331</v>
      </c>
      <c r="E261" s="677" t="s">
        <v>18631</v>
      </c>
      <c r="F261" s="680" t="s">
        <v>19083</v>
      </c>
      <c r="G261" s="681" t="s">
        <v>18632</v>
      </c>
      <c r="H261" s="677" t="s">
        <v>19108</v>
      </c>
      <c r="I261" s="683" t="str">
        <f>HYPERLINK("https://www.google.com/maps/search/Tamargueira%20Figueira%20da%20Foz%20Centro%20Portugal","📍 Tamargueira")</f>
        <v>📍 Tamargueira</v>
      </c>
    </row>
    <row r="262" spans="1:9" ht="20" customHeight="1" x14ac:dyDescent="0.45">
      <c r="A262" s="1595" t="s">
        <v>19053</v>
      </c>
      <c r="B262" s="1313"/>
      <c r="C262" s="1313"/>
      <c r="D262" s="1313"/>
      <c r="E262" s="1313"/>
      <c r="F262" s="1313"/>
      <c r="G262" s="1313"/>
      <c r="H262" s="1313"/>
      <c r="I262" s="1313"/>
    </row>
    <row r="263" spans="1:9" ht="36" customHeight="1" x14ac:dyDescent="0.4">
      <c r="A263" s="672">
        <v>211</v>
      </c>
      <c r="B263" s="671" t="s">
        <v>19109</v>
      </c>
      <c r="C263" s="673" t="s">
        <v>836</v>
      </c>
      <c r="D263" s="671" t="s">
        <v>2481</v>
      </c>
      <c r="E263" s="671" t="s">
        <v>1482</v>
      </c>
      <c r="F263" s="674" t="s">
        <v>19068</v>
      </c>
      <c r="G263" s="675" t="s">
        <v>18632</v>
      </c>
      <c r="H263" s="671" t="s">
        <v>19110</v>
      </c>
      <c r="I263" s="682" t="str">
        <f>HYPERLINK("https://www.google.com/maps/search/Peneda%20-%20P%C3%AAgo%20Escuro%20G%C3%B3is%20Centro%20Portugal","📍 Peneda - Pêgo Escuro")</f>
        <v>📍 Peneda - Pêgo Escuro</v>
      </c>
    </row>
    <row r="264" spans="1:9" ht="20" customHeight="1" x14ac:dyDescent="0.45">
      <c r="A264" s="1595" t="s">
        <v>19054</v>
      </c>
      <c r="B264" s="1313"/>
      <c r="C264" s="1313"/>
      <c r="D264" s="1313"/>
      <c r="E264" s="1313"/>
      <c r="F264" s="1313"/>
      <c r="G264" s="1313"/>
      <c r="H264" s="1313"/>
      <c r="I264" s="1313"/>
    </row>
    <row r="265" spans="1:9" ht="36" customHeight="1" x14ac:dyDescent="0.4">
      <c r="A265" s="678">
        <v>212</v>
      </c>
      <c r="B265" s="677" t="s">
        <v>19111</v>
      </c>
      <c r="C265" s="679" t="s">
        <v>836</v>
      </c>
      <c r="D265" s="677" t="s">
        <v>7735</v>
      </c>
      <c r="E265" s="677" t="s">
        <v>18631</v>
      </c>
      <c r="F265" s="680" t="s">
        <v>19071</v>
      </c>
      <c r="G265" s="681" t="s">
        <v>18632</v>
      </c>
      <c r="H265" s="677" t="s">
        <v>19112</v>
      </c>
      <c r="I265" s="683" t="str">
        <f>HYPERLINK("https://www.google.com/maps/search/Barra%20%C3%8Dlhavo%20Centro%20Portugal","📍 Barra")</f>
        <v>📍 Barra</v>
      </c>
    </row>
    <row r="266" spans="1:9" ht="36" customHeight="1" x14ac:dyDescent="0.4">
      <c r="A266" s="672">
        <v>213</v>
      </c>
      <c r="B266" s="671" t="s">
        <v>19113</v>
      </c>
      <c r="C266" s="673" t="s">
        <v>836</v>
      </c>
      <c r="D266" s="671" t="s">
        <v>7735</v>
      </c>
      <c r="E266" s="671" t="s">
        <v>18631</v>
      </c>
      <c r="F266" s="674" t="s">
        <v>19071</v>
      </c>
      <c r="G266" s="675" t="s">
        <v>18632</v>
      </c>
      <c r="H266" s="671" t="s">
        <v>19114</v>
      </c>
      <c r="I266" s="682" t="str">
        <f>HYPERLINK("https://www.google.com/maps/search/Barra%20Sul%20%C3%8Dlhavo%20Centro%20Portugal","📍 Barra Sul")</f>
        <v>📍 Barra Sul</v>
      </c>
    </row>
    <row r="267" spans="1:9" ht="36" customHeight="1" x14ac:dyDescent="0.4">
      <c r="A267" s="678">
        <v>214</v>
      </c>
      <c r="B267" s="677" t="s">
        <v>19115</v>
      </c>
      <c r="C267" s="679" t="s">
        <v>836</v>
      </c>
      <c r="D267" s="677" t="s">
        <v>7735</v>
      </c>
      <c r="E267" s="677" t="s">
        <v>18631</v>
      </c>
      <c r="F267" s="680" t="s">
        <v>19071</v>
      </c>
      <c r="G267" s="681" t="s">
        <v>18632</v>
      </c>
      <c r="H267" s="677" t="s">
        <v>19116</v>
      </c>
      <c r="I267" s="683" t="str">
        <f>HYPERLINK("https://www.google.com/maps/search/Costa%20Nova%20%C3%8Dlhavo%20Centro%20Portugal","📍 Costa Nova")</f>
        <v>📍 Costa Nova</v>
      </c>
    </row>
    <row r="268" spans="1:9" ht="36" customHeight="1" x14ac:dyDescent="0.4">
      <c r="A268" s="672">
        <v>215</v>
      </c>
      <c r="B268" s="671" t="s">
        <v>19117</v>
      </c>
      <c r="C268" s="673" t="s">
        <v>836</v>
      </c>
      <c r="D268" s="671" t="s">
        <v>7735</v>
      </c>
      <c r="E268" s="671" t="s">
        <v>18631</v>
      </c>
      <c r="F268" s="674" t="s">
        <v>19071</v>
      </c>
      <c r="G268" s="675" t="s">
        <v>18632</v>
      </c>
      <c r="H268" s="671" t="s">
        <v>19118</v>
      </c>
      <c r="I268" s="682" t="str">
        <f>HYPERLINK("https://www.google.com/maps/search/Costa%20Nova%20Sul%20%C3%8Dlhavo%20Centro%20Portugal","📍 Costa Nova Sul")</f>
        <v>📍 Costa Nova Sul</v>
      </c>
    </row>
    <row r="269" spans="1:9" ht="20" customHeight="1" x14ac:dyDescent="0.45">
      <c r="A269" s="1595" t="s">
        <v>19055</v>
      </c>
      <c r="B269" s="1313"/>
      <c r="C269" s="1313"/>
      <c r="D269" s="1313"/>
      <c r="E269" s="1313"/>
      <c r="F269" s="1313"/>
      <c r="G269" s="1313"/>
      <c r="H269" s="1313"/>
      <c r="I269" s="1313"/>
    </row>
    <row r="270" spans="1:9" ht="36" customHeight="1" x14ac:dyDescent="0.4">
      <c r="A270" s="678">
        <v>216</v>
      </c>
      <c r="B270" s="677" t="s">
        <v>19119</v>
      </c>
      <c r="C270" s="679" t="s">
        <v>836</v>
      </c>
      <c r="D270" s="677" t="s">
        <v>7725</v>
      </c>
      <c r="E270" s="677" t="s">
        <v>19120</v>
      </c>
      <c r="F270" s="680" t="s">
        <v>5957</v>
      </c>
      <c r="G270" s="681" t="s">
        <v>18632</v>
      </c>
      <c r="H270" s="677" t="s">
        <v>19121</v>
      </c>
      <c r="I270" s="683" t="str">
        <f>HYPERLINK("https://www.google.com/maps/search/Lagoa%20da%20Ervedeira%20Leiria%20Centro%20Portugal","📍 Lagoa da Ervedeira")</f>
        <v>📍 Lagoa da Ervedeira</v>
      </c>
    </row>
    <row r="271" spans="1:9" ht="36" customHeight="1" x14ac:dyDescent="0.4">
      <c r="A271" s="672">
        <v>217</v>
      </c>
      <c r="B271" s="671" t="s">
        <v>19122</v>
      </c>
      <c r="C271" s="673" t="s">
        <v>836</v>
      </c>
      <c r="D271" s="671" t="s">
        <v>7725</v>
      </c>
      <c r="E271" s="671" t="s">
        <v>18631</v>
      </c>
      <c r="F271" s="674" t="s">
        <v>19083</v>
      </c>
      <c r="G271" s="675" t="s">
        <v>18632</v>
      </c>
      <c r="H271" s="671" t="s">
        <v>19123</v>
      </c>
      <c r="I271" s="682" t="str">
        <f>HYPERLINK("https://www.google.com/maps/search/Pedrog%C3%A3o%20Sul%20Leiria%20Centro%20Portugal","📍 Pedrogão Sul")</f>
        <v>📍 Pedrogão Sul</v>
      </c>
    </row>
    <row r="272" spans="1:9" ht="36" customHeight="1" x14ac:dyDescent="0.4">
      <c r="A272" s="678">
        <v>218</v>
      </c>
      <c r="B272" s="677" t="s">
        <v>19124</v>
      </c>
      <c r="C272" s="679" t="s">
        <v>836</v>
      </c>
      <c r="D272" s="677" t="s">
        <v>7725</v>
      </c>
      <c r="E272" s="677" t="s">
        <v>18631</v>
      </c>
      <c r="F272" s="680" t="s">
        <v>19083</v>
      </c>
      <c r="G272" s="681" t="s">
        <v>18632</v>
      </c>
      <c r="H272" s="677" t="s">
        <v>19125</v>
      </c>
      <c r="I272" s="683" t="str">
        <f>HYPERLINK("https://www.google.com/maps/search/Pedrog%C3%A3o-Centro%20Leiria%20Centro%20Portugal","📍 Pedrogão-Centro")</f>
        <v>📍 Pedrogão-Centro</v>
      </c>
    </row>
    <row r="273" spans="1:9" ht="20" customHeight="1" x14ac:dyDescent="0.45">
      <c r="A273" s="1595" t="s">
        <v>19056</v>
      </c>
      <c r="B273" s="1313"/>
      <c r="C273" s="1313"/>
      <c r="D273" s="1313"/>
      <c r="E273" s="1313"/>
      <c r="F273" s="1313"/>
      <c r="G273" s="1313"/>
      <c r="H273" s="1313"/>
      <c r="I273" s="1313"/>
    </row>
    <row r="274" spans="1:9" ht="36" customHeight="1" x14ac:dyDescent="0.4">
      <c r="A274" s="672">
        <v>219</v>
      </c>
      <c r="B274" s="671" t="s">
        <v>19126</v>
      </c>
      <c r="C274" s="673" t="s">
        <v>836</v>
      </c>
      <c r="D274" s="671" t="s">
        <v>5959</v>
      </c>
      <c r="E274" s="671" t="s">
        <v>18631</v>
      </c>
      <c r="F274" s="674" t="s">
        <v>5957</v>
      </c>
      <c r="G274" s="675" t="s">
        <v>18632</v>
      </c>
      <c r="H274" s="671" t="s">
        <v>19127</v>
      </c>
      <c r="I274" s="682" t="str">
        <f>HYPERLINK("https://www.google.com/maps/search/Praia%20Velha%20Marinha%20Grande%20Centro%20Portugal","📍 Praia Velha")</f>
        <v>📍 Praia Velha</v>
      </c>
    </row>
    <row r="275" spans="1:9" ht="36" customHeight="1" x14ac:dyDescent="0.4">
      <c r="A275" s="678">
        <v>220</v>
      </c>
      <c r="B275" s="677" t="s">
        <v>9838</v>
      </c>
      <c r="C275" s="679" t="s">
        <v>836</v>
      </c>
      <c r="D275" s="677" t="s">
        <v>5959</v>
      </c>
      <c r="E275" s="677" t="s">
        <v>18631</v>
      </c>
      <c r="F275" s="680" t="s">
        <v>5957</v>
      </c>
      <c r="G275" s="681" t="s">
        <v>18632</v>
      </c>
      <c r="H275" s="677" t="s">
        <v>19128</v>
      </c>
      <c r="I275" s="683" t="str">
        <f>HYPERLINK("https://www.google.com/maps/search/S.%20Pedro%20de%20Moel%20Marinha%20Grande%20Centro%20Portugal","📍 S. Pedro de Moel")</f>
        <v>📍 S. Pedro de Moel</v>
      </c>
    </row>
    <row r="276" spans="1:9" ht="20" customHeight="1" x14ac:dyDescent="0.45">
      <c r="A276" s="1595" t="s">
        <v>19057</v>
      </c>
      <c r="B276" s="1313"/>
      <c r="C276" s="1313"/>
      <c r="D276" s="1313"/>
      <c r="E276" s="1313"/>
      <c r="F276" s="1313"/>
      <c r="G276" s="1313"/>
      <c r="H276" s="1313"/>
      <c r="I276" s="1313"/>
    </row>
    <row r="277" spans="1:9" ht="36" customHeight="1" x14ac:dyDescent="0.4">
      <c r="A277" s="672">
        <v>221</v>
      </c>
      <c r="B277" s="671" t="s">
        <v>19129</v>
      </c>
      <c r="C277" s="673" t="s">
        <v>836</v>
      </c>
      <c r="D277" s="671" t="s">
        <v>19129</v>
      </c>
      <c r="E277" s="671" t="s">
        <v>18631</v>
      </c>
      <c r="F277" s="674" t="s">
        <v>19083</v>
      </c>
      <c r="G277" s="675" t="s">
        <v>18632</v>
      </c>
      <c r="H277" s="671" t="s">
        <v>19130</v>
      </c>
      <c r="I277" s="682" t="str">
        <f>HYPERLINK("https://www.google.com/maps/search/Mira%20Mira%20Centro%20Portugal","📍 Mira")</f>
        <v>📍 Mira</v>
      </c>
    </row>
    <row r="278" spans="1:9" ht="36" customHeight="1" x14ac:dyDescent="0.4">
      <c r="A278" s="678">
        <v>222</v>
      </c>
      <c r="B278" s="677" t="s">
        <v>19131</v>
      </c>
      <c r="C278" s="679" t="s">
        <v>836</v>
      </c>
      <c r="D278" s="677" t="s">
        <v>19129</v>
      </c>
      <c r="E278" s="677" t="s">
        <v>19120</v>
      </c>
      <c r="F278" s="680" t="s">
        <v>19083</v>
      </c>
      <c r="G278" s="681" t="s">
        <v>18632</v>
      </c>
      <c r="H278" s="677" t="s">
        <v>19132</v>
      </c>
      <c r="I278" s="683" t="str">
        <f>HYPERLINK("https://www.google.com/maps/search/Po%C3%A7o%20da%20Cruz%20Mira%20Centro%20Portugal","📍 Poço da Cruz")</f>
        <v>📍 Poço da Cruz</v>
      </c>
    </row>
    <row r="279" spans="1:9" ht="20" customHeight="1" x14ac:dyDescent="0.45">
      <c r="A279" s="1595" t="s">
        <v>19058</v>
      </c>
      <c r="B279" s="1313"/>
      <c r="C279" s="1313"/>
      <c r="D279" s="1313"/>
      <c r="E279" s="1313"/>
      <c r="F279" s="1313"/>
      <c r="G279" s="1313"/>
      <c r="H279" s="1313"/>
      <c r="I279" s="1313"/>
    </row>
    <row r="280" spans="1:9" ht="36" customHeight="1" x14ac:dyDescent="0.4">
      <c r="A280" s="672">
        <v>223</v>
      </c>
      <c r="B280" s="671" t="s">
        <v>19133</v>
      </c>
      <c r="C280" s="673" t="s">
        <v>836</v>
      </c>
      <c r="D280" s="671" t="s">
        <v>10547</v>
      </c>
      <c r="E280" s="671" t="s">
        <v>1482</v>
      </c>
      <c r="F280" s="674" t="s">
        <v>19134</v>
      </c>
      <c r="G280" s="675" t="s">
        <v>18632</v>
      </c>
      <c r="H280" s="671" t="s">
        <v>19135</v>
      </c>
      <c r="I280" s="682" t="str">
        <f>HYPERLINK("https://www.google.com/maps/search/Ereira%20Montemor-o-Velho%20Centro%20Portugal","📍 Ereira")</f>
        <v>📍 Ereira</v>
      </c>
    </row>
    <row r="281" spans="1:9" ht="20" customHeight="1" x14ac:dyDescent="0.45">
      <c r="A281" s="1595" t="s">
        <v>19059</v>
      </c>
      <c r="B281" s="1313"/>
      <c r="C281" s="1313"/>
      <c r="D281" s="1313"/>
      <c r="E281" s="1313"/>
      <c r="F281" s="1313"/>
      <c r="G281" s="1313"/>
      <c r="H281" s="1313"/>
      <c r="I281" s="1313"/>
    </row>
    <row r="282" spans="1:9" ht="36" customHeight="1" x14ac:dyDescent="0.4">
      <c r="A282" s="678">
        <v>224</v>
      </c>
      <c r="B282" s="677" t="s">
        <v>19136</v>
      </c>
      <c r="C282" s="679" t="s">
        <v>836</v>
      </c>
      <c r="D282" s="677" t="s">
        <v>19137</v>
      </c>
      <c r="E282" s="677" t="s">
        <v>19138</v>
      </c>
      <c r="F282" s="680" t="s">
        <v>19071</v>
      </c>
      <c r="G282" s="681" t="s">
        <v>18632</v>
      </c>
      <c r="H282" s="677" t="s">
        <v>19139</v>
      </c>
      <c r="I282" s="683" t="str">
        <f>HYPERLINK("https://www.google.com/maps/search/Bico%20Murtosa%20Centro%20Portugal","📍 Bico")</f>
        <v>📍 Bico</v>
      </c>
    </row>
    <row r="283" spans="1:9" ht="36" customHeight="1" x14ac:dyDescent="0.4">
      <c r="A283" s="672">
        <v>225</v>
      </c>
      <c r="B283" s="671" t="s">
        <v>19140</v>
      </c>
      <c r="C283" s="673" t="s">
        <v>836</v>
      </c>
      <c r="D283" s="671" t="s">
        <v>19137</v>
      </c>
      <c r="E283" s="671" t="s">
        <v>19138</v>
      </c>
      <c r="F283" s="674" t="s">
        <v>19071</v>
      </c>
      <c r="G283" s="675" t="s">
        <v>18632</v>
      </c>
      <c r="H283" s="671" t="s">
        <v>19141</v>
      </c>
      <c r="I283" s="682" t="str">
        <f>HYPERLINK("https://www.google.com/maps/search/Monte%20Branco%20Murtosa%20Centro%20Portugal","📍 Monte Branco")</f>
        <v>📍 Monte Branco</v>
      </c>
    </row>
    <row r="284" spans="1:9" ht="36" customHeight="1" x14ac:dyDescent="0.4">
      <c r="A284" s="678">
        <v>226</v>
      </c>
      <c r="B284" s="677" t="s">
        <v>19142</v>
      </c>
      <c r="C284" s="679" t="s">
        <v>836</v>
      </c>
      <c r="D284" s="677" t="s">
        <v>19137</v>
      </c>
      <c r="E284" s="677" t="s">
        <v>18631</v>
      </c>
      <c r="F284" s="680" t="s">
        <v>19071</v>
      </c>
      <c r="G284" s="681" t="s">
        <v>18632</v>
      </c>
      <c r="H284" s="677" t="s">
        <v>19143</v>
      </c>
      <c r="I284" s="683" t="str">
        <f>HYPERLINK("https://www.google.com/maps/search/Torreira%20Murtosa%20Centro%20Portugal","📍 Torreira")</f>
        <v>📍 Torreira</v>
      </c>
    </row>
    <row r="285" spans="1:9" ht="20" customHeight="1" x14ac:dyDescent="0.45">
      <c r="A285" s="1595" t="s">
        <v>19060</v>
      </c>
      <c r="B285" s="1313"/>
      <c r="C285" s="1313"/>
      <c r="D285" s="1313"/>
      <c r="E285" s="1313"/>
      <c r="F285" s="1313"/>
      <c r="G285" s="1313"/>
      <c r="H285" s="1313"/>
      <c r="I285" s="1313"/>
    </row>
    <row r="286" spans="1:9" ht="36" customHeight="1" x14ac:dyDescent="0.4">
      <c r="A286" s="672">
        <v>227</v>
      </c>
      <c r="B286" s="671" t="s">
        <v>19144</v>
      </c>
      <c r="C286" s="673" t="s">
        <v>836</v>
      </c>
      <c r="D286" s="671" t="s">
        <v>19145</v>
      </c>
      <c r="E286" s="671" t="s">
        <v>18631</v>
      </c>
      <c r="F286" s="674" t="s">
        <v>19083</v>
      </c>
      <c r="G286" s="675" t="s">
        <v>18632</v>
      </c>
      <c r="H286" s="671" t="s">
        <v>19146</v>
      </c>
      <c r="I286" s="682" t="str">
        <f>HYPERLINK("https://www.google.com/maps/search/Cortega%C3%A7a%20Ovar%20Centro%20Portugal","📍 Cortegaça")</f>
        <v>📍 Cortegaça</v>
      </c>
    </row>
    <row r="287" spans="1:9" ht="36" customHeight="1" x14ac:dyDescent="0.4">
      <c r="A287" s="678">
        <v>228</v>
      </c>
      <c r="B287" s="677" t="s">
        <v>19147</v>
      </c>
      <c r="C287" s="679" t="s">
        <v>836</v>
      </c>
      <c r="D287" s="677" t="s">
        <v>19145</v>
      </c>
      <c r="E287" s="677" t="s">
        <v>18631</v>
      </c>
      <c r="F287" s="680" t="s">
        <v>19083</v>
      </c>
      <c r="G287" s="681" t="s">
        <v>18632</v>
      </c>
      <c r="H287" s="677" t="s">
        <v>19148</v>
      </c>
      <c r="I287" s="683" t="str">
        <f>HYPERLINK("https://www.google.com/maps/search/Esmoriz%20Ovar%20Centro%20Portugal","📍 Esmoriz")</f>
        <v>📍 Esmoriz</v>
      </c>
    </row>
    <row r="288" spans="1:9" ht="36" customHeight="1" x14ac:dyDescent="0.4">
      <c r="A288" s="672">
        <v>229</v>
      </c>
      <c r="B288" s="671" t="s">
        <v>19149</v>
      </c>
      <c r="C288" s="673" t="s">
        <v>836</v>
      </c>
      <c r="D288" s="671" t="s">
        <v>19145</v>
      </c>
      <c r="E288" s="671" t="s">
        <v>18631</v>
      </c>
      <c r="F288" s="674" t="s">
        <v>19083</v>
      </c>
      <c r="G288" s="675" t="s">
        <v>18632</v>
      </c>
      <c r="H288" s="671" t="s">
        <v>19150</v>
      </c>
      <c r="I288" s="682" t="str">
        <f>HYPERLINK("https://www.google.com/maps/search/Furadouro%20Ovar%20Centro%20Portugal","📍 Furadouro")</f>
        <v>📍 Furadouro</v>
      </c>
    </row>
    <row r="289" spans="1:9" ht="20" customHeight="1" x14ac:dyDescent="0.45">
      <c r="A289" s="1595" t="s">
        <v>19061</v>
      </c>
      <c r="B289" s="1313"/>
      <c r="C289" s="1313"/>
      <c r="D289" s="1313"/>
      <c r="E289" s="1313"/>
      <c r="F289" s="1313"/>
      <c r="G289" s="1313"/>
      <c r="H289" s="1313"/>
      <c r="I289" s="1313"/>
    </row>
    <row r="290" spans="1:9" ht="36" customHeight="1" x14ac:dyDescent="0.4">
      <c r="A290" s="678">
        <v>230</v>
      </c>
      <c r="B290" s="677" t="s">
        <v>19151</v>
      </c>
      <c r="C290" s="679" t="s">
        <v>836</v>
      </c>
      <c r="D290" s="677" t="s">
        <v>8478</v>
      </c>
      <c r="E290" s="677" t="s">
        <v>1482</v>
      </c>
      <c r="F290" s="680" t="s">
        <v>19152</v>
      </c>
      <c r="G290" s="681" t="s">
        <v>18632</v>
      </c>
      <c r="H290" s="677" t="s">
        <v>19153</v>
      </c>
      <c r="I290" s="683" t="str">
        <f>HYPERLINK("https://www.google.com/maps/search/Cornicovo%20Penacova%20Centro%20Portugal","📍 Cornicovo")</f>
        <v>📍 Cornicovo</v>
      </c>
    </row>
    <row r="291" spans="1:9" ht="36" customHeight="1" x14ac:dyDescent="0.4">
      <c r="A291" s="672">
        <v>231</v>
      </c>
      <c r="B291" s="671" t="s">
        <v>19154</v>
      </c>
      <c r="C291" s="673" t="s">
        <v>836</v>
      </c>
      <c r="D291" s="671" t="s">
        <v>8478</v>
      </c>
      <c r="E291" s="671" t="s">
        <v>1482</v>
      </c>
      <c r="F291" s="674" t="s">
        <v>19152</v>
      </c>
      <c r="G291" s="675" t="s">
        <v>18632</v>
      </c>
      <c r="H291" s="671" t="s">
        <v>19155</v>
      </c>
      <c r="I291" s="682" t="str">
        <f>HYPERLINK("https://www.google.com/maps/search/Reconquinho%20Penacova%20Centro%20Portugal","📍 Reconquinho")</f>
        <v>📍 Reconquinho</v>
      </c>
    </row>
    <row r="292" spans="1:9" ht="36" customHeight="1" x14ac:dyDescent="0.4">
      <c r="A292" s="678">
        <v>232</v>
      </c>
      <c r="B292" s="677" t="s">
        <v>9944</v>
      </c>
      <c r="C292" s="679" t="s">
        <v>836</v>
      </c>
      <c r="D292" s="677" t="s">
        <v>8478</v>
      </c>
      <c r="E292" s="677" t="s">
        <v>1482</v>
      </c>
      <c r="F292" s="680" t="s">
        <v>19152</v>
      </c>
      <c r="G292" s="681" t="s">
        <v>18632</v>
      </c>
      <c r="H292" s="677" t="s">
        <v>19156</v>
      </c>
      <c r="I292" s="683" t="str">
        <f>HYPERLINK("https://www.google.com/maps/search/Vimieiro%20Penacova%20Centro%20Portugal","📍 Vimieiro")</f>
        <v>📍 Vimieiro</v>
      </c>
    </row>
    <row r="293" spans="1:9" ht="20" customHeight="1" x14ac:dyDescent="0.45">
      <c r="A293" s="1595" t="s">
        <v>19062</v>
      </c>
      <c r="B293" s="1313"/>
      <c r="C293" s="1313"/>
      <c r="D293" s="1313"/>
      <c r="E293" s="1313"/>
      <c r="F293" s="1313"/>
      <c r="G293" s="1313"/>
      <c r="H293" s="1313"/>
      <c r="I293" s="1313"/>
    </row>
    <row r="294" spans="1:9" ht="36" customHeight="1" x14ac:dyDescent="0.4">
      <c r="A294" s="672">
        <v>233</v>
      </c>
      <c r="B294" s="671" t="s">
        <v>19157</v>
      </c>
      <c r="C294" s="673" t="s">
        <v>836</v>
      </c>
      <c r="D294" s="671" t="s">
        <v>11161</v>
      </c>
      <c r="E294" s="671" t="s">
        <v>18631</v>
      </c>
      <c r="F294" s="674" t="s">
        <v>19083</v>
      </c>
      <c r="G294" s="675" t="s">
        <v>18632</v>
      </c>
      <c r="H294" s="671" t="s">
        <v>19158</v>
      </c>
      <c r="I294" s="682" t="str">
        <f>HYPERLINK("https://www.google.com/maps/search/Osso%20da%20Baleia%20Pombal%20Centro%20Portugal","📍 Osso da Baleia")</f>
        <v>📍 Osso da Baleia</v>
      </c>
    </row>
    <row r="295" spans="1:9" ht="20" customHeight="1" x14ac:dyDescent="0.45">
      <c r="A295" s="1595" t="s">
        <v>19063</v>
      </c>
      <c r="B295" s="1313"/>
      <c r="C295" s="1313"/>
      <c r="D295" s="1313"/>
      <c r="E295" s="1313"/>
      <c r="F295" s="1313"/>
      <c r="G295" s="1313"/>
      <c r="H295" s="1313"/>
      <c r="I295" s="1313"/>
    </row>
    <row r="296" spans="1:9" ht="36" customHeight="1" x14ac:dyDescent="0.4">
      <c r="A296" s="678">
        <v>234</v>
      </c>
      <c r="B296" s="677" t="s">
        <v>19159</v>
      </c>
      <c r="C296" s="679" t="s">
        <v>836</v>
      </c>
      <c r="D296" s="677" t="s">
        <v>2049</v>
      </c>
      <c r="E296" s="677" t="s">
        <v>1482</v>
      </c>
      <c r="F296" s="680" t="s">
        <v>2452</v>
      </c>
      <c r="G296" s="681" t="s">
        <v>18632</v>
      </c>
      <c r="H296" s="677" t="s">
        <v>19160</v>
      </c>
      <c r="I296" s="683" t="str">
        <f>HYPERLINK("https://www.google.com/maps/search/Lapa%20dos%20Dinheiros%20Seia%20Centro%20Portugal","📍 Lapa dos Dinheiros")</f>
        <v>📍 Lapa dos Dinheiros</v>
      </c>
    </row>
    <row r="297" spans="1:9" ht="36" customHeight="1" x14ac:dyDescent="0.4">
      <c r="A297" s="672">
        <v>235</v>
      </c>
      <c r="B297" s="671" t="s">
        <v>19161</v>
      </c>
      <c r="C297" s="673" t="s">
        <v>836</v>
      </c>
      <c r="D297" s="671" t="s">
        <v>2049</v>
      </c>
      <c r="E297" s="671" t="s">
        <v>1482</v>
      </c>
      <c r="F297" s="674" t="s">
        <v>2452</v>
      </c>
      <c r="G297" s="675" t="s">
        <v>18632</v>
      </c>
      <c r="H297" s="671" t="s">
        <v>19162</v>
      </c>
      <c r="I297" s="682" t="str">
        <f>HYPERLINK("https://www.google.com/maps/search/Loriga%20Seia%20Centro%20Portugal","📍 Loriga")</f>
        <v>📍 Loriga</v>
      </c>
    </row>
    <row r="298" spans="1:9" ht="20" customHeight="1" x14ac:dyDescent="0.45">
      <c r="A298" s="1595" t="s">
        <v>19064</v>
      </c>
      <c r="B298" s="1313"/>
      <c r="C298" s="1313"/>
      <c r="D298" s="1313"/>
      <c r="E298" s="1313"/>
      <c r="F298" s="1313"/>
      <c r="G298" s="1313"/>
      <c r="H298" s="1313"/>
      <c r="I298" s="1313"/>
    </row>
    <row r="299" spans="1:9" ht="36" customHeight="1" x14ac:dyDescent="0.4">
      <c r="A299" s="678">
        <v>236</v>
      </c>
      <c r="B299" s="677" t="s">
        <v>19163</v>
      </c>
      <c r="C299" s="679" t="s">
        <v>836</v>
      </c>
      <c r="D299" s="677" t="s">
        <v>8025</v>
      </c>
      <c r="E299" s="677" t="s">
        <v>1482</v>
      </c>
      <c r="F299" s="680" t="s">
        <v>19164</v>
      </c>
      <c r="G299" s="681" t="s">
        <v>18632</v>
      </c>
      <c r="H299" s="677" t="s">
        <v>19165</v>
      </c>
      <c r="I299" s="683" t="str">
        <f>HYPERLINK("https://www.google.com/maps/search/Quinta%20do%20Barco%20Sever%20do%20Vouga%20Centro%20Portugal","📍 Quinta do Barco")</f>
        <v>📍 Quinta do Barco</v>
      </c>
    </row>
    <row r="300" spans="1:9" ht="20" customHeight="1" x14ac:dyDescent="0.45">
      <c r="A300" s="1595" t="s">
        <v>19065</v>
      </c>
      <c r="B300" s="1313"/>
      <c r="C300" s="1313"/>
      <c r="D300" s="1313"/>
      <c r="E300" s="1313"/>
      <c r="F300" s="1313"/>
      <c r="G300" s="1313"/>
      <c r="H300" s="1313"/>
      <c r="I300" s="1313"/>
    </row>
    <row r="301" spans="1:9" ht="36" customHeight="1" x14ac:dyDescent="0.4">
      <c r="A301" s="672">
        <v>237</v>
      </c>
      <c r="B301" s="671" t="s">
        <v>19166</v>
      </c>
      <c r="C301" s="673" t="s">
        <v>836</v>
      </c>
      <c r="D301" s="671" t="s">
        <v>19167</v>
      </c>
      <c r="E301" s="671" t="s">
        <v>1482</v>
      </c>
      <c r="F301" s="674" t="s">
        <v>19068</v>
      </c>
      <c r="G301" s="675" t="s">
        <v>18632</v>
      </c>
      <c r="H301" s="671" t="s">
        <v>19168</v>
      </c>
      <c r="I301" s="682" t="str">
        <f>HYPERLINK("https://www.google.com/maps/search/Ronqueira%20T%C3%A1bua%20Centro%20Portugal","📍 Ronqueira")</f>
        <v>📍 Ronqueira</v>
      </c>
    </row>
    <row r="302" spans="1:9" ht="20" customHeight="1" x14ac:dyDescent="0.45">
      <c r="A302" s="1595" t="s">
        <v>19066</v>
      </c>
      <c r="B302" s="1313"/>
      <c r="C302" s="1313"/>
      <c r="D302" s="1313"/>
      <c r="E302" s="1313"/>
      <c r="F302" s="1313"/>
      <c r="G302" s="1313"/>
      <c r="H302" s="1313"/>
      <c r="I302" s="1313"/>
    </row>
    <row r="303" spans="1:9" ht="36" customHeight="1" x14ac:dyDescent="0.4">
      <c r="A303" s="678">
        <v>238</v>
      </c>
      <c r="B303" s="677" t="s">
        <v>19169</v>
      </c>
      <c r="C303" s="679" t="s">
        <v>836</v>
      </c>
      <c r="D303" s="677" t="s">
        <v>9863</v>
      </c>
      <c r="E303" s="677" t="s">
        <v>18631</v>
      </c>
      <c r="F303" s="680" t="s">
        <v>19083</v>
      </c>
      <c r="G303" s="681" t="s">
        <v>18632</v>
      </c>
      <c r="H303" s="677" t="s">
        <v>19170</v>
      </c>
      <c r="I303" s="683" t="str">
        <f>HYPERLINK("https://www.google.com/maps/search/Are%C3%A3o%20Vagos%20Centro%20Portugal","📍 Areão")</f>
        <v>📍 Areão</v>
      </c>
    </row>
    <row r="304" spans="1:9" ht="36" customHeight="1" x14ac:dyDescent="0.4">
      <c r="A304" s="672">
        <v>239</v>
      </c>
      <c r="B304" s="671" t="s">
        <v>19171</v>
      </c>
      <c r="C304" s="673" t="s">
        <v>836</v>
      </c>
      <c r="D304" s="671" t="s">
        <v>9863</v>
      </c>
      <c r="E304" s="671" t="s">
        <v>18631</v>
      </c>
      <c r="F304" s="674" t="s">
        <v>19083</v>
      </c>
      <c r="G304" s="675" t="s">
        <v>18632</v>
      </c>
      <c r="H304" s="671" t="s">
        <v>19172</v>
      </c>
      <c r="I304" s="682" t="str">
        <f>HYPERLINK("https://www.google.com/maps/search/Labrego%20Vagos%20Centro%20Portugal","📍 Labrego")</f>
        <v>📍 Labrego</v>
      </c>
    </row>
    <row r="305" spans="1:9" ht="36" customHeight="1" x14ac:dyDescent="0.4">
      <c r="A305" s="678">
        <v>240</v>
      </c>
      <c r="B305" s="677" t="s">
        <v>19173</v>
      </c>
      <c r="C305" s="679" t="s">
        <v>836</v>
      </c>
      <c r="D305" s="677" t="s">
        <v>9863</v>
      </c>
      <c r="E305" s="677" t="s">
        <v>18631</v>
      </c>
      <c r="F305" s="680" t="s">
        <v>19174</v>
      </c>
      <c r="G305" s="681" t="s">
        <v>18632</v>
      </c>
      <c r="H305" s="677" t="s">
        <v>19175</v>
      </c>
      <c r="I305" s="683" t="str">
        <f>HYPERLINK("https://www.google.com/maps/search/Vagueira%20Vagos%20Centro%20Portugal","📍 Vagueira")</f>
        <v>📍 Vagueira</v>
      </c>
    </row>
    <row r="306" spans="1:9" ht="24" customHeight="1" x14ac:dyDescent="0.45">
      <c r="A306" s="1605" t="s">
        <v>19176</v>
      </c>
      <c r="B306" s="1313"/>
      <c r="C306" s="1313"/>
      <c r="D306" s="1313"/>
      <c r="E306" s="1313"/>
      <c r="F306" s="1313"/>
      <c r="G306" s="1313"/>
      <c r="H306" s="1313"/>
      <c r="I306" s="1313"/>
    </row>
    <row r="307" spans="1:9" ht="20" customHeight="1" x14ac:dyDescent="0.45">
      <c r="A307" s="1595" t="s">
        <v>19177</v>
      </c>
      <c r="B307" s="1313"/>
      <c r="C307" s="1313"/>
      <c r="D307" s="1313"/>
      <c r="E307" s="1313"/>
      <c r="F307" s="1313"/>
      <c r="G307" s="1313"/>
      <c r="H307" s="1313"/>
      <c r="I307" s="1313"/>
    </row>
    <row r="308" spans="1:9" ht="36" customHeight="1" x14ac:dyDescent="0.4">
      <c r="A308" s="672">
        <v>241</v>
      </c>
      <c r="B308" s="671" t="s">
        <v>8733</v>
      </c>
      <c r="C308" s="673" t="s">
        <v>524</v>
      </c>
      <c r="D308" s="671" t="s">
        <v>8733</v>
      </c>
      <c r="E308" s="671" t="s">
        <v>18631</v>
      </c>
      <c r="F308" s="674" t="s">
        <v>19184</v>
      </c>
      <c r="G308" s="675" t="s">
        <v>18632</v>
      </c>
      <c r="H308" s="671" t="s">
        <v>19185</v>
      </c>
      <c r="I308" s="682" t="str">
        <f>HYPERLINK("https://www.google.com/maps/search/Calheta%20Calheta%20Madeira%20Portugal","📍 Calheta")</f>
        <v>📍 Calheta</v>
      </c>
    </row>
    <row r="309" spans="1:9" ht="36" customHeight="1" x14ac:dyDescent="0.4">
      <c r="A309" s="678">
        <v>242</v>
      </c>
      <c r="B309" s="677" t="s">
        <v>10862</v>
      </c>
      <c r="C309" s="679" t="s">
        <v>524</v>
      </c>
      <c r="D309" s="677" t="s">
        <v>8733</v>
      </c>
      <c r="E309" s="677" t="s">
        <v>18645</v>
      </c>
      <c r="F309" s="680" t="s">
        <v>19184</v>
      </c>
      <c r="G309" s="681" t="s">
        <v>18632</v>
      </c>
      <c r="H309" s="677" t="s">
        <v>19186</v>
      </c>
      <c r="I309" s="683" t="str">
        <f>HYPERLINK("https://www.google.com/maps/search/Porto%20de%20Recreio%20da%20Calheta%20Calheta%20Madeira%20Portugal","📍 Porto de Recreio da Calheta")</f>
        <v>📍 Porto de Recreio da Calheta</v>
      </c>
    </row>
    <row r="310" spans="1:9" ht="36" customHeight="1" x14ac:dyDescent="0.4">
      <c r="A310" s="672">
        <v>243</v>
      </c>
      <c r="B310" s="671" t="s">
        <v>19187</v>
      </c>
      <c r="C310" s="673" t="s">
        <v>524</v>
      </c>
      <c r="D310" s="671" t="s">
        <v>8733</v>
      </c>
      <c r="E310" s="671" t="s">
        <v>19004</v>
      </c>
      <c r="F310" s="674" t="s">
        <v>19184</v>
      </c>
      <c r="G310" s="675" t="s">
        <v>18632</v>
      </c>
      <c r="H310" s="671" t="s">
        <v>19188</v>
      </c>
      <c r="I310" s="682" t="str">
        <f>HYPERLINK("https://www.google.com/maps/search/Dulcineia%20Calheta%20Madeira%20Portugal","📍 Dulcineia")</f>
        <v>📍 Dulcineia</v>
      </c>
    </row>
    <row r="311" spans="1:9" ht="36" customHeight="1" x14ac:dyDescent="0.4">
      <c r="A311" s="678">
        <v>244</v>
      </c>
      <c r="B311" s="677" t="s">
        <v>19189</v>
      </c>
      <c r="C311" s="679" t="s">
        <v>524</v>
      </c>
      <c r="D311" s="677" t="s">
        <v>8733</v>
      </c>
      <c r="E311" s="677" t="s">
        <v>19004</v>
      </c>
      <c r="F311" s="680" t="s">
        <v>19184</v>
      </c>
      <c r="G311" s="681" t="s">
        <v>18632</v>
      </c>
      <c r="H311" s="677" t="s">
        <v>19190</v>
      </c>
      <c r="I311" s="683" t="str">
        <f>HYPERLINK("https://www.google.com/maps/search/Esmeralda%20Calheta%20Madeira%20Portugal","📍 Esmeralda")</f>
        <v>📍 Esmeralda</v>
      </c>
    </row>
    <row r="312" spans="1:9" ht="36" customHeight="1" x14ac:dyDescent="0.4">
      <c r="A312" s="672">
        <v>245</v>
      </c>
      <c r="B312" s="671" t="s">
        <v>19191</v>
      </c>
      <c r="C312" s="673" t="s">
        <v>524</v>
      </c>
      <c r="D312" s="671" t="s">
        <v>8733</v>
      </c>
      <c r="E312" s="671" t="s">
        <v>19004</v>
      </c>
      <c r="F312" s="674" t="s">
        <v>19184</v>
      </c>
      <c r="G312" s="675" t="s">
        <v>18632</v>
      </c>
      <c r="H312" s="671" t="s">
        <v>19192</v>
      </c>
      <c r="I312" s="682" t="str">
        <f>HYPERLINK("https://www.google.com/maps/search/Gringo%20Calheta%20Madeira%20Portugal","📍 Gringo")</f>
        <v>📍 Gringo</v>
      </c>
    </row>
    <row r="313" spans="1:9" ht="36" customHeight="1" x14ac:dyDescent="0.4">
      <c r="A313" s="678">
        <v>246</v>
      </c>
      <c r="B313" s="677" t="s">
        <v>13266</v>
      </c>
      <c r="C313" s="679" t="s">
        <v>524</v>
      </c>
      <c r="D313" s="677" t="s">
        <v>8733</v>
      </c>
      <c r="E313" s="677" t="s">
        <v>19004</v>
      </c>
      <c r="F313" s="680" t="s">
        <v>19184</v>
      </c>
      <c r="G313" s="681" t="s">
        <v>18632</v>
      </c>
      <c r="H313" s="677" t="s">
        <v>19193</v>
      </c>
      <c r="I313" s="683" t="str">
        <f>HYPERLINK("https://www.google.com/maps/search/Miranda%20Calheta%20Madeira%20Portugal","📍 Miranda")</f>
        <v>📍 Miranda</v>
      </c>
    </row>
    <row r="314" spans="1:9" ht="20" customHeight="1" x14ac:dyDescent="0.45">
      <c r="A314" s="1595" t="s">
        <v>19252</v>
      </c>
      <c r="B314" s="1313"/>
      <c r="C314" s="1313"/>
      <c r="D314" s="1313"/>
      <c r="E314" s="1313"/>
      <c r="F314" s="1313"/>
      <c r="G314" s="1313"/>
      <c r="H314" s="1313"/>
      <c r="I314" s="1313"/>
    </row>
    <row r="315" spans="1:9" ht="36" customHeight="1" x14ac:dyDescent="0.4">
      <c r="A315" s="672">
        <v>247</v>
      </c>
      <c r="B315" s="671" t="s">
        <v>19194</v>
      </c>
      <c r="C315" s="673" t="s">
        <v>524</v>
      </c>
      <c r="D315" s="671" t="s">
        <v>2219</v>
      </c>
      <c r="E315" s="671" t="s">
        <v>19195</v>
      </c>
      <c r="F315" s="674" t="s">
        <v>2219</v>
      </c>
      <c r="G315" s="675" t="s">
        <v>18632</v>
      </c>
      <c r="H315" s="671" t="s">
        <v>19196</v>
      </c>
      <c r="I315" s="682" t="str">
        <f>HYPERLINK("https://www.google.com/maps/search/Barreirinha%20Funchal%20Madeira%20Portugal","📍 Barreirinha")</f>
        <v>📍 Barreirinha</v>
      </c>
    </row>
    <row r="316" spans="1:9" ht="36" customHeight="1" x14ac:dyDescent="0.4">
      <c r="A316" s="678">
        <v>248</v>
      </c>
      <c r="B316" s="677" t="s">
        <v>19197</v>
      </c>
      <c r="C316" s="679" t="s">
        <v>524</v>
      </c>
      <c r="D316" s="677" t="s">
        <v>2219</v>
      </c>
      <c r="E316" s="677" t="s">
        <v>19195</v>
      </c>
      <c r="F316" s="680" t="s">
        <v>2219</v>
      </c>
      <c r="G316" s="681" t="s">
        <v>18632</v>
      </c>
      <c r="H316" s="677" t="s">
        <v>19198</v>
      </c>
      <c r="I316" s="683" t="str">
        <f>HYPERLINK("https://www.google.com/maps/search/Cb%20Ponta%20Gorda-Po%C3%A7as%20do%20Governador%20Funchal%20Madeira%20Portugal","📍 Cb Ponta Gorda-Poças do Governador")</f>
        <v>📍 Cb Ponta Gorda-Poças do Governador</v>
      </c>
    </row>
    <row r="317" spans="1:9" ht="36" customHeight="1" x14ac:dyDescent="0.4">
      <c r="A317" s="672">
        <v>249</v>
      </c>
      <c r="B317" s="671" t="s">
        <v>19199</v>
      </c>
      <c r="C317" s="673" t="s">
        <v>524</v>
      </c>
      <c r="D317" s="671" t="s">
        <v>2219</v>
      </c>
      <c r="E317" s="671" t="s">
        <v>18665</v>
      </c>
      <c r="F317" s="674" t="s">
        <v>2219</v>
      </c>
      <c r="G317" s="675" t="s">
        <v>18632</v>
      </c>
      <c r="H317" s="671" t="s">
        <v>19200</v>
      </c>
      <c r="I317" s="682" t="str">
        <f>HYPERLINK("https://www.google.com/maps/search/Clube%20Naval%20do%20Funchal%20Funchal%20Madeira%20Portugal","📍 Clube Naval do Funchal")</f>
        <v>📍 Clube Naval do Funchal</v>
      </c>
    </row>
    <row r="318" spans="1:9" ht="36" customHeight="1" x14ac:dyDescent="0.4">
      <c r="A318" s="678">
        <v>250</v>
      </c>
      <c r="B318" s="677" t="s">
        <v>19201</v>
      </c>
      <c r="C318" s="679" t="s">
        <v>524</v>
      </c>
      <c r="D318" s="677" t="s">
        <v>2219</v>
      </c>
      <c r="E318" s="677" t="s">
        <v>18631</v>
      </c>
      <c r="F318" s="680" t="s">
        <v>2219</v>
      </c>
      <c r="G318" s="681" t="s">
        <v>18632</v>
      </c>
      <c r="H318" s="677" t="s">
        <v>19202</v>
      </c>
      <c r="I318" s="683" t="str">
        <f>HYPERLINK("https://www.google.com/maps/search/Formosa%20(Madeira)%20Funchal%20Madeira%20Portugal","📍 Formosa (Madeira)")</f>
        <v>📍 Formosa (Madeira)</v>
      </c>
    </row>
    <row r="319" spans="1:9" ht="36" customHeight="1" x14ac:dyDescent="0.4">
      <c r="A319" s="672">
        <v>251</v>
      </c>
      <c r="B319" s="671" t="s">
        <v>19203</v>
      </c>
      <c r="C319" s="673" t="s">
        <v>524</v>
      </c>
      <c r="D319" s="671" t="s">
        <v>2219</v>
      </c>
      <c r="E319" s="671" t="s">
        <v>19195</v>
      </c>
      <c r="F319" s="674" t="s">
        <v>2219</v>
      </c>
      <c r="G319" s="675" t="s">
        <v>18632</v>
      </c>
      <c r="H319" s="671" t="s">
        <v>19204</v>
      </c>
      <c r="I319" s="682" t="str">
        <f>HYPERLINK("https://www.google.com/maps/search/Lido-Complexo%20Balnear%20Funchal%20Madeira%20Portugal","📍 Lido-Complexo Balnear")</f>
        <v>📍 Lido-Complexo Balnear</v>
      </c>
    </row>
    <row r="320" spans="1:9" ht="36" customHeight="1" x14ac:dyDescent="0.4">
      <c r="A320" s="678">
        <v>252</v>
      </c>
      <c r="B320" s="677" t="s">
        <v>19205</v>
      </c>
      <c r="C320" s="679" t="s">
        <v>524</v>
      </c>
      <c r="D320" s="677" t="s">
        <v>2219</v>
      </c>
      <c r="E320" s="677" t="s">
        <v>18645</v>
      </c>
      <c r="F320" s="680" t="s">
        <v>2219</v>
      </c>
      <c r="G320" s="681" t="s">
        <v>18632</v>
      </c>
      <c r="H320" s="677" t="s">
        <v>19206</v>
      </c>
      <c r="I320" s="683" t="str">
        <f>HYPERLINK("https://www.google.com/maps/search/Marina%20do%20Funchal%20Funchal%20Madeira%20Portugal","📍 Marina do Funchal")</f>
        <v>📍 Marina do Funchal</v>
      </c>
    </row>
    <row r="321" spans="1:9" ht="36" customHeight="1" x14ac:dyDescent="0.4">
      <c r="A321" s="672">
        <v>253</v>
      </c>
      <c r="B321" s="671" t="s">
        <v>19207</v>
      </c>
      <c r="C321" s="673" t="s">
        <v>524</v>
      </c>
      <c r="D321" s="671" t="s">
        <v>2219</v>
      </c>
      <c r="E321" s="671" t="s">
        <v>19004</v>
      </c>
      <c r="F321" s="674" t="s">
        <v>2219</v>
      </c>
      <c r="G321" s="675" t="s">
        <v>18632</v>
      </c>
      <c r="H321" s="671" t="s">
        <v>19208</v>
      </c>
      <c r="I321" s="682" t="str">
        <f>HYPERLINK("https://www.google.com/maps/search/Magic%20Dolphin%20Eco%20Funchal%20Madeira%20Portugal","📍 Magic Dolphin Eco")</f>
        <v>📍 Magic Dolphin Eco</v>
      </c>
    </row>
    <row r="322" spans="1:9" ht="36" customHeight="1" x14ac:dyDescent="0.4">
      <c r="A322" s="678">
        <v>254</v>
      </c>
      <c r="B322" s="677" t="s">
        <v>19209</v>
      </c>
      <c r="C322" s="679" t="s">
        <v>524</v>
      </c>
      <c r="D322" s="677" t="s">
        <v>2219</v>
      </c>
      <c r="E322" s="677" t="s">
        <v>19004</v>
      </c>
      <c r="F322" s="680" t="s">
        <v>2219</v>
      </c>
      <c r="G322" s="681" t="s">
        <v>18632</v>
      </c>
      <c r="H322" s="677" t="s">
        <v>19210</v>
      </c>
      <c r="I322" s="683" t="str">
        <f>HYPERLINK("https://www.google.com/maps/search/Melhor%20do%20Mar%20II%20Funchal%20Madeira%20Portugal","📍 Melhor do Mar II")</f>
        <v>📍 Melhor do Mar II</v>
      </c>
    </row>
    <row r="323" spans="1:9" ht="36" customHeight="1" x14ac:dyDescent="0.4">
      <c r="A323" s="672">
        <v>255</v>
      </c>
      <c r="B323" s="671" t="s">
        <v>19211</v>
      </c>
      <c r="C323" s="673" t="s">
        <v>524</v>
      </c>
      <c r="D323" s="671" t="s">
        <v>2219</v>
      </c>
      <c r="E323" s="671" t="s">
        <v>19004</v>
      </c>
      <c r="F323" s="674" t="s">
        <v>2219</v>
      </c>
      <c r="G323" s="675" t="s">
        <v>18632</v>
      </c>
      <c r="H323" s="671" t="s">
        <v>19212</v>
      </c>
      <c r="I323" s="682" t="str">
        <f>HYPERLINK("https://www.google.com/maps/search/Natureza%20do%20Mar%20Funchal%20Madeira%20Portugal","📍 Natureza do Mar")</f>
        <v>📍 Natureza do Mar</v>
      </c>
    </row>
    <row r="324" spans="1:9" ht="36" customHeight="1" x14ac:dyDescent="0.4">
      <c r="A324" s="678">
        <v>256</v>
      </c>
      <c r="B324" s="677" t="s">
        <v>19213</v>
      </c>
      <c r="C324" s="679" t="s">
        <v>524</v>
      </c>
      <c r="D324" s="677" t="s">
        <v>2219</v>
      </c>
      <c r="E324" s="677" t="s">
        <v>19004</v>
      </c>
      <c r="F324" s="680" t="s">
        <v>2219</v>
      </c>
      <c r="G324" s="681" t="s">
        <v>18632</v>
      </c>
      <c r="H324" s="677" t="s">
        <v>19214</v>
      </c>
      <c r="I324" s="683" t="str">
        <f>HYPERLINK("https://www.google.com/maps/search/Prazer%20do%20Mar%20Funchal%20Madeira%20Portugal","📍 Prazer do Mar")</f>
        <v>📍 Prazer do Mar</v>
      </c>
    </row>
    <row r="325" spans="1:9" ht="20" customHeight="1" x14ac:dyDescent="0.45">
      <c r="A325" s="1595" t="s">
        <v>19178</v>
      </c>
      <c r="B325" s="1313"/>
      <c r="C325" s="1313"/>
      <c r="D325" s="1313"/>
      <c r="E325" s="1313"/>
      <c r="F325" s="1313"/>
      <c r="G325" s="1313"/>
      <c r="H325" s="1313"/>
      <c r="I325" s="1313"/>
    </row>
    <row r="326" spans="1:9" ht="36" customHeight="1" x14ac:dyDescent="0.4">
      <c r="A326" s="672">
        <v>257</v>
      </c>
      <c r="B326" s="671" t="s">
        <v>19215</v>
      </c>
      <c r="C326" s="673" t="s">
        <v>524</v>
      </c>
      <c r="D326" s="671" t="s">
        <v>10009</v>
      </c>
      <c r="E326" s="671" t="s">
        <v>18631</v>
      </c>
      <c r="F326" s="674" t="s">
        <v>19216</v>
      </c>
      <c r="G326" s="675" t="s">
        <v>18632</v>
      </c>
      <c r="H326" s="671" t="s">
        <v>19217</v>
      </c>
      <c r="I326" s="682" t="str">
        <f>HYPERLINK("https://www.google.com/maps/search/Banda%20d'Al%C3%A9m%20Machico%20Madeira%20Portugal","📍 Banda d'Além")</f>
        <v>📍 Banda d'Além</v>
      </c>
    </row>
    <row r="327" spans="1:9" ht="36" customHeight="1" x14ac:dyDescent="0.4">
      <c r="A327" s="678">
        <v>258</v>
      </c>
      <c r="B327" s="677" t="s">
        <v>19218</v>
      </c>
      <c r="C327" s="679" t="s">
        <v>524</v>
      </c>
      <c r="D327" s="677" t="s">
        <v>10009</v>
      </c>
      <c r="E327" s="677" t="s">
        <v>18631</v>
      </c>
      <c r="F327" s="680" t="s">
        <v>19219</v>
      </c>
      <c r="G327" s="681" t="s">
        <v>18632</v>
      </c>
      <c r="H327" s="677" t="s">
        <v>19220</v>
      </c>
      <c r="I327" s="683" t="str">
        <f>HYPERLINK("https://www.google.com/maps/search/Prainha%20(Madeira)%20Machico%20Madeira%20Portugal","📍 Prainha (Madeira)")</f>
        <v>📍 Prainha (Madeira)</v>
      </c>
    </row>
    <row r="328" spans="1:9" ht="36" customHeight="1" x14ac:dyDescent="0.4">
      <c r="A328" s="672">
        <v>259</v>
      </c>
      <c r="B328" s="671" t="s">
        <v>19221</v>
      </c>
      <c r="C328" s="673" t="s">
        <v>524</v>
      </c>
      <c r="D328" s="671" t="s">
        <v>10009</v>
      </c>
      <c r="E328" s="671" t="s">
        <v>18631</v>
      </c>
      <c r="F328" s="674" t="s">
        <v>19219</v>
      </c>
      <c r="G328" s="675" t="s">
        <v>18632</v>
      </c>
      <c r="H328" s="671" t="s">
        <v>19222</v>
      </c>
      <c r="I328" s="682" t="str">
        <f>HYPERLINK("https://www.google.com/maps/search/Ribeira%20do%20Natal%20Machico%20Madeira%20Portugal","📍 Ribeira do Natal")</f>
        <v>📍 Ribeira do Natal</v>
      </c>
    </row>
    <row r="329" spans="1:9" ht="36" customHeight="1" x14ac:dyDescent="0.4">
      <c r="A329" s="678">
        <v>260</v>
      </c>
      <c r="B329" s="677" t="s">
        <v>19223</v>
      </c>
      <c r="C329" s="679" t="s">
        <v>524</v>
      </c>
      <c r="D329" s="677" t="s">
        <v>10009</v>
      </c>
      <c r="E329" s="677" t="s">
        <v>18665</v>
      </c>
      <c r="F329" s="680" t="s">
        <v>19219</v>
      </c>
      <c r="G329" s="681" t="s">
        <v>18632</v>
      </c>
      <c r="H329" s="677" t="s">
        <v>19224</v>
      </c>
      <c r="I329" s="683" t="str">
        <f>HYPERLINK("https://www.google.com/maps/search/Porto%20de%20Recreio%20de%20Machico%20Machico%20Madeira%20Portugal","📍 Porto de Recreio de Machico")</f>
        <v>📍 Porto de Recreio de Machico</v>
      </c>
    </row>
    <row r="330" spans="1:9" ht="20" customHeight="1" x14ac:dyDescent="0.45">
      <c r="A330" s="1595" t="s">
        <v>19179</v>
      </c>
      <c r="B330" s="1313"/>
      <c r="C330" s="1313"/>
      <c r="D330" s="1313"/>
      <c r="E330" s="1313"/>
      <c r="F330" s="1313"/>
      <c r="G330" s="1313"/>
      <c r="H330" s="1313"/>
      <c r="I330" s="1313"/>
    </row>
    <row r="331" spans="1:9" ht="36" customHeight="1" x14ac:dyDescent="0.4">
      <c r="A331" s="672">
        <v>261</v>
      </c>
      <c r="B331" s="671" t="s">
        <v>5999</v>
      </c>
      <c r="C331" s="673" t="s">
        <v>524</v>
      </c>
      <c r="D331" s="671" t="s">
        <v>5999</v>
      </c>
      <c r="E331" s="671" t="s">
        <v>18637</v>
      </c>
      <c r="F331" s="674" t="s">
        <v>19184</v>
      </c>
      <c r="G331" s="675" t="s">
        <v>18632</v>
      </c>
      <c r="H331" s="671" t="s">
        <v>19225</v>
      </c>
      <c r="I331" s="682" t="str">
        <f>HYPERLINK("https://www.google.com/maps/search/Porto%20Moniz%20Porto%20Moniz%20Madeira%20Portugal","📍 Porto Moniz")</f>
        <v>📍 Porto Moniz</v>
      </c>
    </row>
    <row r="332" spans="1:9" ht="20" customHeight="1" x14ac:dyDescent="0.45">
      <c r="A332" s="1595" t="s">
        <v>19180</v>
      </c>
      <c r="B332" s="1313"/>
      <c r="C332" s="1313"/>
      <c r="D332" s="1313"/>
      <c r="E332" s="1313"/>
      <c r="F332" s="1313"/>
      <c r="G332" s="1313"/>
      <c r="H332" s="1313"/>
      <c r="I332" s="1313"/>
    </row>
    <row r="333" spans="1:9" ht="36" customHeight="1" x14ac:dyDescent="0.4">
      <c r="A333" s="678">
        <v>262</v>
      </c>
      <c r="B333" s="677" t="s">
        <v>19226</v>
      </c>
      <c r="C333" s="679" t="s">
        <v>524</v>
      </c>
      <c r="D333" s="677" t="s">
        <v>7530</v>
      </c>
      <c r="E333" s="677" t="s">
        <v>18631</v>
      </c>
      <c r="F333" s="680" t="s">
        <v>19227</v>
      </c>
      <c r="G333" s="681" t="s">
        <v>18632</v>
      </c>
      <c r="H333" s="677" t="s">
        <v>19228</v>
      </c>
      <c r="I333" s="683" t="str">
        <f>HYPERLINK("https://www.google.com/maps/search/Porto%20Santo%20-%20Cabe%C3%A7o%20da%20Ponta%20Porto%20Santo%20Madeira%20Portugal","📍 Porto Santo - Cabeço da Ponta")</f>
        <v>📍 Porto Santo - Cabeço da Ponta</v>
      </c>
    </row>
    <row r="334" spans="1:9" ht="36" customHeight="1" x14ac:dyDescent="0.4">
      <c r="A334" s="672">
        <v>263</v>
      </c>
      <c r="B334" s="671" t="s">
        <v>19229</v>
      </c>
      <c r="C334" s="673" t="s">
        <v>524</v>
      </c>
      <c r="D334" s="671" t="s">
        <v>7530</v>
      </c>
      <c r="E334" s="671" t="s">
        <v>18631</v>
      </c>
      <c r="F334" s="674" t="s">
        <v>19227</v>
      </c>
      <c r="G334" s="675" t="s">
        <v>18632</v>
      </c>
      <c r="H334" s="671" t="s">
        <v>19230</v>
      </c>
      <c r="I334" s="682" t="str">
        <f>HYPERLINK("https://www.google.com/maps/search/Porto%20Santo%20-%20Calheta%20Porto%20Santo%20Madeira%20Portugal","📍 Porto Santo - Calheta")</f>
        <v>📍 Porto Santo - Calheta</v>
      </c>
    </row>
    <row r="335" spans="1:9" ht="36" customHeight="1" x14ac:dyDescent="0.4">
      <c r="A335" s="678">
        <v>264</v>
      </c>
      <c r="B335" s="677" t="s">
        <v>19231</v>
      </c>
      <c r="C335" s="679" t="s">
        <v>524</v>
      </c>
      <c r="D335" s="677" t="s">
        <v>7530</v>
      </c>
      <c r="E335" s="677" t="s">
        <v>18631</v>
      </c>
      <c r="F335" s="680" t="s">
        <v>19227</v>
      </c>
      <c r="G335" s="681" t="s">
        <v>18632</v>
      </c>
      <c r="H335" s="677" t="s">
        <v>19232</v>
      </c>
      <c r="I335" s="683" t="str">
        <f>HYPERLINK("https://www.google.com/maps/search/Porto%20Santo%20-%20Fontinha%20Porto%20Santo%20Madeira%20Portugal","📍 Porto Santo - Fontinha")</f>
        <v>📍 Porto Santo - Fontinha</v>
      </c>
    </row>
    <row r="336" spans="1:9" ht="36" customHeight="1" x14ac:dyDescent="0.4">
      <c r="A336" s="672">
        <v>265</v>
      </c>
      <c r="B336" s="671" t="s">
        <v>19233</v>
      </c>
      <c r="C336" s="673" t="s">
        <v>524</v>
      </c>
      <c r="D336" s="671" t="s">
        <v>7530</v>
      </c>
      <c r="E336" s="671" t="s">
        <v>18631</v>
      </c>
      <c r="F336" s="674" t="s">
        <v>19227</v>
      </c>
      <c r="G336" s="675" t="s">
        <v>18632</v>
      </c>
      <c r="H336" s="671" t="s">
        <v>19234</v>
      </c>
      <c r="I336" s="682" t="str">
        <f>HYPERLINK("https://www.google.com/maps/search/Porto%20Santo%20-%20Ribeiro%20Salgado%20Porto%20Santo%20Madeira%20Portugal","📍 Porto Santo - Ribeiro Salgado")</f>
        <v>📍 Porto Santo - Ribeiro Salgado</v>
      </c>
    </row>
    <row r="337" spans="1:9" ht="20" customHeight="1" x14ac:dyDescent="0.45">
      <c r="A337" s="1595" t="s">
        <v>19181</v>
      </c>
      <c r="B337" s="1313"/>
      <c r="C337" s="1313"/>
      <c r="D337" s="1313"/>
      <c r="E337" s="1313"/>
      <c r="F337" s="1313"/>
      <c r="G337" s="1313"/>
      <c r="H337" s="1313"/>
      <c r="I337" s="1313"/>
    </row>
    <row r="338" spans="1:9" ht="36" customHeight="1" x14ac:dyDescent="0.4">
      <c r="A338" s="678">
        <v>266</v>
      </c>
      <c r="B338" s="677" t="s">
        <v>2234</v>
      </c>
      <c r="C338" s="679" t="s">
        <v>524</v>
      </c>
      <c r="D338" s="677" t="s">
        <v>2234</v>
      </c>
      <c r="E338" s="677" t="s">
        <v>18631</v>
      </c>
      <c r="F338" s="680" t="s">
        <v>19235</v>
      </c>
      <c r="G338" s="681" t="s">
        <v>18632</v>
      </c>
      <c r="H338" s="677" t="s">
        <v>19236</v>
      </c>
      <c r="I338" s="683" t="str">
        <f>HYPERLINK("https://www.google.com/maps/search/Ribeira%20Brava%20Ribeira%20Brava%20Madeira%20Portugal","📍 Ribeira Brava")</f>
        <v>📍 Ribeira Brava</v>
      </c>
    </row>
    <row r="339" spans="1:9" ht="20" customHeight="1" x14ac:dyDescent="0.45">
      <c r="A339" s="1595" t="s">
        <v>19182</v>
      </c>
      <c r="B339" s="1313"/>
      <c r="C339" s="1313"/>
      <c r="D339" s="1313"/>
      <c r="E339" s="1313"/>
      <c r="F339" s="1313"/>
      <c r="G339" s="1313"/>
      <c r="H339" s="1313"/>
      <c r="I339" s="1313"/>
    </row>
    <row r="340" spans="1:9" ht="36" customHeight="1" x14ac:dyDescent="0.4">
      <c r="A340" s="672">
        <v>267</v>
      </c>
      <c r="B340" s="671" t="s">
        <v>19237</v>
      </c>
      <c r="C340" s="673" t="s">
        <v>524</v>
      </c>
      <c r="D340" s="671" t="s">
        <v>6690</v>
      </c>
      <c r="E340" s="671" t="s">
        <v>19195</v>
      </c>
      <c r="F340" s="674" t="s">
        <v>19219</v>
      </c>
      <c r="G340" s="675" t="s">
        <v>18632</v>
      </c>
      <c r="H340" s="671" t="s">
        <v>19238</v>
      </c>
      <c r="I340" s="682" t="str">
        <f>HYPERLINK("https://www.google.com/maps/search/Palmeiras%20Santa%20Cruz%20Madeira%20Portugal","📍 Palmeiras")</f>
        <v>📍 Palmeiras</v>
      </c>
    </row>
    <row r="341" spans="1:9" ht="36" customHeight="1" x14ac:dyDescent="0.4">
      <c r="A341" s="678">
        <v>268</v>
      </c>
      <c r="B341" s="677" t="s">
        <v>19239</v>
      </c>
      <c r="C341" s="679" t="s">
        <v>524</v>
      </c>
      <c r="D341" s="677" t="s">
        <v>6690</v>
      </c>
      <c r="E341" s="677" t="s">
        <v>19195</v>
      </c>
      <c r="F341" s="680" t="s">
        <v>19219</v>
      </c>
      <c r="G341" s="681" t="s">
        <v>18632</v>
      </c>
      <c r="H341" s="677" t="s">
        <v>19240</v>
      </c>
      <c r="I341" s="683" t="str">
        <f>HYPERLINK("https://www.google.com/maps/search/Reis%20Magos%20Santa%20Cruz%20Madeira%20Portugal","📍 Reis Magos")</f>
        <v>📍 Reis Magos</v>
      </c>
    </row>
    <row r="342" spans="1:9" ht="20" customHeight="1" x14ac:dyDescent="0.45">
      <c r="A342" s="1595" t="s">
        <v>19183</v>
      </c>
      <c r="B342" s="1313"/>
      <c r="C342" s="1313"/>
      <c r="D342" s="1313"/>
      <c r="E342" s="1313"/>
      <c r="F342" s="1313"/>
      <c r="G342" s="1313"/>
      <c r="H342" s="1313"/>
      <c r="I342" s="1313"/>
    </row>
    <row r="343" spans="1:9" ht="36" customHeight="1" x14ac:dyDescent="0.4">
      <c r="A343" s="672">
        <v>269</v>
      </c>
      <c r="B343" s="671" t="s">
        <v>19241</v>
      </c>
      <c r="C343" s="673" t="s">
        <v>524</v>
      </c>
      <c r="D343" s="671" t="s">
        <v>5988</v>
      </c>
      <c r="E343" s="671" t="s">
        <v>18631</v>
      </c>
      <c r="F343" s="674" t="s">
        <v>19242</v>
      </c>
      <c r="G343" s="675" t="s">
        <v>18632</v>
      </c>
      <c r="H343" s="671" t="s">
        <v>19243</v>
      </c>
      <c r="I343" s="682" t="str">
        <f>HYPERLINK("https://www.google.com/maps/search/Ribeira%20do%20Faial%20Santana%20Madeira%20Portugal","📍 Ribeira do Faial")</f>
        <v>📍 Ribeira do Faial</v>
      </c>
    </row>
    <row r="344" spans="1:9" ht="24" customHeight="1" x14ac:dyDescent="0.45">
      <c r="A344" s="1606" t="s">
        <v>19244</v>
      </c>
      <c r="B344" s="1313"/>
      <c r="C344" s="1313"/>
      <c r="D344" s="1313"/>
      <c r="E344" s="1313"/>
      <c r="F344" s="1313"/>
      <c r="G344" s="1313"/>
      <c r="H344" s="1313"/>
      <c r="I344" s="1313"/>
    </row>
    <row r="345" spans="1:9" ht="20" customHeight="1" x14ac:dyDescent="0.45">
      <c r="A345" s="1595" t="s">
        <v>19245</v>
      </c>
      <c r="B345" s="1313"/>
      <c r="C345" s="1313"/>
      <c r="D345" s="1313"/>
      <c r="E345" s="1313"/>
      <c r="F345" s="1313"/>
      <c r="G345" s="1313"/>
      <c r="H345" s="1313"/>
      <c r="I345" s="1313"/>
    </row>
    <row r="346" spans="1:9" ht="36" customHeight="1" x14ac:dyDescent="0.4">
      <c r="A346" s="678">
        <v>270</v>
      </c>
      <c r="B346" s="677" t="s">
        <v>19261</v>
      </c>
      <c r="C346" s="679" t="s">
        <v>792</v>
      </c>
      <c r="D346" s="677" t="s">
        <v>1552</v>
      </c>
      <c r="E346" s="677" t="s">
        <v>1482</v>
      </c>
      <c r="F346" s="680" t="s">
        <v>19262</v>
      </c>
      <c r="G346" s="681" t="s">
        <v>18632</v>
      </c>
      <c r="H346" s="677" t="s">
        <v>19263</v>
      </c>
      <c r="I346" s="683" t="str">
        <f>HYPERLINK("https://www.google.com/maps/search/Ada%C3%BAfe%20Braga%20Norte%20Portugal","📍 Adaúfe")</f>
        <v>📍 Adaúfe</v>
      </c>
    </row>
    <row r="347" spans="1:9" ht="36" customHeight="1" x14ac:dyDescent="0.4">
      <c r="A347" s="672">
        <v>271</v>
      </c>
      <c r="B347" s="671" t="s">
        <v>19264</v>
      </c>
      <c r="C347" s="673" t="s">
        <v>792</v>
      </c>
      <c r="D347" s="671" t="s">
        <v>1552</v>
      </c>
      <c r="E347" s="671" t="s">
        <v>1482</v>
      </c>
      <c r="F347" s="674" t="s">
        <v>19262</v>
      </c>
      <c r="G347" s="675" t="s">
        <v>18632</v>
      </c>
      <c r="H347" s="671" t="s">
        <v>19265</v>
      </c>
      <c r="I347" s="682" t="str">
        <f>HYPERLINK("https://www.google.com/maps/search/Cavadinho%20Braga%20Norte%20Portugal","📍 Cavadinho")</f>
        <v>📍 Cavadinho</v>
      </c>
    </row>
    <row r="348" spans="1:9" ht="36" customHeight="1" x14ac:dyDescent="0.4">
      <c r="A348" s="678">
        <v>272</v>
      </c>
      <c r="B348" s="677" t="s">
        <v>19266</v>
      </c>
      <c r="C348" s="679" t="s">
        <v>792</v>
      </c>
      <c r="D348" s="677" t="s">
        <v>1552</v>
      </c>
      <c r="E348" s="677" t="s">
        <v>1482</v>
      </c>
      <c r="F348" s="680" t="s">
        <v>19262</v>
      </c>
      <c r="G348" s="681" t="s">
        <v>18632</v>
      </c>
      <c r="H348" s="677" t="s">
        <v>19267</v>
      </c>
      <c r="I348" s="683" t="str">
        <f>HYPERLINK("https://www.google.com/maps/search/Ponte%20do%20Bico%20Braga%20Norte%20Portugal","📍 Ponte do Bico")</f>
        <v>📍 Ponte do Bico</v>
      </c>
    </row>
    <row r="349" spans="1:9" ht="20" customHeight="1" x14ac:dyDescent="0.45">
      <c r="A349" s="1595" t="s">
        <v>19246</v>
      </c>
      <c r="B349" s="1313"/>
      <c r="C349" s="1313"/>
      <c r="D349" s="1313"/>
      <c r="E349" s="1313"/>
      <c r="F349" s="1313"/>
      <c r="G349" s="1313"/>
      <c r="H349" s="1313"/>
      <c r="I349" s="1313"/>
    </row>
    <row r="350" spans="1:9" ht="36" customHeight="1" x14ac:dyDescent="0.4">
      <c r="A350" s="672">
        <v>273</v>
      </c>
      <c r="B350" s="671" t="s">
        <v>19268</v>
      </c>
      <c r="C350" s="673" t="s">
        <v>792</v>
      </c>
      <c r="D350" s="671" t="s">
        <v>1094</v>
      </c>
      <c r="E350" s="671" t="s">
        <v>1482</v>
      </c>
      <c r="F350" s="674" t="s">
        <v>2407</v>
      </c>
      <c r="G350" s="675" t="s">
        <v>18632</v>
      </c>
      <c r="H350" s="671" t="s">
        <v>19269</v>
      </c>
      <c r="I350" s="682" t="str">
        <f>HYPERLINK("https://www.google.com/maps/search/Azenhas%20-%20Vilar%20de%20Mouros%20Caminha%20Norte%20Portugal","📍 Azenhas - Vilar de Mouros")</f>
        <v>📍 Azenhas - Vilar de Mouros</v>
      </c>
    </row>
    <row r="351" spans="1:9" ht="36" customHeight="1" x14ac:dyDescent="0.4">
      <c r="A351" s="678">
        <v>274</v>
      </c>
      <c r="B351" s="677" t="s">
        <v>1094</v>
      </c>
      <c r="C351" s="679" t="s">
        <v>792</v>
      </c>
      <c r="D351" s="677" t="s">
        <v>1094</v>
      </c>
      <c r="E351" s="677" t="s">
        <v>18631</v>
      </c>
      <c r="F351" s="680" t="s">
        <v>2407</v>
      </c>
      <c r="G351" s="681" t="s">
        <v>18632</v>
      </c>
      <c r="H351" s="677" t="s">
        <v>19270</v>
      </c>
      <c r="I351" s="683" t="str">
        <f>HYPERLINK("https://www.google.com/maps/search/Caminha%20Caminha%20Norte%20Portugal","📍 Caminha")</f>
        <v>📍 Caminha</v>
      </c>
    </row>
    <row r="352" spans="1:9" ht="36" customHeight="1" x14ac:dyDescent="0.4">
      <c r="A352" s="672">
        <v>275</v>
      </c>
      <c r="B352" s="671" t="s">
        <v>19271</v>
      </c>
      <c r="C352" s="673" t="s">
        <v>792</v>
      </c>
      <c r="D352" s="671" t="s">
        <v>1094</v>
      </c>
      <c r="E352" s="671" t="s">
        <v>18631</v>
      </c>
      <c r="F352" s="674" t="s">
        <v>2407</v>
      </c>
      <c r="G352" s="675" t="s">
        <v>18632</v>
      </c>
      <c r="H352" s="671" t="s">
        <v>19272</v>
      </c>
      <c r="I352" s="682" t="str">
        <f>HYPERLINK("https://www.google.com/maps/search/Forte%20do%20C%C3%A3o%20Caminha%20Norte%20Portugal","📍 Forte do Cão")</f>
        <v>📍 Forte do Cão</v>
      </c>
    </row>
    <row r="353" spans="1:9" ht="36" customHeight="1" x14ac:dyDescent="0.4">
      <c r="A353" s="678">
        <v>276</v>
      </c>
      <c r="B353" s="677" t="s">
        <v>8090</v>
      </c>
      <c r="C353" s="679" t="s">
        <v>792</v>
      </c>
      <c r="D353" s="677" t="s">
        <v>1094</v>
      </c>
      <c r="E353" s="677" t="s">
        <v>18631</v>
      </c>
      <c r="F353" s="680" t="s">
        <v>2407</v>
      </c>
      <c r="G353" s="681" t="s">
        <v>18632</v>
      </c>
      <c r="H353" s="677" t="s">
        <v>19273</v>
      </c>
      <c r="I353" s="683" t="str">
        <f>HYPERLINK("https://www.google.com/maps/search/Moledo%20Caminha%20Norte%20Portugal","📍 Moledo")</f>
        <v>📍 Moledo</v>
      </c>
    </row>
    <row r="354" spans="1:9" ht="20" customHeight="1" x14ac:dyDescent="0.45">
      <c r="A354" s="1595" t="s">
        <v>19247</v>
      </c>
      <c r="B354" s="1313"/>
      <c r="C354" s="1313"/>
      <c r="D354" s="1313"/>
      <c r="E354" s="1313"/>
      <c r="F354" s="1313"/>
      <c r="G354" s="1313"/>
      <c r="H354" s="1313"/>
      <c r="I354" s="1313"/>
    </row>
    <row r="355" spans="1:9" ht="36" customHeight="1" x14ac:dyDescent="0.4">
      <c r="A355" s="672">
        <v>277</v>
      </c>
      <c r="B355" s="671" t="s">
        <v>19274</v>
      </c>
      <c r="C355" s="673" t="s">
        <v>792</v>
      </c>
      <c r="D355" s="671" t="s">
        <v>2019</v>
      </c>
      <c r="E355" s="671" t="s">
        <v>18631</v>
      </c>
      <c r="F355" s="674" t="s">
        <v>19275</v>
      </c>
      <c r="G355" s="675" t="s">
        <v>18632</v>
      </c>
      <c r="H355" s="671" t="s">
        <v>19276</v>
      </c>
      <c r="I355" s="682" t="str">
        <f>HYPERLINK("https://www.google.com/maps/search/Espinho-Ba%C3%ADa%20Espinho%20Norte%20Portugal","📍 Espinho-Baía")</f>
        <v>📍 Espinho-Baía</v>
      </c>
    </row>
    <row r="356" spans="1:9" ht="36" customHeight="1" x14ac:dyDescent="0.4">
      <c r="A356" s="678">
        <v>278</v>
      </c>
      <c r="B356" s="677" t="s">
        <v>19277</v>
      </c>
      <c r="C356" s="679" t="s">
        <v>792</v>
      </c>
      <c r="D356" s="677" t="s">
        <v>2019</v>
      </c>
      <c r="E356" s="677" t="s">
        <v>18631</v>
      </c>
      <c r="F356" s="680" t="s">
        <v>19275</v>
      </c>
      <c r="G356" s="681" t="s">
        <v>18632</v>
      </c>
      <c r="H356" s="677" t="s">
        <v>19278</v>
      </c>
      <c r="I356" s="683" t="str">
        <f>HYPERLINK("https://www.google.com/maps/search/Espinho-Rua%2037%20Espinho%20Norte%20Portugal","📍 Espinho-Rua 37")</f>
        <v>📍 Espinho-Rua 37</v>
      </c>
    </row>
    <row r="357" spans="1:9" ht="36" customHeight="1" x14ac:dyDescent="0.4">
      <c r="A357" s="672">
        <v>279</v>
      </c>
      <c r="B357" s="671" t="s">
        <v>19279</v>
      </c>
      <c r="C357" s="673" t="s">
        <v>792</v>
      </c>
      <c r="D357" s="671" t="s">
        <v>2019</v>
      </c>
      <c r="E357" s="671" t="s">
        <v>18631</v>
      </c>
      <c r="F357" s="674" t="s">
        <v>19275</v>
      </c>
      <c r="G357" s="675" t="s">
        <v>18632</v>
      </c>
      <c r="H357" s="671" t="s">
        <v>19280</v>
      </c>
      <c r="I357" s="682" t="str">
        <f>HYPERLINK("https://www.google.com/maps/search/Paramos%20Espinho%20Norte%20Portugal","📍 Paramos")</f>
        <v>📍 Paramos</v>
      </c>
    </row>
    <row r="358" spans="1:9" ht="20" customHeight="1" x14ac:dyDescent="0.45">
      <c r="A358" s="1595" t="s">
        <v>19248</v>
      </c>
      <c r="B358" s="1313"/>
      <c r="C358" s="1313"/>
      <c r="D358" s="1313"/>
      <c r="E358" s="1313"/>
      <c r="F358" s="1313"/>
      <c r="G358" s="1313"/>
      <c r="H358" s="1313"/>
      <c r="I358" s="1313"/>
    </row>
    <row r="359" spans="1:9" ht="36" customHeight="1" x14ac:dyDescent="0.4">
      <c r="A359" s="678">
        <v>280</v>
      </c>
      <c r="B359" s="677" t="s">
        <v>19281</v>
      </c>
      <c r="C359" s="679" t="s">
        <v>792</v>
      </c>
      <c r="D359" s="677" t="s">
        <v>1911</v>
      </c>
      <c r="E359" s="677" t="s">
        <v>18631</v>
      </c>
      <c r="F359" s="680" t="s">
        <v>19282</v>
      </c>
      <c r="G359" s="681" t="s">
        <v>18632</v>
      </c>
      <c r="H359" s="677" t="s">
        <v>19283</v>
      </c>
      <c r="I359" s="683" t="str">
        <f>HYPERLINK("https://www.google.com/maps/search/Ap%C3%BAlia%20Esposende%20Norte%20Portugal","📍 Apúlia")</f>
        <v>📍 Apúlia</v>
      </c>
    </row>
    <row r="360" spans="1:9" ht="36" customHeight="1" x14ac:dyDescent="0.4">
      <c r="A360" s="672">
        <v>281</v>
      </c>
      <c r="B360" s="671" t="s">
        <v>19284</v>
      </c>
      <c r="C360" s="673" t="s">
        <v>792</v>
      </c>
      <c r="D360" s="671" t="s">
        <v>1911</v>
      </c>
      <c r="E360" s="671" t="s">
        <v>18631</v>
      </c>
      <c r="F360" s="674" t="s">
        <v>19282</v>
      </c>
      <c r="G360" s="675" t="s">
        <v>18632</v>
      </c>
      <c r="H360" s="671" t="s">
        <v>19285</v>
      </c>
      <c r="I360" s="682" t="str">
        <f>HYPERLINK("https://www.google.com/maps/search/F%C3%A3o-Ofir%20Esposende%20Norte%20Portugal","📍 Fão-Ofir")</f>
        <v>📍 Fão-Ofir</v>
      </c>
    </row>
    <row r="361" spans="1:9" ht="36" customHeight="1" x14ac:dyDescent="0.4">
      <c r="A361" s="678">
        <v>282</v>
      </c>
      <c r="B361" s="677" t="s">
        <v>19286</v>
      </c>
      <c r="C361" s="679" t="s">
        <v>792</v>
      </c>
      <c r="D361" s="677" t="s">
        <v>1911</v>
      </c>
      <c r="E361" s="677" t="s">
        <v>18631</v>
      </c>
      <c r="F361" s="680" t="s">
        <v>19282</v>
      </c>
      <c r="G361" s="681" t="s">
        <v>18632</v>
      </c>
      <c r="H361" s="677" t="s">
        <v>19287</v>
      </c>
      <c r="I361" s="683" t="str">
        <f>HYPERLINK("https://www.google.com/maps/search/Marinhas-Cep%C3%A3es%20Esposende%20Norte%20Portugal","📍 Marinhas-Cepães")</f>
        <v>📍 Marinhas-Cepães</v>
      </c>
    </row>
    <row r="362" spans="1:9" ht="36" customHeight="1" x14ac:dyDescent="0.4">
      <c r="A362" s="672">
        <v>283</v>
      </c>
      <c r="B362" s="671" t="s">
        <v>19288</v>
      </c>
      <c r="C362" s="673" t="s">
        <v>792</v>
      </c>
      <c r="D362" s="671" t="s">
        <v>1911</v>
      </c>
      <c r="E362" s="671" t="s">
        <v>18631</v>
      </c>
      <c r="F362" s="674" t="s">
        <v>19282</v>
      </c>
      <c r="G362" s="675" t="s">
        <v>18632</v>
      </c>
      <c r="H362" s="671" t="s">
        <v>19289</v>
      </c>
      <c r="I362" s="682" t="str">
        <f>HYPERLINK("https://www.google.com/maps/search/Suave%20Mar%20Esposende%20Norte%20Portugal","📍 Suave Mar")</f>
        <v>📍 Suave Mar</v>
      </c>
    </row>
    <row r="363" spans="1:9" ht="20" customHeight="1" x14ac:dyDescent="0.45">
      <c r="A363" s="1595" t="s">
        <v>19249</v>
      </c>
      <c r="B363" s="1313"/>
      <c r="C363" s="1313"/>
      <c r="D363" s="1313"/>
      <c r="E363" s="1313"/>
      <c r="F363" s="1313"/>
      <c r="G363" s="1313"/>
      <c r="H363" s="1313"/>
      <c r="I363" s="1313"/>
    </row>
    <row r="364" spans="1:9" ht="36" customHeight="1" x14ac:dyDescent="0.4">
      <c r="A364" s="678">
        <v>284</v>
      </c>
      <c r="B364" s="677" t="s">
        <v>19290</v>
      </c>
      <c r="C364" s="679" t="s">
        <v>792</v>
      </c>
      <c r="D364" s="677" t="s">
        <v>1823</v>
      </c>
      <c r="E364" s="677" t="s">
        <v>1482</v>
      </c>
      <c r="F364" s="680" t="s">
        <v>19291</v>
      </c>
      <c r="G364" s="681" t="s">
        <v>18632</v>
      </c>
      <c r="H364" s="677" t="s">
        <v>19292</v>
      </c>
      <c r="I364" s="683" t="str">
        <f>HYPERLINK("https://www.google.com/maps/search/Albufeira%20de%20Queimadela%20Fafe%20Norte%20Portugal","📍 Albufeira de Queimadela")</f>
        <v>📍 Albufeira de Queimadela</v>
      </c>
    </row>
    <row r="365" spans="1:9" ht="20" customHeight="1" x14ac:dyDescent="0.45">
      <c r="A365" s="1595" t="s">
        <v>19250</v>
      </c>
      <c r="B365" s="1313"/>
      <c r="C365" s="1313"/>
      <c r="D365" s="1313"/>
      <c r="E365" s="1313"/>
      <c r="F365" s="1313"/>
      <c r="G365" s="1313"/>
      <c r="H365" s="1313"/>
      <c r="I365" s="1313"/>
    </row>
    <row r="366" spans="1:9" ht="36" customHeight="1" x14ac:dyDescent="0.4">
      <c r="A366" s="672">
        <v>285</v>
      </c>
      <c r="B366" s="671" t="s">
        <v>19293</v>
      </c>
      <c r="C366" s="673" t="s">
        <v>792</v>
      </c>
      <c r="D366" s="671" t="s">
        <v>1923</v>
      </c>
      <c r="E366" s="671" t="s">
        <v>1482</v>
      </c>
      <c r="F366" s="674" t="s">
        <v>6350</v>
      </c>
      <c r="G366" s="675" t="s">
        <v>18632</v>
      </c>
      <c r="H366" s="671" t="s">
        <v>19294</v>
      </c>
      <c r="I366" s="682" t="str">
        <f>HYPERLINK("https://www.google.com/maps/search/Congida%20Freixo%20de%20Espada%20%C3%A0%20Cinta%20Norte%20Portugal","📍 Congida")</f>
        <v>📍 Congida</v>
      </c>
    </row>
    <row r="367" spans="1:9" ht="20" customHeight="1" x14ac:dyDescent="0.45">
      <c r="A367" s="1595" t="s">
        <v>19251</v>
      </c>
      <c r="B367" s="1313"/>
      <c r="C367" s="1313"/>
      <c r="D367" s="1313"/>
      <c r="E367" s="1313"/>
      <c r="F367" s="1313"/>
      <c r="G367" s="1313"/>
      <c r="H367" s="1313"/>
      <c r="I367" s="1313"/>
    </row>
    <row r="368" spans="1:9" ht="36" customHeight="1" x14ac:dyDescent="0.4">
      <c r="A368" s="678">
        <v>286</v>
      </c>
      <c r="B368" s="677" t="s">
        <v>19295</v>
      </c>
      <c r="C368" s="679" t="s">
        <v>792</v>
      </c>
      <c r="D368" s="677" t="s">
        <v>1786</v>
      </c>
      <c r="E368" s="677" t="s">
        <v>1482</v>
      </c>
      <c r="F368" s="680" t="s">
        <v>2365</v>
      </c>
      <c r="G368" s="681" t="s">
        <v>18632</v>
      </c>
      <c r="H368" s="677" t="s">
        <v>19296</v>
      </c>
      <c r="I368" s="683" t="str">
        <f>HYPERLINK("https://www.google.com/maps/search/Fraga%20da%20Pegada%20Macedo%20de%20Cavaleiros%20Norte%20Portugal","📍 Fraga da Pegada")</f>
        <v>📍 Fraga da Pegada</v>
      </c>
    </row>
    <row r="369" spans="1:9" ht="36" customHeight="1" x14ac:dyDescent="0.4">
      <c r="A369" s="672">
        <v>287</v>
      </c>
      <c r="B369" s="671" t="s">
        <v>10940</v>
      </c>
      <c r="C369" s="673" t="s">
        <v>792</v>
      </c>
      <c r="D369" s="671" t="s">
        <v>1786</v>
      </c>
      <c r="E369" s="671" t="s">
        <v>1482</v>
      </c>
      <c r="F369" s="674" t="s">
        <v>2365</v>
      </c>
      <c r="G369" s="675" t="s">
        <v>18632</v>
      </c>
      <c r="H369" s="671" t="s">
        <v>19297</v>
      </c>
      <c r="I369" s="682" t="str">
        <f>HYPERLINK("https://www.google.com/maps/search/Ribeira%20Macedo%20de%20Cavaleiros%20Norte%20Portugal","📍 Ribeira")</f>
        <v>📍 Ribeira</v>
      </c>
    </row>
    <row r="370" spans="1:9" ht="36" customHeight="1" x14ac:dyDescent="0.4">
      <c r="A370" s="678">
        <v>288</v>
      </c>
      <c r="B370" s="677" t="s">
        <v>19298</v>
      </c>
      <c r="C370" s="679" t="s">
        <v>792</v>
      </c>
      <c r="D370" s="677" t="s">
        <v>1786</v>
      </c>
      <c r="E370" s="677" t="s">
        <v>1482</v>
      </c>
      <c r="F370" s="680" t="s">
        <v>2365</v>
      </c>
      <c r="G370" s="681" t="s">
        <v>18632</v>
      </c>
      <c r="H370" s="677" t="s">
        <v>19299</v>
      </c>
      <c r="I370" s="683" t="str">
        <f>HYPERLINK("https://www.google.com/maps/search/Azibeiro%20Macedo%20de%20Cavaleiros%20Norte%20Portugal","📍 Azibeiro")</f>
        <v>📍 Azibeiro</v>
      </c>
    </row>
    <row r="371" spans="1:9" ht="36" customHeight="1" x14ac:dyDescent="0.4">
      <c r="A371" s="672">
        <v>289</v>
      </c>
      <c r="B371" s="671" t="s">
        <v>19300</v>
      </c>
      <c r="C371" s="673" t="s">
        <v>792</v>
      </c>
      <c r="D371" s="671" t="s">
        <v>1786</v>
      </c>
      <c r="E371" s="671" t="s">
        <v>1482</v>
      </c>
      <c r="F371" s="674" t="s">
        <v>2365</v>
      </c>
      <c r="G371" s="675" t="s">
        <v>18632</v>
      </c>
      <c r="H371" s="671" t="s">
        <v>19301</v>
      </c>
      <c r="I371" s="682" t="str">
        <f>HYPERLINK("https://www.google.com/maps/search/V%C3%ADtor%20Oliveira%20Macedo%20de%20Cavaleiros%20Norte%20Portugal","📍 Vítor Oliveira")</f>
        <v>📍 Vítor Oliveira</v>
      </c>
    </row>
    <row r="372" spans="1:9" ht="20" customHeight="1" x14ac:dyDescent="0.45">
      <c r="A372" s="1595" t="s">
        <v>19253</v>
      </c>
      <c r="B372" s="1313"/>
      <c r="C372" s="1313"/>
      <c r="D372" s="1313"/>
      <c r="E372" s="1313"/>
      <c r="F372" s="1313"/>
      <c r="G372" s="1313"/>
      <c r="H372" s="1313"/>
      <c r="I372" s="1313"/>
    </row>
    <row r="373" spans="1:9" ht="36" customHeight="1" x14ac:dyDescent="0.4">
      <c r="A373" s="678">
        <v>290</v>
      </c>
      <c r="B373" s="677" t="s">
        <v>19302</v>
      </c>
      <c r="C373" s="679" t="s">
        <v>792</v>
      </c>
      <c r="D373" s="677" t="s">
        <v>1773</v>
      </c>
      <c r="E373" s="677" t="s">
        <v>18631</v>
      </c>
      <c r="F373" s="680" t="s">
        <v>19303</v>
      </c>
      <c r="G373" s="681" t="s">
        <v>18632</v>
      </c>
      <c r="H373" s="677" t="s">
        <v>19304</v>
      </c>
      <c r="I373" s="683" t="str">
        <f>HYPERLINK("https://www.google.com/maps/search/Agudela%20Matosinhos%20Norte%20Portugal","📍 Agudela")</f>
        <v>📍 Agudela</v>
      </c>
    </row>
    <row r="374" spans="1:9" ht="36" customHeight="1" x14ac:dyDescent="0.4">
      <c r="A374" s="672">
        <v>291</v>
      </c>
      <c r="B374" s="671" t="s">
        <v>19305</v>
      </c>
      <c r="C374" s="673" t="s">
        <v>792</v>
      </c>
      <c r="D374" s="671" t="s">
        <v>1773</v>
      </c>
      <c r="E374" s="671" t="s">
        <v>18631</v>
      </c>
      <c r="F374" s="674" t="s">
        <v>19303</v>
      </c>
      <c r="G374" s="675" t="s">
        <v>18632</v>
      </c>
      <c r="H374" s="671" t="s">
        <v>19306</v>
      </c>
      <c r="I374" s="682" t="str">
        <f>HYPERLINK("https://www.google.com/maps/search/Angeiras%20Norte%20Matosinhos%20Norte%20Portugal","📍 Angeiras Norte")</f>
        <v>📍 Angeiras Norte</v>
      </c>
    </row>
    <row r="375" spans="1:9" ht="36" customHeight="1" x14ac:dyDescent="0.4">
      <c r="A375" s="678">
        <v>292</v>
      </c>
      <c r="B375" s="677" t="s">
        <v>19307</v>
      </c>
      <c r="C375" s="679" t="s">
        <v>792</v>
      </c>
      <c r="D375" s="677" t="s">
        <v>1773</v>
      </c>
      <c r="E375" s="677" t="s">
        <v>18631</v>
      </c>
      <c r="F375" s="680" t="s">
        <v>19303</v>
      </c>
      <c r="G375" s="681" t="s">
        <v>18632</v>
      </c>
      <c r="H375" s="677" t="s">
        <v>19308</v>
      </c>
      <c r="I375" s="683" t="str">
        <f>HYPERLINK("https://www.google.com/maps/search/Angeiras%20Sul%20Matosinhos%20Norte%20Portugal","📍 Angeiras Sul")</f>
        <v>📍 Angeiras Sul</v>
      </c>
    </row>
    <row r="376" spans="1:9" ht="36" customHeight="1" x14ac:dyDescent="0.4">
      <c r="A376" s="672">
        <v>293</v>
      </c>
      <c r="B376" s="671" t="s">
        <v>19309</v>
      </c>
      <c r="C376" s="673" t="s">
        <v>792</v>
      </c>
      <c r="D376" s="671" t="s">
        <v>1773</v>
      </c>
      <c r="E376" s="671" t="s">
        <v>18631</v>
      </c>
      <c r="F376" s="674" t="s">
        <v>19303</v>
      </c>
      <c r="G376" s="675" t="s">
        <v>18632</v>
      </c>
      <c r="H376" s="671" t="s">
        <v>19310</v>
      </c>
      <c r="I376" s="682" t="str">
        <f>HYPERLINK("https://www.google.com/maps/search/Aterro%20Matosinhos%20Norte%20Portugal","📍 Aterro")</f>
        <v>📍 Aterro</v>
      </c>
    </row>
    <row r="377" spans="1:9" ht="36" customHeight="1" x14ac:dyDescent="0.4">
      <c r="A377" s="678">
        <v>294</v>
      </c>
      <c r="B377" s="677" t="s">
        <v>19311</v>
      </c>
      <c r="C377" s="679" t="s">
        <v>792</v>
      </c>
      <c r="D377" s="677" t="s">
        <v>1773</v>
      </c>
      <c r="E377" s="677" t="s">
        <v>18631</v>
      </c>
      <c r="F377" s="680" t="s">
        <v>19303</v>
      </c>
      <c r="G377" s="681" t="s">
        <v>18632</v>
      </c>
      <c r="H377" s="677" t="s">
        <v>19312</v>
      </c>
      <c r="I377" s="683" t="str">
        <f>HYPERLINK("https://www.google.com/maps/search/Azul%20-%20Conchinha%20Matosinhos%20Norte%20Portugal","📍 Azul - Conchinha")</f>
        <v>📍 Azul - Conchinha</v>
      </c>
    </row>
    <row r="378" spans="1:9" ht="36" customHeight="1" x14ac:dyDescent="0.4">
      <c r="A378" s="672">
        <v>295</v>
      </c>
      <c r="B378" s="671" t="s">
        <v>19313</v>
      </c>
      <c r="C378" s="673" t="s">
        <v>792</v>
      </c>
      <c r="D378" s="671" t="s">
        <v>1773</v>
      </c>
      <c r="E378" s="671" t="s">
        <v>18631</v>
      </c>
      <c r="F378" s="674" t="s">
        <v>19303</v>
      </c>
      <c r="G378" s="675" t="s">
        <v>18632</v>
      </c>
      <c r="H378" s="671" t="s">
        <v>19314</v>
      </c>
      <c r="I378" s="682" t="str">
        <f>HYPERLINK("https://www.google.com/maps/search/Boa%20Nova%20-%20Senhora%20Matosinhos%20Norte%20Portugal","📍 Boa Nova - Senhora")</f>
        <v>📍 Boa Nova - Senhora</v>
      </c>
    </row>
    <row r="379" spans="1:9" ht="36" customHeight="1" x14ac:dyDescent="0.4">
      <c r="A379" s="678">
        <v>296</v>
      </c>
      <c r="B379" s="677" t="s">
        <v>19315</v>
      </c>
      <c r="C379" s="679" t="s">
        <v>792</v>
      </c>
      <c r="D379" s="677" t="s">
        <v>1773</v>
      </c>
      <c r="E379" s="677" t="s">
        <v>18631</v>
      </c>
      <c r="F379" s="680" t="s">
        <v>19303</v>
      </c>
      <c r="G379" s="681" t="s">
        <v>18632</v>
      </c>
      <c r="H379" s="677" t="s">
        <v>19316</v>
      </c>
      <c r="I379" s="683" t="str">
        <f>HYPERLINK("https://www.google.com/maps/search/Cabo%20do%20Mundo%20Matosinhos%20Norte%20Portugal","📍 Cabo do Mundo")</f>
        <v>📍 Cabo do Mundo</v>
      </c>
    </row>
    <row r="380" spans="1:9" ht="36" customHeight="1" x14ac:dyDescent="0.4">
      <c r="A380" s="672">
        <v>297</v>
      </c>
      <c r="B380" s="671" t="s">
        <v>19317</v>
      </c>
      <c r="C380" s="673" t="s">
        <v>792</v>
      </c>
      <c r="D380" s="671" t="s">
        <v>1773</v>
      </c>
      <c r="E380" s="671" t="s">
        <v>18631</v>
      </c>
      <c r="F380" s="674" t="s">
        <v>19303</v>
      </c>
      <c r="G380" s="675" t="s">
        <v>18632</v>
      </c>
      <c r="H380" s="671" t="s">
        <v>19318</v>
      </c>
      <c r="I380" s="682" t="str">
        <f>HYPERLINK("https://www.google.com/maps/search/Funt%C3%A3o%20Matosinhos%20Norte%20Portugal","📍 Funtão")</f>
        <v>📍 Funtão</v>
      </c>
    </row>
    <row r="381" spans="1:9" ht="36" customHeight="1" x14ac:dyDescent="0.4">
      <c r="A381" s="678">
        <v>298</v>
      </c>
      <c r="B381" s="677" t="s">
        <v>19319</v>
      </c>
      <c r="C381" s="679" t="s">
        <v>792</v>
      </c>
      <c r="D381" s="677" t="s">
        <v>1773</v>
      </c>
      <c r="E381" s="677" t="s">
        <v>18631</v>
      </c>
      <c r="F381" s="680" t="s">
        <v>19303</v>
      </c>
      <c r="G381" s="681" t="s">
        <v>18632</v>
      </c>
      <c r="H381" s="677" t="s">
        <v>19320</v>
      </c>
      <c r="I381" s="683" t="str">
        <f>HYPERLINK("https://www.google.com/maps/search/Fuzelhas%20Matosinhos%20Norte%20Portugal","📍 Fuzelhas")</f>
        <v>📍 Fuzelhas</v>
      </c>
    </row>
    <row r="382" spans="1:9" ht="36" customHeight="1" x14ac:dyDescent="0.4">
      <c r="A382" s="672">
        <v>299</v>
      </c>
      <c r="B382" s="671" t="s">
        <v>19321</v>
      </c>
      <c r="C382" s="673" t="s">
        <v>792</v>
      </c>
      <c r="D382" s="671" t="s">
        <v>1773</v>
      </c>
      <c r="E382" s="671" t="s">
        <v>18631</v>
      </c>
      <c r="F382" s="674" t="s">
        <v>19303</v>
      </c>
      <c r="G382" s="675" t="s">
        <v>18632</v>
      </c>
      <c r="H382" s="671" t="s">
        <v>19322</v>
      </c>
      <c r="I382" s="682" t="str">
        <f>HYPERLINK("https://www.google.com/maps/search/Le%C3%A7a%20da%20Palmeira%20Matosinhos%20Norte%20Portugal","📍 Leça da Palmeira")</f>
        <v>📍 Leça da Palmeira</v>
      </c>
    </row>
    <row r="383" spans="1:9" ht="36" customHeight="1" x14ac:dyDescent="0.4">
      <c r="A383" s="678">
        <v>300</v>
      </c>
      <c r="B383" s="677" t="s">
        <v>19323</v>
      </c>
      <c r="C383" s="679" t="s">
        <v>792</v>
      </c>
      <c r="D383" s="677" t="s">
        <v>1773</v>
      </c>
      <c r="E383" s="677" t="s">
        <v>18631</v>
      </c>
      <c r="F383" s="680" t="s">
        <v>19303</v>
      </c>
      <c r="G383" s="681" t="s">
        <v>18632</v>
      </c>
      <c r="H383" s="677" t="s">
        <v>19324</v>
      </c>
      <c r="I383" s="683" t="str">
        <f>HYPERLINK("https://www.google.com/maps/search/Marreco%20Matosinhos%20Norte%20Portugal","📍 Marreco")</f>
        <v>📍 Marreco</v>
      </c>
    </row>
    <row r="384" spans="1:9" ht="36" customHeight="1" x14ac:dyDescent="0.4">
      <c r="A384" s="672">
        <v>301</v>
      </c>
      <c r="B384" s="671" t="s">
        <v>19325</v>
      </c>
      <c r="C384" s="673" t="s">
        <v>792</v>
      </c>
      <c r="D384" s="671" t="s">
        <v>1773</v>
      </c>
      <c r="E384" s="671" t="s">
        <v>18631</v>
      </c>
      <c r="F384" s="674" t="s">
        <v>19303</v>
      </c>
      <c r="G384" s="675" t="s">
        <v>18632</v>
      </c>
      <c r="H384" s="671" t="s">
        <v>19326</v>
      </c>
      <c r="I384" s="682" t="str">
        <f>HYPERLINK("https://www.google.com/maps/search/Mem%C3%B3ria%20Matosinhos%20Norte%20Portugal","📍 Memória")</f>
        <v>📍 Memória</v>
      </c>
    </row>
    <row r="385" spans="1:9" ht="36" customHeight="1" x14ac:dyDescent="0.4">
      <c r="A385" s="678">
        <v>302</v>
      </c>
      <c r="B385" s="677" t="s">
        <v>19327</v>
      </c>
      <c r="C385" s="679" t="s">
        <v>792</v>
      </c>
      <c r="D385" s="677" t="s">
        <v>1773</v>
      </c>
      <c r="E385" s="677" t="s">
        <v>18631</v>
      </c>
      <c r="F385" s="680" t="s">
        <v>19303</v>
      </c>
      <c r="G385" s="681" t="s">
        <v>18632</v>
      </c>
      <c r="H385" s="677" t="s">
        <v>19328</v>
      </c>
      <c r="I385" s="683" t="str">
        <f>HYPERLINK("https://www.google.com/maps/search/Pedras%20Brancas%20Matosinhos%20Norte%20Portugal","📍 Pedras Brancas")</f>
        <v>📍 Pedras Brancas</v>
      </c>
    </row>
    <row r="386" spans="1:9" ht="36" customHeight="1" x14ac:dyDescent="0.4">
      <c r="A386" s="672">
        <v>303</v>
      </c>
      <c r="B386" s="671" t="s">
        <v>19329</v>
      </c>
      <c r="C386" s="673" t="s">
        <v>792</v>
      </c>
      <c r="D386" s="671" t="s">
        <v>1773</v>
      </c>
      <c r="E386" s="671" t="s">
        <v>18631</v>
      </c>
      <c r="F386" s="674" t="s">
        <v>19303</v>
      </c>
      <c r="G386" s="675" t="s">
        <v>18632</v>
      </c>
      <c r="H386" s="671" t="s">
        <v>19330</v>
      </c>
      <c r="I386" s="682" t="str">
        <f>HYPERLINK("https://www.google.com/maps/search/Pedras%20da%20Agudela%20Matosinhos%20Norte%20Portugal","📍 Pedras da Agudela")</f>
        <v>📍 Pedras da Agudela</v>
      </c>
    </row>
    <row r="387" spans="1:9" ht="36" customHeight="1" x14ac:dyDescent="0.4">
      <c r="A387" s="678">
        <v>304</v>
      </c>
      <c r="B387" s="677" t="s">
        <v>19331</v>
      </c>
      <c r="C387" s="679" t="s">
        <v>792</v>
      </c>
      <c r="D387" s="677" t="s">
        <v>1773</v>
      </c>
      <c r="E387" s="677" t="s">
        <v>18631</v>
      </c>
      <c r="F387" s="680" t="s">
        <v>19303</v>
      </c>
      <c r="G387" s="681" t="s">
        <v>18632</v>
      </c>
      <c r="H387" s="677" t="s">
        <v>19332</v>
      </c>
      <c r="I387" s="683" t="str">
        <f>HYPERLINK("https://www.google.com/maps/search/Pedras%20do%20Corgo%20Matosinhos%20Norte%20Portugal","📍 Pedras do Corgo")</f>
        <v>📍 Pedras do Corgo</v>
      </c>
    </row>
    <row r="388" spans="1:9" ht="36" customHeight="1" x14ac:dyDescent="0.4">
      <c r="A388" s="672">
        <v>305</v>
      </c>
      <c r="B388" s="671" t="s">
        <v>19333</v>
      </c>
      <c r="C388" s="673" t="s">
        <v>792</v>
      </c>
      <c r="D388" s="671" t="s">
        <v>1773</v>
      </c>
      <c r="E388" s="671" t="s">
        <v>18631</v>
      </c>
      <c r="F388" s="674" t="s">
        <v>19303</v>
      </c>
      <c r="G388" s="675" t="s">
        <v>18632</v>
      </c>
      <c r="H388" s="671" t="s">
        <v>19334</v>
      </c>
      <c r="I388" s="682" t="str">
        <f>HYPERLINK("https://www.google.com/maps/search/Praia%20de%20Beijinhos%20Matosinhos%20Norte%20Portugal","📍 Praia de Beijinhos")</f>
        <v>📍 Praia de Beijinhos</v>
      </c>
    </row>
    <row r="389" spans="1:9" ht="36" customHeight="1" x14ac:dyDescent="0.4">
      <c r="A389" s="678">
        <v>306</v>
      </c>
      <c r="B389" s="677" t="s">
        <v>19335</v>
      </c>
      <c r="C389" s="679" t="s">
        <v>792</v>
      </c>
      <c r="D389" s="677" t="s">
        <v>1773</v>
      </c>
      <c r="E389" s="677" t="s">
        <v>18631</v>
      </c>
      <c r="F389" s="680" t="s">
        <v>19303</v>
      </c>
      <c r="G389" s="681" t="s">
        <v>18632</v>
      </c>
      <c r="H389" s="677" t="s">
        <v>19336</v>
      </c>
      <c r="I389" s="683" t="str">
        <f>HYPERLINK("https://www.google.com/maps/search/Quebrada%20Matosinhos%20Norte%20Portugal","📍 Quebrada")</f>
        <v>📍 Quebrada</v>
      </c>
    </row>
    <row r="390" spans="1:9" ht="20" customHeight="1" x14ac:dyDescent="0.45">
      <c r="A390" s="1595" t="s">
        <v>19254</v>
      </c>
      <c r="B390" s="1313"/>
      <c r="C390" s="1313"/>
      <c r="D390" s="1313"/>
      <c r="E390" s="1313"/>
      <c r="F390" s="1313"/>
      <c r="G390" s="1313"/>
      <c r="H390" s="1313"/>
      <c r="I390" s="1313"/>
    </row>
    <row r="391" spans="1:9" ht="36" customHeight="1" x14ac:dyDescent="0.4">
      <c r="A391" s="672">
        <v>307</v>
      </c>
      <c r="B391" s="671" t="s">
        <v>19337</v>
      </c>
      <c r="C391" s="673" t="s">
        <v>792</v>
      </c>
      <c r="D391" s="671" t="s">
        <v>1776</v>
      </c>
      <c r="E391" s="671" t="s">
        <v>1482</v>
      </c>
      <c r="F391" s="674" t="s">
        <v>19338</v>
      </c>
      <c r="G391" s="675" t="s">
        <v>18632</v>
      </c>
      <c r="H391" s="671" t="s">
        <v>19339</v>
      </c>
      <c r="I391" s="682" t="str">
        <f>HYPERLINK("https://www.google.com/maps/search/Praia%20Arquiteto%20Albino%20Mendo%20Mirandela%20Norte%20Portugal","📍 Praia Arquiteto Albino Mendo")</f>
        <v>📍 Praia Arquiteto Albino Mendo</v>
      </c>
    </row>
    <row r="392" spans="1:9" ht="20" customHeight="1" x14ac:dyDescent="0.45">
      <c r="A392" s="1595" t="s">
        <v>19255</v>
      </c>
      <c r="B392" s="1313"/>
      <c r="C392" s="1313"/>
      <c r="D392" s="1313"/>
      <c r="E392" s="1313"/>
      <c r="F392" s="1313"/>
      <c r="G392" s="1313"/>
      <c r="H392" s="1313"/>
      <c r="I392" s="1313"/>
    </row>
    <row r="393" spans="1:9" ht="36" customHeight="1" x14ac:dyDescent="0.4">
      <c r="A393" s="678">
        <v>308</v>
      </c>
      <c r="B393" s="677" t="s">
        <v>10866</v>
      </c>
      <c r="C393" s="679" t="s">
        <v>792</v>
      </c>
      <c r="D393" s="677" t="s">
        <v>3082</v>
      </c>
      <c r="E393" s="677" t="s">
        <v>18631</v>
      </c>
      <c r="F393" s="680" t="s">
        <v>19303</v>
      </c>
      <c r="G393" s="681" t="s">
        <v>18632</v>
      </c>
      <c r="H393" s="677" t="s">
        <v>19340</v>
      </c>
      <c r="I393" s="683" t="str">
        <f>HYPERLINK("https://www.google.com/maps/search/Aqu%C3%A1rio%20Porto%20Norte%20Portugal","📍 Aquário")</f>
        <v>📍 Aquário</v>
      </c>
    </row>
    <row r="394" spans="1:9" ht="36" customHeight="1" x14ac:dyDescent="0.4">
      <c r="A394" s="672">
        <v>309</v>
      </c>
      <c r="B394" s="671" t="s">
        <v>19341</v>
      </c>
      <c r="C394" s="673" t="s">
        <v>792</v>
      </c>
      <c r="D394" s="671" t="s">
        <v>3082</v>
      </c>
      <c r="E394" s="671" t="s">
        <v>18631</v>
      </c>
      <c r="F394" s="674" t="s">
        <v>19342</v>
      </c>
      <c r="G394" s="675" t="s">
        <v>18632</v>
      </c>
      <c r="H394" s="671" t="s">
        <v>19343</v>
      </c>
      <c r="I394" s="682" t="str">
        <f>HYPERLINK("https://www.google.com/maps/search/Foz%20Porto%20Norte%20Portugal","📍 Foz")</f>
        <v>📍 Foz</v>
      </c>
    </row>
    <row r="395" spans="1:9" ht="36" customHeight="1" x14ac:dyDescent="0.4">
      <c r="A395" s="678">
        <v>310</v>
      </c>
      <c r="B395" s="677" t="s">
        <v>19344</v>
      </c>
      <c r="C395" s="679" t="s">
        <v>792</v>
      </c>
      <c r="D395" s="677" t="s">
        <v>3082</v>
      </c>
      <c r="E395" s="677" t="s">
        <v>18631</v>
      </c>
      <c r="F395" s="680" t="s">
        <v>19342</v>
      </c>
      <c r="G395" s="681" t="s">
        <v>18632</v>
      </c>
      <c r="H395" s="677" t="s">
        <v>19345</v>
      </c>
      <c r="I395" s="683" t="str">
        <f>HYPERLINK("https://www.google.com/maps/search/Gondar%C3%A9m%20Porto%20Norte%20Portugal","📍 Gondarém")</f>
        <v>📍 Gondarém</v>
      </c>
    </row>
    <row r="396" spans="1:9" ht="36" customHeight="1" x14ac:dyDescent="0.4">
      <c r="A396" s="672">
        <v>311</v>
      </c>
      <c r="B396" s="671" t="s">
        <v>19346</v>
      </c>
      <c r="C396" s="673" t="s">
        <v>792</v>
      </c>
      <c r="D396" s="671" t="s">
        <v>3082</v>
      </c>
      <c r="E396" s="671" t="s">
        <v>18631</v>
      </c>
      <c r="F396" s="674" t="s">
        <v>19342</v>
      </c>
      <c r="G396" s="675" t="s">
        <v>18632</v>
      </c>
      <c r="H396" s="671" t="s">
        <v>19347</v>
      </c>
      <c r="I396" s="682" t="str">
        <f>HYPERLINK("https://www.google.com/maps/search/Homem%20do%20Leme%20Porto%20Norte%20Portugal","📍 Homem do Leme")</f>
        <v>📍 Homem do Leme</v>
      </c>
    </row>
    <row r="397" spans="1:9" ht="20" customHeight="1" x14ac:dyDescent="0.45">
      <c r="A397" s="1595" t="s">
        <v>19256</v>
      </c>
      <c r="B397" s="1313"/>
      <c r="C397" s="1313"/>
      <c r="D397" s="1313"/>
      <c r="E397" s="1313"/>
      <c r="F397" s="1313"/>
      <c r="G397" s="1313"/>
      <c r="H397" s="1313"/>
      <c r="I397" s="1313"/>
    </row>
    <row r="398" spans="1:9" ht="36" customHeight="1" x14ac:dyDescent="0.4">
      <c r="A398" s="678">
        <v>312</v>
      </c>
      <c r="B398" s="677" t="s">
        <v>19348</v>
      </c>
      <c r="C398" s="679" t="s">
        <v>792</v>
      </c>
      <c r="D398" s="677" t="s">
        <v>4641</v>
      </c>
      <c r="E398" s="677" t="s">
        <v>18631</v>
      </c>
      <c r="F398" s="680" t="s">
        <v>19282</v>
      </c>
      <c r="G398" s="681" t="s">
        <v>18632</v>
      </c>
      <c r="H398" s="677" t="s">
        <v>19349</v>
      </c>
      <c r="I398" s="683" t="str">
        <f>HYPERLINK("https://www.google.com/maps/search/Estela%20-%20Barranha%20P%C3%B3voa%20de%20Varzim%20Norte%20Portugal","📍 Estela - Barranha")</f>
        <v>📍 Estela - Barranha</v>
      </c>
    </row>
    <row r="399" spans="1:9" ht="36" customHeight="1" x14ac:dyDescent="0.4">
      <c r="A399" s="672">
        <v>313</v>
      </c>
      <c r="B399" s="671" t="s">
        <v>19350</v>
      </c>
      <c r="C399" s="673" t="s">
        <v>792</v>
      </c>
      <c r="D399" s="671" t="s">
        <v>4641</v>
      </c>
      <c r="E399" s="671" t="s">
        <v>18631</v>
      </c>
      <c r="F399" s="674" t="s">
        <v>19282</v>
      </c>
      <c r="G399" s="675" t="s">
        <v>18632</v>
      </c>
      <c r="H399" s="671" t="s">
        <v>19351</v>
      </c>
      <c r="I399" s="682" t="str">
        <f>HYPERLINK("https://www.google.com/maps/search/Fragosa%20P%C3%B3voa%20de%20Varzim%20Norte%20Portugal","📍 Fragosa")</f>
        <v>📍 Fragosa</v>
      </c>
    </row>
    <row r="400" spans="1:9" ht="36" customHeight="1" x14ac:dyDescent="0.4">
      <c r="A400" s="678">
        <v>314</v>
      </c>
      <c r="B400" s="677" t="s">
        <v>2190</v>
      </c>
      <c r="C400" s="679" t="s">
        <v>792</v>
      </c>
      <c r="D400" s="677" t="s">
        <v>4641</v>
      </c>
      <c r="E400" s="677" t="s">
        <v>18631</v>
      </c>
      <c r="F400" s="680" t="s">
        <v>19282</v>
      </c>
      <c r="G400" s="681" t="s">
        <v>18632</v>
      </c>
      <c r="H400" s="677" t="s">
        <v>19352</v>
      </c>
      <c r="I400" s="683" t="str">
        <f>HYPERLINK("https://www.google.com/maps/search/Lagoa%20P%C3%B3voa%20de%20Varzim%20Norte%20Portugal","📍 Lagoa")</f>
        <v>📍 Lagoa</v>
      </c>
    </row>
    <row r="401" spans="1:9" ht="36" customHeight="1" x14ac:dyDescent="0.4">
      <c r="A401" s="672">
        <v>315</v>
      </c>
      <c r="B401" s="671" t="s">
        <v>19353</v>
      </c>
      <c r="C401" s="673" t="s">
        <v>792</v>
      </c>
      <c r="D401" s="671" t="s">
        <v>4641</v>
      </c>
      <c r="E401" s="671" t="s">
        <v>18631</v>
      </c>
      <c r="F401" s="674" t="s">
        <v>19282</v>
      </c>
      <c r="G401" s="675" t="s">
        <v>18632</v>
      </c>
      <c r="H401" s="671" t="s">
        <v>19354</v>
      </c>
      <c r="I401" s="682" t="str">
        <f>HYPERLINK("https://www.google.com/maps/search/Paim%C3%B3%20P%C3%B3voa%20de%20Varzim%20Norte%20Portugal","📍 Paimó")</f>
        <v>📍 Paimó</v>
      </c>
    </row>
    <row r="402" spans="1:9" ht="36" customHeight="1" x14ac:dyDescent="0.4">
      <c r="A402" s="678">
        <v>316</v>
      </c>
      <c r="B402" s="677" t="s">
        <v>19355</v>
      </c>
      <c r="C402" s="679" t="s">
        <v>792</v>
      </c>
      <c r="D402" s="677" t="s">
        <v>4641</v>
      </c>
      <c r="E402" s="677" t="s">
        <v>18631</v>
      </c>
      <c r="F402" s="680" t="s">
        <v>19282</v>
      </c>
      <c r="G402" s="681" t="s">
        <v>18632</v>
      </c>
      <c r="H402" s="677" t="s">
        <v>19356</v>
      </c>
      <c r="I402" s="683" t="str">
        <f>HYPERLINK("https://www.google.com/maps/search/Qui%C3%A3o%20P%C3%B3voa%20de%20Varzim%20Norte%20Portugal","📍 Quião")</f>
        <v>📍 Quião</v>
      </c>
    </row>
    <row r="403" spans="1:9" ht="36" customHeight="1" x14ac:dyDescent="0.4">
      <c r="A403" s="672">
        <v>317</v>
      </c>
      <c r="B403" s="671" t="s">
        <v>19357</v>
      </c>
      <c r="C403" s="673" t="s">
        <v>792</v>
      </c>
      <c r="D403" s="671" t="s">
        <v>4641</v>
      </c>
      <c r="E403" s="671" t="s">
        <v>18631</v>
      </c>
      <c r="F403" s="674" t="s">
        <v>19282</v>
      </c>
      <c r="G403" s="675" t="s">
        <v>18632</v>
      </c>
      <c r="H403" s="671" t="s">
        <v>19358</v>
      </c>
      <c r="I403" s="682" t="str">
        <f>HYPERLINK("https://www.google.com/maps/search/Zona%20Urbana%20-%20Norte%20P%C3%B3voa%20de%20Varzim%20Norte%20Portugal","📍 Zona Urbana - Norte")</f>
        <v>📍 Zona Urbana - Norte</v>
      </c>
    </row>
    <row r="404" spans="1:9" ht="36" customHeight="1" x14ac:dyDescent="0.4">
      <c r="A404" s="678">
        <v>318</v>
      </c>
      <c r="B404" s="677" t="s">
        <v>19359</v>
      </c>
      <c r="C404" s="679" t="s">
        <v>792</v>
      </c>
      <c r="D404" s="677" t="s">
        <v>4641</v>
      </c>
      <c r="E404" s="677" t="s">
        <v>18631</v>
      </c>
      <c r="F404" s="680" t="s">
        <v>19282</v>
      </c>
      <c r="G404" s="681" t="s">
        <v>18632</v>
      </c>
      <c r="H404" s="677" t="s">
        <v>19360</v>
      </c>
      <c r="I404" s="683" t="str">
        <f>HYPERLINK("https://www.google.com/maps/search/Zona%20Urbana%20Sul%20I%20P%C3%B3voa%20de%20Varzim%20Norte%20Portugal","📍 Zona Urbana Sul I")</f>
        <v>📍 Zona Urbana Sul I</v>
      </c>
    </row>
    <row r="405" spans="1:9" ht="36" customHeight="1" x14ac:dyDescent="0.4">
      <c r="A405" s="672">
        <v>319</v>
      </c>
      <c r="B405" s="671" t="s">
        <v>19361</v>
      </c>
      <c r="C405" s="673" t="s">
        <v>792</v>
      </c>
      <c r="D405" s="671" t="s">
        <v>4641</v>
      </c>
      <c r="E405" s="671" t="s">
        <v>18631</v>
      </c>
      <c r="F405" s="674" t="s">
        <v>19282</v>
      </c>
      <c r="G405" s="675" t="s">
        <v>18632</v>
      </c>
      <c r="H405" s="671" t="s">
        <v>19362</v>
      </c>
      <c r="I405" s="682" t="str">
        <f>HYPERLINK("https://www.google.com/maps/search/Zona%20Urbana%20Sul%20II%20P%C3%B3voa%20de%20Varzim%20Norte%20Portugal","📍 Zona Urbana Sul II")</f>
        <v>📍 Zona Urbana Sul II</v>
      </c>
    </row>
    <row r="406" spans="1:9" ht="20" customHeight="1" x14ac:dyDescent="0.45">
      <c r="A406" s="1595" t="s">
        <v>19257</v>
      </c>
      <c r="B406" s="1313"/>
      <c r="C406" s="1313"/>
      <c r="D406" s="1313"/>
      <c r="E406" s="1313"/>
      <c r="F406" s="1313"/>
      <c r="G406" s="1313"/>
      <c r="H406" s="1313"/>
      <c r="I406" s="1313"/>
    </row>
    <row r="407" spans="1:9" ht="36" customHeight="1" x14ac:dyDescent="0.4">
      <c r="A407" s="678">
        <v>320</v>
      </c>
      <c r="B407" s="677" t="s">
        <v>8082</v>
      </c>
      <c r="C407" s="679" t="s">
        <v>792</v>
      </c>
      <c r="D407" s="677" t="s">
        <v>1149</v>
      </c>
      <c r="E407" s="677" t="s">
        <v>18631</v>
      </c>
      <c r="F407" s="680" t="s">
        <v>2407</v>
      </c>
      <c r="G407" s="681" t="s">
        <v>18632</v>
      </c>
      <c r="H407" s="677" t="s">
        <v>19363</v>
      </c>
      <c r="I407" s="683" t="str">
        <f>HYPERLINK("https://www.google.com/maps/search/Afife%20Viana%20do%20Castelo%20Norte%20Portugal","📍 Afife")</f>
        <v>📍 Afife</v>
      </c>
    </row>
    <row r="408" spans="1:9" ht="36" customHeight="1" x14ac:dyDescent="0.4">
      <c r="A408" s="672">
        <v>321</v>
      </c>
      <c r="B408" s="671" t="s">
        <v>19364</v>
      </c>
      <c r="C408" s="673" t="s">
        <v>792</v>
      </c>
      <c r="D408" s="671" t="s">
        <v>1149</v>
      </c>
      <c r="E408" s="671" t="s">
        <v>18631</v>
      </c>
      <c r="F408" s="674" t="s">
        <v>2407</v>
      </c>
      <c r="G408" s="675" t="s">
        <v>18632</v>
      </c>
      <c r="H408" s="671" t="s">
        <v>19365</v>
      </c>
      <c r="I408" s="682" t="str">
        <f>HYPERLINK("https://www.google.com/maps/search/Amorosa%20Norte%20Viana%20do%20Castelo%20Norte%20Portugal","📍 Amorosa Norte")</f>
        <v>📍 Amorosa Norte</v>
      </c>
    </row>
    <row r="409" spans="1:9" ht="36" customHeight="1" x14ac:dyDescent="0.4">
      <c r="A409" s="678">
        <v>322</v>
      </c>
      <c r="B409" s="677" t="s">
        <v>19366</v>
      </c>
      <c r="C409" s="679" t="s">
        <v>792</v>
      </c>
      <c r="D409" s="677" t="s">
        <v>1149</v>
      </c>
      <c r="E409" s="677" t="s">
        <v>18631</v>
      </c>
      <c r="F409" s="680" t="s">
        <v>2407</v>
      </c>
      <c r="G409" s="681" t="s">
        <v>18632</v>
      </c>
      <c r="H409" s="677" t="s">
        <v>19367</v>
      </c>
      <c r="I409" s="683" t="str">
        <f>HYPERLINK("https://www.google.com/maps/search/Amorosa%20Sul%20Viana%20do%20Castelo%20Norte%20Portugal","📍 Amorosa Sul")</f>
        <v>📍 Amorosa Sul</v>
      </c>
    </row>
    <row r="410" spans="1:9" ht="36" customHeight="1" x14ac:dyDescent="0.4">
      <c r="A410" s="672">
        <v>323</v>
      </c>
      <c r="B410" s="671" t="s">
        <v>19368</v>
      </c>
      <c r="C410" s="673" t="s">
        <v>792</v>
      </c>
      <c r="D410" s="671" t="s">
        <v>1149</v>
      </c>
      <c r="E410" s="671" t="s">
        <v>18631</v>
      </c>
      <c r="F410" s="674" t="s">
        <v>2407</v>
      </c>
      <c r="G410" s="675" t="s">
        <v>18632</v>
      </c>
      <c r="H410" s="671" t="s">
        <v>19369</v>
      </c>
      <c r="I410" s="682" t="str">
        <f>HYPERLINK("https://www.google.com/maps/search/Arda%20Viana%20do%20Castelo%20Norte%20Portugal","📍 Arda")</f>
        <v>📍 Arda</v>
      </c>
    </row>
    <row r="411" spans="1:9" ht="36" customHeight="1" x14ac:dyDescent="0.4">
      <c r="A411" s="678">
        <v>324</v>
      </c>
      <c r="B411" s="677" t="s">
        <v>19370</v>
      </c>
      <c r="C411" s="679" t="s">
        <v>792</v>
      </c>
      <c r="D411" s="677" t="s">
        <v>1149</v>
      </c>
      <c r="E411" s="677" t="s">
        <v>18631</v>
      </c>
      <c r="F411" s="680" t="s">
        <v>19371</v>
      </c>
      <c r="G411" s="681" t="s">
        <v>18632</v>
      </c>
      <c r="H411" s="677" t="s">
        <v>19372</v>
      </c>
      <c r="I411" s="683" t="str">
        <f>HYPERLINK("https://www.google.com/maps/search/Cabedelo%20Viana%20do%20Castelo%20Norte%20Portugal","📍 Cabedelo")</f>
        <v>📍 Cabedelo</v>
      </c>
    </row>
    <row r="412" spans="1:9" ht="36" customHeight="1" x14ac:dyDescent="0.4">
      <c r="A412" s="672">
        <v>325</v>
      </c>
      <c r="B412" s="671" t="s">
        <v>19373</v>
      </c>
      <c r="C412" s="673" t="s">
        <v>792</v>
      </c>
      <c r="D412" s="671" t="s">
        <v>1149</v>
      </c>
      <c r="E412" s="671" t="s">
        <v>18631</v>
      </c>
      <c r="F412" s="674" t="s">
        <v>2407</v>
      </c>
      <c r="G412" s="675" t="s">
        <v>18632</v>
      </c>
      <c r="H412" s="671" t="s">
        <v>19374</v>
      </c>
      <c r="I412" s="682" t="str">
        <f>HYPERLINK("https://www.google.com/maps/search/Carre%C3%A7o%20Viana%20do%20Castelo%20Norte%20Portugal","📍 Carreço")</f>
        <v>📍 Carreço</v>
      </c>
    </row>
    <row r="413" spans="1:9" ht="36" customHeight="1" x14ac:dyDescent="0.4">
      <c r="A413" s="678">
        <v>326</v>
      </c>
      <c r="B413" s="677" t="s">
        <v>19375</v>
      </c>
      <c r="C413" s="679" t="s">
        <v>792</v>
      </c>
      <c r="D413" s="677" t="s">
        <v>1149</v>
      </c>
      <c r="E413" s="677" t="s">
        <v>18631</v>
      </c>
      <c r="F413" s="680" t="s">
        <v>2407</v>
      </c>
      <c r="G413" s="681" t="s">
        <v>18632</v>
      </c>
      <c r="H413" s="677" t="s">
        <v>19376</v>
      </c>
      <c r="I413" s="683" t="str">
        <f>HYPERLINK("https://www.google.com/maps/search/Castelo%20de%20Neiva%20Viana%20do%20Castelo%20Norte%20Portugal","📍 Castelo de Neiva")</f>
        <v>📍 Castelo de Neiva</v>
      </c>
    </row>
    <row r="414" spans="1:9" ht="36" customHeight="1" x14ac:dyDescent="0.4">
      <c r="A414" s="672">
        <v>327</v>
      </c>
      <c r="B414" s="671" t="s">
        <v>19377</v>
      </c>
      <c r="C414" s="673" t="s">
        <v>792</v>
      </c>
      <c r="D414" s="671" t="s">
        <v>1149</v>
      </c>
      <c r="E414" s="671" t="s">
        <v>18631</v>
      </c>
      <c r="F414" s="674" t="s">
        <v>2407</v>
      </c>
      <c r="G414" s="675" t="s">
        <v>18632</v>
      </c>
      <c r="H414" s="671" t="s">
        <v>19378</v>
      </c>
      <c r="I414" s="682" t="str">
        <f>HYPERLINK("https://www.google.com/maps/search/Insua%20Viana%20do%20Castelo%20Norte%20Portugal","📍 Insua")</f>
        <v>📍 Insua</v>
      </c>
    </row>
    <row r="415" spans="1:9" ht="36" customHeight="1" x14ac:dyDescent="0.4">
      <c r="A415" s="678">
        <v>328</v>
      </c>
      <c r="B415" s="677" t="s">
        <v>19379</v>
      </c>
      <c r="C415" s="679" t="s">
        <v>792</v>
      </c>
      <c r="D415" s="677" t="s">
        <v>1149</v>
      </c>
      <c r="E415" s="677" t="s">
        <v>18631</v>
      </c>
      <c r="F415" s="680" t="s">
        <v>2407</v>
      </c>
      <c r="G415" s="681" t="s">
        <v>18632</v>
      </c>
      <c r="H415" s="677" t="s">
        <v>19380</v>
      </c>
      <c r="I415" s="683" t="str">
        <f>HYPERLINK("https://www.google.com/maps/search/Luziamar%20Viana%20do%20Castelo%20Norte%20Portugal","📍 Luziamar")</f>
        <v>📍 Luziamar</v>
      </c>
    </row>
    <row r="416" spans="1:9" ht="36" customHeight="1" x14ac:dyDescent="0.4">
      <c r="A416" s="672">
        <v>329</v>
      </c>
      <c r="B416" s="671" t="s">
        <v>792</v>
      </c>
      <c r="C416" s="673" t="s">
        <v>792</v>
      </c>
      <c r="D416" s="671" t="s">
        <v>1149</v>
      </c>
      <c r="E416" s="671" t="s">
        <v>18631</v>
      </c>
      <c r="F416" s="674" t="s">
        <v>2407</v>
      </c>
      <c r="G416" s="675" t="s">
        <v>18632</v>
      </c>
      <c r="H416" s="671" t="s">
        <v>19381</v>
      </c>
      <c r="I416" s="682" t="str">
        <f>HYPERLINK("https://www.google.com/maps/search/Norte%20Viana%20do%20Castelo%20Norte%20Portugal","📍 Norte")</f>
        <v>📍 Norte</v>
      </c>
    </row>
    <row r="417" spans="1:9" ht="36" customHeight="1" x14ac:dyDescent="0.4">
      <c r="A417" s="678">
        <v>330</v>
      </c>
      <c r="B417" s="677" t="s">
        <v>19382</v>
      </c>
      <c r="C417" s="679" t="s">
        <v>792</v>
      </c>
      <c r="D417" s="677" t="s">
        <v>1149</v>
      </c>
      <c r="E417" s="677" t="s">
        <v>18631</v>
      </c>
      <c r="F417" s="680" t="s">
        <v>2407</v>
      </c>
      <c r="G417" s="681" t="s">
        <v>18632</v>
      </c>
      <c r="H417" s="677" t="s">
        <v>19383</v>
      </c>
      <c r="I417" s="683" t="str">
        <f>HYPERLINK("https://www.google.com/maps/search/Pa%C3%A7%C3%B4%20Viana%20do%20Castelo%20Norte%20Portugal","📍 Paçô")</f>
        <v>📍 Paçô</v>
      </c>
    </row>
    <row r="418" spans="1:9" ht="20" customHeight="1" x14ac:dyDescent="0.45">
      <c r="A418" s="1595" t="s">
        <v>19258</v>
      </c>
      <c r="B418" s="1313"/>
      <c r="C418" s="1313"/>
      <c r="D418" s="1313"/>
      <c r="E418" s="1313"/>
      <c r="F418" s="1313"/>
      <c r="G418" s="1313"/>
      <c r="H418" s="1313"/>
      <c r="I418" s="1313"/>
    </row>
    <row r="419" spans="1:9" ht="36" customHeight="1" x14ac:dyDescent="0.4">
      <c r="A419" s="672">
        <v>331</v>
      </c>
      <c r="B419" s="671" t="s">
        <v>19384</v>
      </c>
      <c r="C419" s="673" t="s">
        <v>792</v>
      </c>
      <c r="D419" s="671" t="s">
        <v>4648</v>
      </c>
      <c r="E419" s="671" t="s">
        <v>18631</v>
      </c>
      <c r="F419" s="674" t="s">
        <v>19275</v>
      </c>
      <c r="G419" s="675" t="s">
        <v>18632</v>
      </c>
      <c r="H419" s="671" t="s">
        <v>19385</v>
      </c>
      <c r="I419" s="682" t="str">
        <f>HYPERLINK("https://www.google.com/maps/search/Frente%20Urbana%20Norte%20Vila%20do%20Conde%20Norte%20Portugal","📍 Frente Urbana Norte")</f>
        <v>📍 Frente Urbana Norte</v>
      </c>
    </row>
    <row r="420" spans="1:9" ht="36" customHeight="1" x14ac:dyDescent="0.4">
      <c r="A420" s="678">
        <v>332</v>
      </c>
      <c r="B420" s="677" t="s">
        <v>19386</v>
      </c>
      <c r="C420" s="679" t="s">
        <v>792</v>
      </c>
      <c r="D420" s="677" t="s">
        <v>4648</v>
      </c>
      <c r="E420" s="677" t="s">
        <v>18631</v>
      </c>
      <c r="F420" s="680" t="s">
        <v>19275</v>
      </c>
      <c r="G420" s="681" t="s">
        <v>18632</v>
      </c>
      <c r="H420" s="677" t="s">
        <v>19387</v>
      </c>
      <c r="I420" s="683" t="str">
        <f>HYPERLINK("https://www.google.com/maps/search/Frente%20Urbana%20Sul%20Vila%20do%20Conde%20Norte%20Portugal","📍 Frente Urbana Sul")</f>
        <v>📍 Frente Urbana Sul</v>
      </c>
    </row>
    <row r="421" spans="1:9" ht="36" customHeight="1" x14ac:dyDescent="0.4">
      <c r="A421" s="672">
        <v>333</v>
      </c>
      <c r="B421" s="671" t="s">
        <v>19388</v>
      </c>
      <c r="C421" s="673" t="s">
        <v>792</v>
      </c>
      <c r="D421" s="671" t="s">
        <v>4648</v>
      </c>
      <c r="E421" s="671" t="s">
        <v>18631</v>
      </c>
      <c r="F421" s="674" t="s">
        <v>19275</v>
      </c>
      <c r="G421" s="675" t="s">
        <v>18632</v>
      </c>
      <c r="H421" s="671" t="s">
        <v>19389</v>
      </c>
      <c r="I421" s="682" t="str">
        <f>HYPERLINK("https://www.google.com/maps/search/Labruge%20Vila%20do%20Conde%20Norte%20Portugal","📍 Labruge")</f>
        <v>📍 Labruge</v>
      </c>
    </row>
    <row r="422" spans="1:9" ht="36" customHeight="1" x14ac:dyDescent="0.4">
      <c r="A422" s="678">
        <v>334</v>
      </c>
      <c r="B422" s="677" t="s">
        <v>19390</v>
      </c>
      <c r="C422" s="679" t="s">
        <v>792</v>
      </c>
      <c r="D422" s="677" t="s">
        <v>4648</v>
      </c>
      <c r="E422" s="677" t="s">
        <v>18631</v>
      </c>
      <c r="F422" s="680" t="s">
        <v>19275</v>
      </c>
      <c r="G422" s="681" t="s">
        <v>18632</v>
      </c>
      <c r="H422" s="677" t="s">
        <v>19391</v>
      </c>
      <c r="I422" s="683" t="str">
        <f>HYPERLINK("https://www.google.com/maps/search/Mindelo%20Vila%20do%20Conde%20Norte%20Portugal","📍 Mindelo")</f>
        <v>📍 Mindelo</v>
      </c>
    </row>
    <row r="423" spans="1:9" ht="36" customHeight="1" x14ac:dyDescent="0.4">
      <c r="A423" s="672">
        <v>335</v>
      </c>
      <c r="B423" s="671" t="s">
        <v>19392</v>
      </c>
      <c r="C423" s="673" t="s">
        <v>792</v>
      </c>
      <c r="D423" s="671" t="s">
        <v>4648</v>
      </c>
      <c r="E423" s="671" t="s">
        <v>18631</v>
      </c>
      <c r="F423" s="674" t="s">
        <v>19275</v>
      </c>
      <c r="G423" s="675" t="s">
        <v>18632</v>
      </c>
      <c r="H423" s="671" t="s">
        <v>19393</v>
      </c>
      <c r="I423" s="682" t="str">
        <f>HYPERLINK("https://www.google.com/maps/search/Vila%20Ch%C3%A3%20Vila%20do%20Conde%20Norte%20Portugal","📍 Vila Chã")</f>
        <v>📍 Vila Chã</v>
      </c>
    </row>
    <row r="424" spans="1:9" ht="20" customHeight="1" x14ac:dyDescent="0.45">
      <c r="A424" s="1595" t="s">
        <v>19259</v>
      </c>
      <c r="B424" s="1313"/>
      <c r="C424" s="1313"/>
      <c r="D424" s="1313"/>
      <c r="E424" s="1313"/>
      <c r="F424" s="1313"/>
      <c r="G424" s="1313"/>
      <c r="H424" s="1313"/>
      <c r="I424" s="1313"/>
    </row>
    <row r="425" spans="1:9" ht="36" customHeight="1" x14ac:dyDescent="0.4">
      <c r="A425" s="678">
        <v>336</v>
      </c>
      <c r="B425" s="677" t="s">
        <v>19394</v>
      </c>
      <c r="C425" s="679" t="s">
        <v>792</v>
      </c>
      <c r="D425" s="677" t="s">
        <v>8300</v>
      </c>
      <c r="E425" s="677" t="s">
        <v>18631</v>
      </c>
      <c r="F425" s="680" t="s">
        <v>19395</v>
      </c>
      <c r="G425" s="681" t="s">
        <v>18632</v>
      </c>
      <c r="H425" s="677" t="s">
        <v>19396</v>
      </c>
      <c r="I425" s="683" t="str">
        <f>HYPERLINK("https://www.google.com/maps/search/Aguda%20Vila%20Nova%20de%20Gaia%20Norte%20Portugal","📍 Aguda")</f>
        <v>📍 Aguda</v>
      </c>
    </row>
    <row r="426" spans="1:9" ht="36" customHeight="1" x14ac:dyDescent="0.4">
      <c r="A426" s="672">
        <v>337</v>
      </c>
      <c r="B426" s="671" t="s">
        <v>19397</v>
      </c>
      <c r="C426" s="673" t="s">
        <v>792</v>
      </c>
      <c r="D426" s="671" t="s">
        <v>8300</v>
      </c>
      <c r="E426" s="671" t="s">
        <v>18631</v>
      </c>
      <c r="F426" s="674" t="s">
        <v>19395</v>
      </c>
      <c r="G426" s="675" t="s">
        <v>18632</v>
      </c>
      <c r="H426" s="671" t="s">
        <v>19398</v>
      </c>
      <c r="I426" s="682" t="str">
        <f>HYPERLINK("https://www.google.com/maps/search/Canide-Norte%20Vila%20Nova%20de%20Gaia%20Norte%20Portugal","📍 Canide-Norte")</f>
        <v>📍 Canide-Norte</v>
      </c>
    </row>
    <row r="427" spans="1:9" ht="36" customHeight="1" x14ac:dyDescent="0.4">
      <c r="A427" s="678">
        <v>338</v>
      </c>
      <c r="B427" s="677" t="s">
        <v>19399</v>
      </c>
      <c r="C427" s="679" t="s">
        <v>792</v>
      </c>
      <c r="D427" s="677" t="s">
        <v>8300</v>
      </c>
      <c r="E427" s="677" t="s">
        <v>18631</v>
      </c>
      <c r="F427" s="680" t="s">
        <v>19395</v>
      </c>
      <c r="G427" s="681" t="s">
        <v>18632</v>
      </c>
      <c r="H427" s="677" t="s">
        <v>19400</v>
      </c>
      <c r="I427" s="683" t="str">
        <f>HYPERLINK("https://www.google.com/maps/search/Canide-Sul%20Vila%20Nova%20de%20Gaia%20Norte%20Portugal","📍 Canide-Sul")</f>
        <v>📍 Canide-Sul</v>
      </c>
    </row>
    <row r="428" spans="1:9" ht="36" customHeight="1" x14ac:dyDescent="0.4">
      <c r="A428" s="672">
        <v>339</v>
      </c>
      <c r="B428" s="671" t="s">
        <v>19401</v>
      </c>
      <c r="C428" s="673" t="s">
        <v>792</v>
      </c>
      <c r="D428" s="671" t="s">
        <v>8300</v>
      </c>
      <c r="E428" s="671" t="s">
        <v>18631</v>
      </c>
      <c r="F428" s="674" t="s">
        <v>19395</v>
      </c>
      <c r="G428" s="675" t="s">
        <v>18632</v>
      </c>
      <c r="H428" s="671" t="s">
        <v>19402</v>
      </c>
      <c r="I428" s="682" t="str">
        <f>HYPERLINK("https://www.google.com/maps/search/Dunas%20Mar%20Vila%20Nova%20de%20Gaia%20Norte%20Portugal","📍 Dunas Mar")</f>
        <v>📍 Dunas Mar</v>
      </c>
    </row>
    <row r="429" spans="1:9" ht="36" customHeight="1" x14ac:dyDescent="0.4">
      <c r="A429" s="678">
        <v>340</v>
      </c>
      <c r="B429" s="677" t="s">
        <v>19403</v>
      </c>
      <c r="C429" s="679" t="s">
        <v>792</v>
      </c>
      <c r="D429" s="677" t="s">
        <v>8300</v>
      </c>
      <c r="E429" s="677" t="s">
        <v>18631</v>
      </c>
      <c r="F429" s="680" t="s">
        <v>19395</v>
      </c>
      <c r="G429" s="681" t="s">
        <v>18632</v>
      </c>
      <c r="H429" s="677" t="s">
        <v>19404</v>
      </c>
      <c r="I429" s="683" t="str">
        <f>HYPERLINK("https://www.google.com/maps/search/Francelos%20Vila%20Nova%20de%20Gaia%20Norte%20Portugal","📍 Francelos")</f>
        <v>📍 Francelos</v>
      </c>
    </row>
    <row r="430" spans="1:9" ht="36" customHeight="1" x14ac:dyDescent="0.4">
      <c r="A430" s="672">
        <v>341</v>
      </c>
      <c r="B430" s="671" t="s">
        <v>19405</v>
      </c>
      <c r="C430" s="673" t="s">
        <v>792</v>
      </c>
      <c r="D430" s="671" t="s">
        <v>8300</v>
      </c>
      <c r="E430" s="671" t="s">
        <v>18631</v>
      </c>
      <c r="F430" s="674" t="s">
        <v>19395</v>
      </c>
      <c r="G430" s="675" t="s">
        <v>18632</v>
      </c>
      <c r="H430" s="671" t="s">
        <v>19406</v>
      </c>
      <c r="I430" s="682" t="str">
        <f>HYPERLINK("https://www.google.com/maps/search/Francemar%20Vila%20Nova%20de%20Gaia%20Norte%20Portugal","📍 Francemar")</f>
        <v>📍 Francemar</v>
      </c>
    </row>
    <row r="431" spans="1:9" ht="36" customHeight="1" x14ac:dyDescent="0.4">
      <c r="A431" s="678">
        <v>342</v>
      </c>
      <c r="B431" s="677" t="s">
        <v>19407</v>
      </c>
      <c r="C431" s="679" t="s">
        <v>792</v>
      </c>
      <c r="D431" s="677" t="s">
        <v>8300</v>
      </c>
      <c r="E431" s="677" t="s">
        <v>18631</v>
      </c>
      <c r="F431" s="680" t="s">
        <v>19395</v>
      </c>
      <c r="G431" s="681" t="s">
        <v>18632</v>
      </c>
      <c r="H431" s="677" t="s">
        <v>19408</v>
      </c>
      <c r="I431" s="683" t="str">
        <f>HYPERLINK("https://www.google.com/maps/search/Granja%20Vila%20Nova%20de%20Gaia%20Norte%20Portugal","📍 Granja")</f>
        <v>📍 Granja</v>
      </c>
    </row>
    <row r="432" spans="1:9" ht="36" customHeight="1" x14ac:dyDescent="0.4">
      <c r="A432" s="672">
        <v>343</v>
      </c>
      <c r="B432" s="671" t="s">
        <v>19409</v>
      </c>
      <c r="C432" s="673" t="s">
        <v>792</v>
      </c>
      <c r="D432" s="671" t="s">
        <v>8300</v>
      </c>
      <c r="E432" s="671" t="s">
        <v>18631</v>
      </c>
      <c r="F432" s="674" t="s">
        <v>19395</v>
      </c>
      <c r="G432" s="675" t="s">
        <v>18632</v>
      </c>
      <c r="H432" s="671" t="s">
        <v>19410</v>
      </c>
      <c r="I432" s="682" t="str">
        <f>HYPERLINK("https://www.google.com/maps/search/Lavadores%20Vila%20Nova%20de%20Gaia%20Norte%20Portugal","📍 Lavadores")</f>
        <v>📍 Lavadores</v>
      </c>
    </row>
    <row r="433" spans="1:9" ht="36" customHeight="1" x14ac:dyDescent="0.4">
      <c r="A433" s="678">
        <v>344</v>
      </c>
      <c r="B433" s="677" t="s">
        <v>19411</v>
      </c>
      <c r="C433" s="679" t="s">
        <v>792</v>
      </c>
      <c r="D433" s="677" t="s">
        <v>8300</v>
      </c>
      <c r="E433" s="677" t="s">
        <v>18631</v>
      </c>
      <c r="F433" s="680" t="s">
        <v>19395</v>
      </c>
      <c r="G433" s="681" t="s">
        <v>18632</v>
      </c>
      <c r="H433" s="677" t="s">
        <v>19412</v>
      </c>
      <c r="I433" s="683" t="str">
        <f>HYPERLINK("https://www.google.com/maps/search/Madalena-Norte%20Vila%20Nova%20de%20Gaia%20Norte%20Portugal","📍 Madalena-Norte")</f>
        <v>📍 Madalena-Norte</v>
      </c>
    </row>
    <row r="434" spans="1:9" ht="36" customHeight="1" x14ac:dyDescent="0.4">
      <c r="A434" s="672">
        <v>345</v>
      </c>
      <c r="B434" s="671" t="s">
        <v>19413</v>
      </c>
      <c r="C434" s="673" t="s">
        <v>792</v>
      </c>
      <c r="D434" s="671" t="s">
        <v>8300</v>
      </c>
      <c r="E434" s="671" t="s">
        <v>18631</v>
      </c>
      <c r="F434" s="674" t="s">
        <v>19395</v>
      </c>
      <c r="G434" s="675" t="s">
        <v>18632</v>
      </c>
      <c r="H434" s="671" t="s">
        <v>19414</v>
      </c>
      <c r="I434" s="682" t="str">
        <f>HYPERLINK("https://www.google.com/maps/search/Madalena-Sul%20Vila%20Nova%20de%20Gaia%20Norte%20Portugal","📍 Madalena-Sul")</f>
        <v>📍 Madalena-Sul</v>
      </c>
    </row>
    <row r="435" spans="1:9" ht="36" customHeight="1" x14ac:dyDescent="0.4">
      <c r="A435" s="678">
        <v>346</v>
      </c>
      <c r="B435" s="677" t="s">
        <v>19415</v>
      </c>
      <c r="C435" s="679" t="s">
        <v>792</v>
      </c>
      <c r="D435" s="677" t="s">
        <v>8300</v>
      </c>
      <c r="E435" s="677" t="s">
        <v>18631</v>
      </c>
      <c r="F435" s="680" t="s">
        <v>19395</v>
      </c>
      <c r="G435" s="681" t="s">
        <v>18632</v>
      </c>
      <c r="H435" s="677" t="s">
        <v>19416</v>
      </c>
      <c r="I435" s="683" t="str">
        <f>HYPERLINK("https://www.google.com/maps/search/Mar%20e%20Sol%20Vila%20Nova%20de%20Gaia%20Norte%20Portugal","📍 Mar e Sol")</f>
        <v>📍 Mar e Sol</v>
      </c>
    </row>
    <row r="436" spans="1:9" ht="36" customHeight="1" x14ac:dyDescent="0.4">
      <c r="A436" s="672">
        <v>347</v>
      </c>
      <c r="B436" s="671" t="s">
        <v>19417</v>
      </c>
      <c r="C436" s="673" t="s">
        <v>792</v>
      </c>
      <c r="D436" s="671" t="s">
        <v>8300</v>
      </c>
      <c r="E436" s="671" t="s">
        <v>18631</v>
      </c>
      <c r="F436" s="674" t="s">
        <v>19395</v>
      </c>
      <c r="G436" s="675" t="s">
        <v>18632</v>
      </c>
      <c r="H436" s="671" t="s">
        <v>19418</v>
      </c>
      <c r="I436" s="682" t="str">
        <f>HYPERLINK("https://www.google.com/maps/search/Marbelo%20Vila%20Nova%20de%20Gaia%20Norte%20Portugal","📍 Marbelo")</f>
        <v>📍 Marbelo</v>
      </c>
    </row>
    <row r="437" spans="1:9" ht="36" customHeight="1" x14ac:dyDescent="0.4">
      <c r="A437" s="678">
        <v>348</v>
      </c>
      <c r="B437" s="677" t="s">
        <v>19419</v>
      </c>
      <c r="C437" s="679" t="s">
        <v>792</v>
      </c>
      <c r="D437" s="677" t="s">
        <v>8300</v>
      </c>
      <c r="E437" s="677" t="s">
        <v>18631</v>
      </c>
      <c r="F437" s="680" t="s">
        <v>19395</v>
      </c>
      <c r="G437" s="681" t="s">
        <v>18632</v>
      </c>
      <c r="H437" s="677" t="s">
        <v>19420</v>
      </c>
      <c r="I437" s="683" t="str">
        <f>HYPERLINK("https://www.google.com/maps/search/Miramar%20Vila%20Nova%20de%20Gaia%20Norte%20Portugal","📍 Miramar")</f>
        <v>📍 Miramar</v>
      </c>
    </row>
    <row r="438" spans="1:9" ht="36" customHeight="1" x14ac:dyDescent="0.4">
      <c r="A438" s="672">
        <v>349</v>
      </c>
      <c r="B438" s="671" t="s">
        <v>19421</v>
      </c>
      <c r="C438" s="673" t="s">
        <v>792</v>
      </c>
      <c r="D438" s="671" t="s">
        <v>8300</v>
      </c>
      <c r="E438" s="671" t="s">
        <v>18631</v>
      </c>
      <c r="F438" s="674" t="s">
        <v>19395</v>
      </c>
      <c r="G438" s="675" t="s">
        <v>18632</v>
      </c>
      <c r="H438" s="671" t="s">
        <v>19422</v>
      </c>
      <c r="I438" s="682" t="str">
        <f>HYPERLINK("https://www.google.com/maps/search/S.%20F%C3%A9lix%20da%20Marinha%20Vila%20Nova%20de%20Gaia%20Norte%20Portugal","📍 S. Félix da Marinha")</f>
        <v>📍 S. Félix da Marinha</v>
      </c>
    </row>
    <row r="439" spans="1:9" ht="36" customHeight="1" x14ac:dyDescent="0.4">
      <c r="A439" s="678">
        <v>350</v>
      </c>
      <c r="B439" s="677" t="s">
        <v>18641</v>
      </c>
      <c r="C439" s="679" t="s">
        <v>792</v>
      </c>
      <c r="D439" s="677" t="s">
        <v>8300</v>
      </c>
      <c r="E439" s="677" t="s">
        <v>18631</v>
      </c>
      <c r="F439" s="680" t="s">
        <v>19395</v>
      </c>
      <c r="G439" s="681" t="s">
        <v>18632</v>
      </c>
      <c r="H439" s="677" t="s">
        <v>19423</v>
      </c>
      <c r="I439" s="683" t="str">
        <f>HYPERLINK("https://www.google.com/maps/search/Salgueiros%20Vila%20Nova%20de%20Gaia%20Norte%20Portugal","📍 Salgueiros")</f>
        <v>📍 Salgueiros</v>
      </c>
    </row>
    <row r="440" spans="1:9" ht="36" customHeight="1" x14ac:dyDescent="0.4">
      <c r="A440" s="672">
        <v>351</v>
      </c>
      <c r="B440" s="671" t="s">
        <v>19424</v>
      </c>
      <c r="C440" s="673" t="s">
        <v>792</v>
      </c>
      <c r="D440" s="671" t="s">
        <v>8300</v>
      </c>
      <c r="E440" s="671" t="s">
        <v>18631</v>
      </c>
      <c r="F440" s="674" t="s">
        <v>19395</v>
      </c>
      <c r="G440" s="675" t="s">
        <v>18632</v>
      </c>
      <c r="H440" s="671" t="s">
        <v>19425</v>
      </c>
      <c r="I440" s="682" t="str">
        <f>HYPERLINK("https://www.google.com/maps/search/S%C3%A3ozinha%20Vila%20Nova%20de%20Gaia%20Norte%20Portugal","📍 Sãozinha")</f>
        <v>📍 Sãozinha</v>
      </c>
    </row>
    <row r="441" spans="1:9" ht="36" customHeight="1" x14ac:dyDescent="0.4">
      <c r="A441" s="678">
        <v>352</v>
      </c>
      <c r="B441" s="677" t="s">
        <v>19426</v>
      </c>
      <c r="C441" s="679" t="s">
        <v>792</v>
      </c>
      <c r="D441" s="677" t="s">
        <v>8300</v>
      </c>
      <c r="E441" s="677" t="s">
        <v>18631</v>
      </c>
      <c r="F441" s="680" t="s">
        <v>19395</v>
      </c>
      <c r="G441" s="681" t="s">
        <v>18632</v>
      </c>
      <c r="H441" s="677" t="s">
        <v>19427</v>
      </c>
      <c r="I441" s="683" t="str">
        <f>HYPERLINK("https://www.google.com/maps/search/Senhor%20da%20Pedra%20Vila%20Nova%20de%20Gaia%20Norte%20Portugal","📍 Senhor da Pedra")</f>
        <v>📍 Senhor da Pedra</v>
      </c>
    </row>
    <row r="442" spans="1:9" ht="36" customHeight="1" x14ac:dyDescent="0.4">
      <c r="A442" s="672">
        <v>353</v>
      </c>
      <c r="B442" s="671" t="s">
        <v>19428</v>
      </c>
      <c r="C442" s="673" t="s">
        <v>792</v>
      </c>
      <c r="D442" s="671" t="s">
        <v>8300</v>
      </c>
      <c r="E442" s="671" t="s">
        <v>18631</v>
      </c>
      <c r="F442" s="674" t="s">
        <v>19395</v>
      </c>
      <c r="G442" s="675" t="s">
        <v>18632</v>
      </c>
      <c r="H442" s="671" t="s">
        <v>19429</v>
      </c>
      <c r="I442" s="682" t="str">
        <f>HYPERLINK("https://www.google.com/maps/search/Valadares-Norte%20Vila%20Nova%20de%20Gaia%20Norte%20Portugal","📍 Valadares-Norte")</f>
        <v>📍 Valadares-Norte</v>
      </c>
    </row>
    <row r="443" spans="1:9" ht="36" customHeight="1" x14ac:dyDescent="0.4">
      <c r="A443" s="678">
        <v>354</v>
      </c>
      <c r="B443" s="677" t="s">
        <v>19430</v>
      </c>
      <c r="C443" s="679" t="s">
        <v>792</v>
      </c>
      <c r="D443" s="677" t="s">
        <v>8300</v>
      </c>
      <c r="E443" s="677" t="s">
        <v>18631</v>
      </c>
      <c r="F443" s="680" t="s">
        <v>19395</v>
      </c>
      <c r="G443" s="681" t="s">
        <v>18632</v>
      </c>
      <c r="H443" s="677" t="s">
        <v>19431</v>
      </c>
      <c r="I443" s="683" t="str">
        <f>HYPERLINK("https://www.google.com/maps/search/Valadares-Sul%20Vila%20Nova%20de%20Gaia%20Norte%20Portugal","📍 Valadares-Sul")</f>
        <v>📍 Valadares-Sul</v>
      </c>
    </row>
    <row r="444" spans="1:9" ht="20" customHeight="1" x14ac:dyDescent="0.45">
      <c r="A444" s="1595" t="s">
        <v>19260</v>
      </c>
      <c r="B444" s="1313"/>
      <c r="C444" s="1313"/>
      <c r="D444" s="1313"/>
      <c r="E444" s="1313"/>
      <c r="F444" s="1313"/>
      <c r="G444" s="1313"/>
      <c r="H444" s="1313"/>
      <c r="I444" s="1313"/>
    </row>
    <row r="445" spans="1:9" ht="36" customHeight="1" x14ac:dyDescent="0.4">
      <c r="A445" s="672">
        <v>355</v>
      </c>
      <c r="B445" s="671" t="s">
        <v>19432</v>
      </c>
      <c r="C445" s="673" t="s">
        <v>792</v>
      </c>
      <c r="D445" s="671" t="s">
        <v>2001</v>
      </c>
      <c r="E445" s="671" t="s">
        <v>1482</v>
      </c>
      <c r="F445" s="674" t="s">
        <v>19262</v>
      </c>
      <c r="G445" s="675" t="s">
        <v>18632</v>
      </c>
      <c r="H445" s="671" t="s">
        <v>19433</v>
      </c>
      <c r="I445" s="682" t="str">
        <f>HYPERLINK("https://www.google.com/maps/search/Prado%20Faial%20Vila%20Verde%20Norte%20Portugal","📍 Prado Faial")</f>
        <v>📍 Prado Faial</v>
      </c>
    </row>
    <row r="446" spans="1:9" ht="24" customHeight="1" x14ac:dyDescent="0.45">
      <c r="A446" s="1607" t="s">
        <v>19434</v>
      </c>
      <c r="B446" s="1313"/>
      <c r="C446" s="1313"/>
      <c r="D446" s="1313"/>
      <c r="E446" s="1313"/>
      <c r="F446" s="1313"/>
      <c r="G446" s="1313"/>
      <c r="H446" s="1313"/>
      <c r="I446" s="1313"/>
    </row>
    <row r="447" spans="1:9" ht="20" customHeight="1" x14ac:dyDescent="0.45">
      <c r="A447" s="1595" t="s">
        <v>19435</v>
      </c>
      <c r="B447" s="1313"/>
      <c r="C447" s="1313"/>
      <c r="D447" s="1313"/>
      <c r="E447" s="1313"/>
      <c r="F447" s="1313"/>
      <c r="G447" s="1313"/>
      <c r="H447" s="1313"/>
      <c r="I447" s="1313"/>
    </row>
    <row r="448" spans="1:9" ht="36" customHeight="1" x14ac:dyDescent="0.4">
      <c r="A448" s="678">
        <v>356</v>
      </c>
      <c r="B448" s="677" t="s">
        <v>19460</v>
      </c>
      <c r="C448" s="679" t="s">
        <v>913</v>
      </c>
      <c r="D448" s="677" t="s">
        <v>2555</v>
      </c>
      <c r="E448" s="677" t="s">
        <v>1482</v>
      </c>
      <c r="F448" s="680" t="s">
        <v>19461</v>
      </c>
      <c r="G448" s="681" t="s">
        <v>18632</v>
      </c>
      <c r="H448" s="677" t="s">
        <v>19462</v>
      </c>
      <c r="I448" s="683" t="str">
        <f>HYPERLINK("https://www.google.com/maps/search/Aldeia%20do%20Mato%20Abrantes%20Lisboa%20Portugal","📍 Aldeia do Mato")</f>
        <v>📍 Aldeia do Mato</v>
      </c>
    </row>
    <row r="449" spans="1:9" ht="36" customHeight="1" x14ac:dyDescent="0.4">
      <c r="A449" s="672">
        <v>357</v>
      </c>
      <c r="B449" s="671" t="s">
        <v>19463</v>
      </c>
      <c r="C449" s="673" t="s">
        <v>913</v>
      </c>
      <c r="D449" s="671" t="s">
        <v>2555</v>
      </c>
      <c r="E449" s="671" t="s">
        <v>1482</v>
      </c>
      <c r="F449" s="674" t="s">
        <v>19461</v>
      </c>
      <c r="G449" s="675" t="s">
        <v>18632</v>
      </c>
      <c r="H449" s="671" t="s">
        <v>19464</v>
      </c>
      <c r="I449" s="682" t="str">
        <f>HYPERLINK("https://www.google.com/maps/search/Fontes%20Abrantes%20Lisboa%20Portugal","📍 Fontes")</f>
        <v>📍 Fontes</v>
      </c>
    </row>
    <row r="450" spans="1:9" ht="20" customHeight="1" x14ac:dyDescent="0.45">
      <c r="A450" s="1595" t="s">
        <v>19436</v>
      </c>
      <c r="B450" s="1313"/>
      <c r="C450" s="1313"/>
      <c r="D450" s="1313"/>
      <c r="E450" s="1313"/>
      <c r="F450" s="1313"/>
      <c r="G450" s="1313"/>
      <c r="H450" s="1313"/>
      <c r="I450" s="1313"/>
    </row>
    <row r="451" spans="1:9" ht="36" customHeight="1" x14ac:dyDescent="0.4">
      <c r="A451" s="678">
        <v>358</v>
      </c>
      <c r="B451" s="677" t="s">
        <v>19465</v>
      </c>
      <c r="C451" s="679" t="s">
        <v>913</v>
      </c>
      <c r="D451" s="677" t="s">
        <v>5483</v>
      </c>
      <c r="E451" s="677" t="s">
        <v>1482</v>
      </c>
      <c r="F451" s="680" t="s">
        <v>19466</v>
      </c>
      <c r="G451" s="681" t="s">
        <v>18632</v>
      </c>
      <c r="H451" s="677" t="s">
        <v>19467</v>
      </c>
      <c r="I451" s="683" t="str">
        <f>HYPERLINK("https://www.google.com/maps/search/Olhos%20d'%C3%81gua%20do%20Alviela%20Alcanena%20Lisboa%20Portugal","📍 Olhos d'Água do Alviela")</f>
        <v>📍 Olhos d'Água do Alviela</v>
      </c>
    </row>
    <row r="452" spans="1:9" ht="20" customHeight="1" x14ac:dyDescent="0.45">
      <c r="A452" s="1595" t="s">
        <v>19437</v>
      </c>
      <c r="B452" s="1313"/>
      <c r="C452" s="1313"/>
      <c r="D452" s="1313"/>
      <c r="E452" s="1313"/>
      <c r="F452" s="1313"/>
      <c r="G452" s="1313"/>
      <c r="H452" s="1313"/>
      <c r="I452" s="1313"/>
    </row>
    <row r="453" spans="1:9" ht="36" customHeight="1" x14ac:dyDescent="0.4">
      <c r="A453" s="672">
        <v>359</v>
      </c>
      <c r="B453" s="671" t="s">
        <v>19468</v>
      </c>
      <c r="C453" s="673" t="s">
        <v>913</v>
      </c>
      <c r="D453" s="671" t="s">
        <v>5644</v>
      </c>
      <c r="E453" s="671" t="s">
        <v>18631</v>
      </c>
      <c r="F453" s="674" t="s">
        <v>19469</v>
      </c>
      <c r="G453" s="675" t="s">
        <v>18632</v>
      </c>
      <c r="H453" s="671" t="s">
        <v>19470</v>
      </c>
      <c r="I453" s="682" t="str">
        <f>HYPERLINK("https://www.google.com/maps/search/Paredes%20de%20Vit%C3%B3ria%20Alcoba%C3%A7a%20Lisboa%20Portugal","📍 Paredes de Vitória")</f>
        <v>📍 Paredes de Vitória</v>
      </c>
    </row>
    <row r="454" spans="1:9" ht="36" customHeight="1" x14ac:dyDescent="0.4">
      <c r="A454" s="678">
        <v>360</v>
      </c>
      <c r="B454" s="677" t="s">
        <v>19471</v>
      </c>
      <c r="C454" s="679" t="s">
        <v>913</v>
      </c>
      <c r="D454" s="677" t="s">
        <v>5644</v>
      </c>
      <c r="E454" s="677" t="s">
        <v>19472</v>
      </c>
      <c r="F454" s="680" t="s">
        <v>19083</v>
      </c>
      <c r="G454" s="681" t="s">
        <v>18632</v>
      </c>
      <c r="H454" s="677" t="s">
        <v>19473</v>
      </c>
      <c r="I454" s="683" t="str">
        <f>HYPERLINK("https://www.google.com/maps/search/S.%20Martinho%20do%20Porto%20Alcoba%C3%A7a%20Lisboa%20Portugal","📍 S. Martinho do Porto")</f>
        <v>📍 S. Martinho do Porto</v>
      </c>
    </row>
    <row r="455" spans="1:9" ht="20" customHeight="1" x14ac:dyDescent="0.45">
      <c r="A455" s="1595" t="s">
        <v>19438</v>
      </c>
      <c r="B455" s="1313"/>
      <c r="C455" s="1313"/>
      <c r="D455" s="1313"/>
      <c r="E455" s="1313"/>
      <c r="F455" s="1313"/>
      <c r="G455" s="1313"/>
      <c r="H455" s="1313"/>
      <c r="I455" s="1313"/>
    </row>
    <row r="456" spans="1:9" ht="36" customHeight="1" x14ac:dyDescent="0.4">
      <c r="A456" s="672">
        <v>361</v>
      </c>
      <c r="B456" s="671" t="s">
        <v>19474</v>
      </c>
      <c r="C456" s="673" t="s">
        <v>913</v>
      </c>
      <c r="D456" s="671" t="s">
        <v>1259</v>
      </c>
      <c r="E456" s="671" t="s">
        <v>18631</v>
      </c>
      <c r="F456" s="674" t="s">
        <v>8128</v>
      </c>
      <c r="G456" s="675" t="s">
        <v>18632</v>
      </c>
      <c r="H456" s="671" t="s">
        <v>19475</v>
      </c>
      <c r="I456" s="682" t="str">
        <f>HYPERLINK("https://www.google.com/maps/search/CDS%20Almada%20Lisboa%20Portugal","📍 CDS")</f>
        <v>📍 CDS</v>
      </c>
    </row>
    <row r="457" spans="1:9" ht="36" customHeight="1" x14ac:dyDescent="0.4">
      <c r="A457" s="678">
        <v>362</v>
      </c>
      <c r="B457" s="677" t="s">
        <v>19476</v>
      </c>
      <c r="C457" s="679" t="s">
        <v>913</v>
      </c>
      <c r="D457" s="677" t="s">
        <v>1259</v>
      </c>
      <c r="E457" s="677" t="s">
        <v>18631</v>
      </c>
      <c r="F457" s="680" t="s">
        <v>8128</v>
      </c>
      <c r="G457" s="681" t="s">
        <v>18632</v>
      </c>
      <c r="H457" s="677" t="s">
        <v>19477</v>
      </c>
      <c r="I457" s="683" t="str">
        <f>HYPERLINK("https://www.google.com/maps/search/Drag%C3%A3o%20Vermelho%20Almada%20Lisboa%20Portugal","📍 Dragão Vermelho")</f>
        <v>📍 Dragão Vermelho</v>
      </c>
    </row>
    <row r="458" spans="1:9" ht="36" customHeight="1" x14ac:dyDescent="0.4">
      <c r="A458" s="672">
        <v>363</v>
      </c>
      <c r="B458" s="671" t="s">
        <v>19478</v>
      </c>
      <c r="C458" s="673" t="s">
        <v>913</v>
      </c>
      <c r="D458" s="671" t="s">
        <v>1259</v>
      </c>
      <c r="E458" s="671" t="s">
        <v>18631</v>
      </c>
      <c r="F458" s="674" t="s">
        <v>8128</v>
      </c>
      <c r="G458" s="675" t="s">
        <v>18632</v>
      </c>
      <c r="H458" s="671" t="s">
        <v>19479</v>
      </c>
      <c r="I458" s="682" t="str">
        <f>HYPERLINK("https://www.google.com/maps/search/Infante%20Almada%20Lisboa%20Portugal","📍 Infante")</f>
        <v>📍 Infante</v>
      </c>
    </row>
    <row r="459" spans="1:9" ht="36" customHeight="1" x14ac:dyDescent="0.4">
      <c r="A459" s="678">
        <v>364</v>
      </c>
      <c r="B459" s="677" t="s">
        <v>19480</v>
      </c>
      <c r="C459" s="679" t="s">
        <v>913</v>
      </c>
      <c r="D459" s="677" t="s">
        <v>1259</v>
      </c>
      <c r="E459" s="677" t="s">
        <v>18631</v>
      </c>
      <c r="F459" s="680" t="s">
        <v>8128</v>
      </c>
      <c r="G459" s="681" t="s">
        <v>18632</v>
      </c>
      <c r="H459" s="677" t="s">
        <v>19481</v>
      </c>
      <c r="I459" s="683" t="str">
        <f>HYPERLINK("https://www.google.com/maps/search/Mata%20Almada%20Lisboa%20Portugal","📍 Mata")</f>
        <v>📍 Mata</v>
      </c>
    </row>
    <row r="460" spans="1:9" ht="36" customHeight="1" x14ac:dyDescent="0.4">
      <c r="A460" s="672">
        <v>365</v>
      </c>
      <c r="B460" s="671" t="s">
        <v>19482</v>
      </c>
      <c r="C460" s="673" t="s">
        <v>913</v>
      </c>
      <c r="D460" s="671" t="s">
        <v>1259</v>
      </c>
      <c r="E460" s="671" t="s">
        <v>18631</v>
      </c>
      <c r="F460" s="674" t="s">
        <v>8128</v>
      </c>
      <c r="G460" s="675" t="s">
        <v>18632</v>
      </c>
      <c r="H460" s="671" t="s">
        <v>19483</v>
      </c>
      <c r="I460" s="682" t="str">
        <f>HYPERLINK("https://www.google.com/maps/search/Praia%20Nova%20Almada%20Lisboa%20Portugal","📍 Praia Nova")</f>
        <v>📍 Praia Nova</v>
      </c>
    </row>
    <row r="461" spans="1:9" ht="36" customHeight="1" x14ac:dyDescent="0.4">
      <c r="A461" s="678">
        <v>366</v>
      </c>
      <c r="B461" s="677" t="s">
        <v>19484</v>
      </c>
      <c r="C461" s="679" t="s">
        <v>913</v>
      </c>
      <c r="D461" s="677" t="s">
        <v>1259</v>
      </c>
      <c r="E461" s="677" t="s">
        <v>18631</v>
      </c>
      <c r="F461" s="680" t="s">
        <v>8128</v>
      </c>
      <c r="G461" s="681" t="s">
        <v>18632</v>
      </c>
      <c r="H461" s="677" t="s">
        <v>19485</v>
      </c>
      <c r="I461" s="683" t="str">
        <f>HYPERLINK("https://www.google.com/maps/search/Rainha%20(Almada)%20Almada%20Lisboa%20Portugal","📍 Rainha (Almada)")</f>
        <v>📍 Rainha (Almada)</v>
      </c>
    </row>
    <row r="462" spans="1:9" ht="36" customHeight="1" x14ac:dyDescent="0.4">
      <c r="A462" s="672">
        <v>367</v>
      </c>
      <c r="B462" s="671" t="s">
        <v>9905</v>
      </c>
      <c r="C462" s="673" t="s">
        <v>913</v>
      </c>
      <c r="D462" s="671" t="s">
        <v>1259</v>
      </c>
      <c r="E462" s="671" t="s">
        <v>18631</v>
      </c>
      <c r="F462" s="674" t="s">
        <v>8128</v>
      </c>
      <c r="G462" s="675" t="s">
        <v>18632</v>
      </c>
      <c r="H462" s="671" t="s">
        <v>19486</v>
      </c>
      <c r="I462" s="682" t="str">
        <f>HYPERLINK("https://www.google.com/maps/search/S.%20Jo%C3%A3o%20da%20Caparica%20Almada%20Lisboa%20Portugal","📍 S. João da Caparica")</f>
        <v>📍 S. João da Caparica</v>
      </c>
    </row>
    <row r="463" spans="1:9" ht="36" customHeight="1" x14ac:dyDescent="0.4">
      <c r="A463" s="678">
        <v>368</v>
      </c>
      <c r="B463" s="677" t="s">
        <v>12352</v>
      </c>
      <c r="C463" s="679" t="s">
        <v>913</v>
      </c>
      <c r="D463" s="677" t="s">
        <v>1259</v>
      </c>
      <c r="E463" s="677" t="s">
        <v>18631</v>
      </c>
      <c r="F463" s="680" t="s">
        <v>8128</v>
      </c>
      <c r="G463" s="681" t="s">
        <v>18632</v>
      </c>
      <c r="H463" s="677" t="s">
        <v>19487</v>
      </c>
      <c r="I463" s="683" t="str">
        <f>HYPERLINK("https://www.google.com/maps/search/Santo%20Ant%C3%B3nio%20Almada%20Lisboa%20Portugal","📍 Santo António")</f>
        <v>📍 Santo António</v>
      </c>
    </row>
    <row r="464" spans="1:9" ht="36" customHeight="1" x14ac:dyDescent="0.4">
      <c r="A464" s="672">
        <v>369</v>
      </c>
      <c r="B464" s="671" t="s">
        <v>19488</v>
      </c>
      <c r="C464" s="673" t="s">
        <v>913</v>
      </c>
      <c r="D464" s="671" t="s">
        <v>1259</v>
      </c>
      <c r="E464" s="671" t="s">
        <v>18631</v>
      </c>
      <c r="F464" s="674" t="s">
        <v>8128</v>
      </c>
      <c r="G464" s="675" t="s">
        <v>18632</v>
      </c>
      <c r="H464" s="671" t="s">
        <v>19489</v>
      </c>
      <c r="I464" s="682" t="str">
        <f>HYPERLINK("https://www.google.com/maps/search/Sereia%20Almada%20Lisboa%20Portugal","📍 Sereia")</f>
        <v>📍 Sereia</v>
      </c>
    </row>
    <row r="465" spans="1:9" ht="36" customHeight="1" x14ac:dyDescent="0.4">
      <c r="A465" s="678">
        <v>370</v>
      </c>
      <c r="B465" s="677" t="s">
        <v>19490</v>
      </c>
      <c r="C465" s="679" t="s">
        <v>913</v>
      </c>
      <c r="D465" s="677" t="s">
        <v>1259</v>
      </c>
      <c r="E465" s="677" t="s">
        <v>18631</v>
      </c>
      <c r="F465" s="680" t="s">
        <v>8128</v>
      </c>
      <c r="G465" s="681" t="s">
        <v>18632</v>
      </c>
      <c r="H465" s="677" t="s">
        <v>19491</v>
      </c>
      <c r="I465" s="683" t="str">
        <f>HYPERLINK("https://www.google.com/maps/search/Tarqu%C3%ADnio-Para%C3%ADso%20Almada%20Lisboa%20Portugal","📍 Tarquínio-Paraíso")</f>
        <v>📍 Tarquínio-Paraíso</v>
      </c>
    </row>
    <row r="466" spans="1:9" ht="20" customHeight="1" x14ac:dyDescent="0.45">
      <c r="A466" s="1595" t="s">
        <v>19439</v>
      </c>
      <c r="B466" s="1313"/>
      <c r="C466" s="1313"/>
      <c r="D466" s="1313"/>
      <c r="E466" s="1313"/>
      <c r="F466" s="1313"/>
      <c r="G466" s="1313"/>
      <c r="H466" s="1313"/>
      <c r="I466" s="1313"/>
    </row>
    <row r="467" spans="1:9" ht="36" customHeight="1" x14ac:dyDescent="0.4">
      <c r="A467" s="672">
        <v>371</v>
      </c>
      <c r="B467" s="671" t="s">
        <v>19492</v>
      </c>
      <c r="C467" s="673" t="s">
        <v>913</v>
      </c>
      <c r="D467" s="671" t="s">
        <v>7470</v>
      </c>
      <c r="E467" s="671" t="s">
        <v>18665</v>
      </c>
      <c r="F467" s="674" t="s">
        <v>19493</v>
      </c>
      <c r="G467" s="675" t="s">
        <v>18632</v>
      </c>
      <c r="H467" s="671" t="s">
        <v>19494</v>
      </c>
      <c r="I467" s="682" t="str">
        <f>HYPERLINK("https://www.google.com/maps/search/Clube%20N%C3%A1utico%20de%20Avis%20Avis%20Lisboa%20Portugal","📍 Clube Náutico de Avis")</f>
        <v>📍 Clube Náutico de Avis</v>
      </c>
    </row>
    <row r="468" spans="1:9" ht="20" customHeight="1" x14ac:dyDescent="0.45">
      <c r="A468" s="1595" t="s">
        <v>19440</v>
      </c>
      <c r="B468" s="1313"/>
      <c r="C468" s="1313"/>
      <c r="D468" s="1313"/>
      <c r="E468" s="1313"/>
      <c r="F468" s="1313"/>
      <c r="G468" s="1313"/>
      <c r="H468" s="1313"/>
      <c r="I468" s="1313"/>
    </row>
    <row r="469" spans="1:9" ht="36" customHeight="1" x14ac:dyDescent="0.4">
      <c r="A469" s="678">
        <v>372</v>
      </c>
      <c r="B469" s="677" t="s">
        <v>19495</v>
      </c>
      <c r="C469" s="679" t="s">
        <v>913</v>
      </c>
      <c r="D469" s="677" t="s">
        <v>7006</v>
      </c>
      <c r="E469" s="677" t="s">
        <v>18829</v>
      </c>
      <c r="F469" s="680" t="s">
        <v>19496</v>
      </c>
      <c r="G469" s="681" t="s">
        <v>18632</v>
      </c>
      <c r="H469" s="677" t="s">
        <v>19497</v>
      </c>
      <c r="I469" s="683" t="str">
        <f>HYPERLINK("https://www.google.com/maps/search/Foz%20do%20Arelho-Lagoa%20Caldas%20da%20Rainha%20Lisboa%20Portugal","📍 Foz do Arelho-Lagoa")</f>
        <v>📍 Foz do Arelho-Lagoa</v>
      </c>
    </row>
    <row r="470" spans="1:9" ht="36" customHeight="1" x14ac:dyDescent="0.4">
      <c r="A470" s="672">
        <v>373</v>
      </c>
      <c r="B470" s="671" t="s">
        <v>19498</v>
      </c>
      <c r="C470" s="673" t="s">
        <v>913</v>
      </c>
      <c r="D470" s="671" t="s">
        <v>7006</v>
      </c>
      <c r="E470" s="671" t="s">
        <v>18631</v>
      </c>
      <c r="F470" s="674" t="s">
        <v>19496</v>
      </c>
      <c r="G470" s="675" t="s">
        <v>18632</v>
      </c>
      <c r="H470" s="671" t="s">
        <v>19499</v>
      </c>
      <c r="I470" s="682" t="str">
        <f>HYPERLINK("https://www.google.com/maps/search/Praia%20do%20Mar%20Caldas%20da%20Rainha%20Lisboa%20Portugal","📍 Praia do Mar")</f>
        <v>📍 Praia do Mar</v>
      </c>
    </row>
    <row r="471" spans="1:9" ht="20" customHeight="1" x14ac:dyDescent="0.45">
      <c r="A471" s="1595" t="s">
        <v>19441</v>
      </c>
      <c r="B471" s="1313"/>
      <c r="C471" s="1313"/>
      <c r="D471" s="1313"/>
      <c r="E471" s="1313"/>
      <c r="F471" s="1313"/>
      <c r="G471" s="1313"/>
      <c r="H471" s="1313"/>
      <c r="I471" s="1313"/>
    </row>
    <row r="472" spans="1:9" ht="36" customHeight="1" x14ac:dyDescent="0.4">
      <c r="A472" s="678">
        <v>374</v>
      </c>
      <c r="B472" s="677" t="s">
        <v>19500</v>
      </c>
      <c r="C472" s="679" t="s">
        <v>913</v>
      </c>
      <c r="D472" s="677" t="s">
        <v>1077</v>
      </c>
      <c r="E472" s="677" t="s">
        <v>19501</v>
      </c>
      <c r="F472" s="680" t="s">
        <v>19502</v>
      </c>
      <c r="G472" s="681" t="s">
        <v>18632</v>
      </c>
      <c r="H472" s="677" t="s">
        <v>19503</v>
      </c>
      <c r="I472" s="683" t="str">
        <f>HYPERLINK("https://www.google.com/maps/search/Avencas%20Cascais%20Lisboa%20Portugal","📍 Avencas")</f>
        <v>📍 Avencas</v>
      </c>
    </row>
    <row r="473" spans="1:9" ht="36" customHeight="1" x14ac:dyDescent="0.4">
      <c r="A473" s="672">
        <v>375</v>
      </c>
      <c r="B473" s="671" t="s">
        <v>8122</v>
      </c>
      <c r="C473" s="673" t="s">
        <v>913</v>
      </c>
      <c r="D473" s="671" t="s">
        <v>1077</v>
      </c>
      <c r="E473" s="671" t="s">
        <v>18631</v>
      </c>
      <c r="F473" s="674" t="s">
        <v>19502</v>
      </c>
      <c r="G473" s="675" t="s">
        <v>18632</v>
      </c>
      <c r="H473" s="671" t="s">
        <v>19504</v>
      </c>
      <c r="I473" s="682" t="str">
        <f>HYPERLINK("https://www.google.com/maps/search/Carcavelos%20Cascais%20Lisboa%20Portugal","📍 Carcavelos")</f>
        <v>📍 Carcavelos</v>
      </c>
    </row>
    <row r="474" spans="1:9" ht="36" customHeight="1" x14ac:dyDescent="0.4">
      <c r="A474" s="678">
        <v>376</v>
      </c>
      <c r="B474" s="677" t="s">
        <v>19505</v>
      </c>
      <c r="C474" s="679" t="s">
        <v>913</v>
      </c>
      <c r="D474" s="677" t="s">
        <v>1077</v>
      </c>
      <c r="E474" s="677" t="s">
        <v>18631</v>
      </c>
      <c r="F474" s="680" t="s">
        <v>19502</v>
      </c>
      <c r="G474" s="681" t="s">
        <v>18632</v>
      </c>
      <c r="H474" s="677" t="s">
        <v>19506</v>
      </c>
      <c r="I474" s="683" t="str">
        <f>HYPERLINK("https://www.google.com/maps/search/Crismina%20Cascais%20Lisboa%20Portugal","📍 Crismina")</f>
        <v>📍 Crismina</v>
      </c>
    </row>
    <row r="475" spans="1:9" ht="36" customHeight="1" x14ac:dyDescent="0.4">
      <c r="A475" s="672">
        <v>377</v>
      </c>
      <c r="B475" s="671" t="s">
        <v>19507</v>
      </c>
      <c r="C475" s="673" t="s">
        <v>913</v>
      </c>
      <c r="D475" s="671" t="s">
        <v>1077</v>
      </c>
      <c r="E475" s="671" t="s">
        <v>18631</v>
      </c>
      <c r="F475" s="674" t="s">
        <v>19508</v>
      </c>
      <c r="G475" s="675" t="s">
        <v>18632</v>
      </c>
      <c r="H475" s="671" t="s">
        <v>19509</v>
      </c>
      <c r="I475" s="682" t="str">
        <f>HYPERLINK("https://www.google.com/maps/search/Guincho%20Norte%20Cascais%20Lisboa%20Portugal","📍 Guincho Norte")</f>
        <v>📍 Guincho Norte</v>
      </c>
    </row>
    <row r="476" spans="1:9" ht="36" customHeight="1" x14ac:dyDescent="0.4">
      <c r="A476" s="678">
        <v>378</v>
      </c>
      <c r="B476" s="677" t="s">
        <v>19510</v>
      </c>
      <c r="C476" s="679" t="s">
        <v>913</v>
      </c>
      <c r="D476" s="677" t="s">
        <v>1077</v>
      </c>
      <c r="E476" s="677" t="s">
        <v>18631</v>
      </c>
      <c r="F476" s="680" t="s">
        <v>19508</v>
      </c>
      <c r="G476" s="681" t="s">
        <v>18632</v>
      </c>
      <c r="H476" s="677" t="s">
        <v>19511</v>
      </c>
      <c r="I476" s="683" t="str">
        <f>HYPERLINK("https://www.google.com/maps/search/Guincho%20Sul%20Cascais%20Lisboa%20Portugal","📍 Guincho Sul")</f>
        <v>📍 Guincho Sul</v>
      </c>
    </row>
    <row r="477" spans="1:9" ht="36" customHeight="1" x14ac:dyDescent="0.4">
      <c r="A477" s="672">
        <v>379</v>
      </c>
      <c r="B477" s="671" t="s">
        <v>19512</v>
      </c>
      <c r="C477" s="673" t="s">
        <v>913</v>
      </c>
      <c r="D477" s="671" t="s">
        <v>1077</v>
      </c>
      <c r="E477" s="671" t="s">
        <v>18631</v>
      </c>
      <c r="F477" s="674" t="s">
        <v>19502</v>
      </c>
      <c r="G477" s="675" t="s">
        <v>18632</v>
      </c>
      <c r="H477" s="671" t="s">
        <v>19513</v>
      </c>
      <c r="I477" s="682" t="str">
        <f>HYPERLINK("https://www.google.com/maps/search/Moitas%20Cascais%20Lisboa%20Portugal","📍 Moitas")</f>
        <v>📍 Moitas</v>
      </c>
    </row>
    <row r="478" spans="1:9" ht="36" customHeight="1" x14ac:dyDescent="0.4">
      <c r="A478" s="678">
        <v>380</v>
      </c>
      <c r="B478" s="677" t="s">
        <v>11601</v>
      </c>
      <c r="C478" s="679" t="s">
        <v>913</v>
      </c>
      <c r="D478" s="677" t="s">
        <v>1077</v>
      </c>
      <c r="E478" s="677" t="s">
        <v>18631</v>
      </c>
      <c r="F478" s="680" t="s">
        <v>19502</v>
      </c>
      <c r="G478" s="681" t="s">
        <v>18632</v>
      </c>
      <c r="H478" s="677" t="s">
        <v>19514</v>
      </c>
      <c r="I478" s="683" t="str">
        <f>HYPERLINK("https://www.google.com/maps/search/Parede%20Cascais%20Lisboa%20Portugal","📍 Parede")</f>
        <v>📍 Parede</v>
      </c>
    </row>
    <row r="479" spans="1:9" ht="36" customHeight="1" x14ac:dyDescent="0.4">
      <c r="A479" s="672">
        <v>381</v>
      </c>
      <c r="B479" s="671" t="s">
        <v>19515</v>
      </c>
      <c r="C479" s="673" t="s">
        <v>913</v>
      </c>
      <c r="D479" s="671" t="s">
        <v>1077</v>
      </c>
      <c r="E479" s="671" t="s">
        <v>18631</v>
      </c>
      <c r="F479" s="674" t="s">
        <v>19502</v>
      </c>
      <c r="G479" s="675" t="s">
        <v>18632</v>
      </c>
      <c r="H479" s="671" t="s">
        <v>19516</v>
      </c>
      <c r="I479" s="682" t="str">
        <f>HYPERLINK("https://www.google.com/maps/search/Po%C3%A7a%20Cascais%20Lisboa%20Portugal","📍 Poça")</f>
        <v>📍 Poça</v>
      </c>
    </row>
    <row r="480" spans="1:9" ht="36" customHeight="1" x14ac:dyDescent="0.4">
      <c r="A480" s="678">
        <v>382</v>
      </c>
      <c r="B480" s="677" t="s">
        <v>19517</v>
      </c>
      <c r="C480" s="679" t="s">
        <v>913</v>
      </c>
      <c r="D480" s="677" t="s">
        <v>1077</v>
      </c>
      <c r="E480" s="677" t="s">
        <v>18631</v>
      </c>
      <c r="F480" s="680" t="s">
        <v>19502</v>
      </c>
      <c r="G480" s="681" t="s">
        <v>18632</v>
      </c>
      <c r="H480" s="677" t="s">
        <v>19518</v>
      </c>
      <c r="I480" s="683" t="str">
        <f>HYPERLINK("https://www.google.com/maps/search/S.%20Pedro%20do%20Estoril%20Cascais%20Lisboa%20Portugal","📍 S. Pedro do Estoril")</f>
        <v>📍 S. Pedro do Estoril</v>
      </c>
    </row>
    <row r="481" spans="1:9" ht="36" customHeight="1" x14ac:dyDescent="0.4">
      <c r="A481" s="672">
        <v>383</v>
      </c>
      <c r="B481" s="671" t="s">
        <v>19519</v>
      </c>
      <c r="C481" s="673" t="s">
        <v>913</v>
      </c>
      <c r="D481" s="671" t="s">
        <v>1077</v>
      </c>
      <c r="E481" s="671" t="s">
        <v>18631</v>
      </c>
      <c r="F481" s="674" t="s">
        <v>19520</v>
      </c>
      <c r="G481" s="675" t="s">
        <v>18632</v>
      </c>
      <c r="H481" s="671" t="s">
        <v>19521</v>
      </c>
      <c r="I481" s="682" t="str">
        <f>HYPERLINK("https://www.google.com/maps/search/Tamariz%20Cascais%20Lisboa%20Portugal","📍 Tamariz")</f>
        <v>📍 Tamariz</v>
      </c>
    </row>
    <row r="482" spans="1:9" ht="36" customHeight="1" x14ac:dyDescent="0.4">
      <c r="A482" s="678">
        <v>384</v>
      </c>
      <c r="B482" s="677" t="s">
        <v>19522</v>
      </c>
      <c r="C482" s="679" t="s">
        <v>913</v>
      </c>
      <c r="D482" s="677" t="s">
        <v>1077</v>
      </c>
      <c r="E482" s="677" t="s">
        <v>18645</v>
      </c>
      <c r="F482" s="680" t="s">
        <v>19502</v>
      </c>
      <c r="G482" s="681" t="s">
        <v>18632</v>
      </c>
      <c r="H482" s="677" t="s">
        <v>19523</v>
      </c>
      <c r="I482" s="683" t="str">
        <f>HYPERLINK("https://www.google.com/maps/search/Marina%20de%20Cascais%20Cascais%20Lisboa%20Portugal","📍 Marina de Cascais")</f>
        <v>📍 Marina de Cascais</v>
      </c>
    </row>
    <row r="483" spans="1:9" ht="20" customHeight="1" x14ac:dyDescent="0.45">
      <c r="A483" s="1595" t="s">
        <v>19442</v>
      </c>
      <c r="B483" s="1313"/>
      <c r="C483" s="1313"/>
      <c r="D483" s="1313"/>
      <c r="E483" s="1313"/>
      <c r="F483" s="1313"/>
      <c r="G483" s="1313"/>
      <c r="H483" s="1313"/>
      <c r="I483" s="1313"/>
    </row>
    <row r="484" spans="1:9" ht="36" customHeight="1" x14ac:dyDescent="0.4">
      <c r="A484" s="672">
        <v>385</v>
      </c>
      <c r="B484" s="671" t="s">
        <v>8402</v>
      </c>
      <c r="C484" s="673" t="s">
        <v>913</v>
      </c>
      <c r="D484" s="671" t="s">
        <v>5726</v>
      </c>
      <c r="E484" s="671" t="s">
        <v>1482</v>
      </c>
      <c r="F484" s="674" t="s">
        <v>19524</v>
      </c>
      <c r="G484" s="675" t="s">
        <v>18632</v>
      </c>
      <c r="H484" s="671" t="s">
        <v>19525</v>
      </c>
      <c r="I484" s="682" t="str">
        <f>HYPERLINK("https://www.google.com/maps/search/Praia%20Fluvial%20do%20Sorraia%20Coruche%20Lisboa%20Portugal","📍 Praia Fluvial do Sorraia")</f>
        <v>📍 Praia Fluvial do Sorraia</v>
      </c>
    </row>
    <row r="485" spans="1:9" ht="20" customHeight="1" x14ac:dyDescent="0.45">
      <c r="A485" s="1595" t="s">
        <v>19443</v>
      </c>
      <c r="B485" s="1313"/>
      <c r="C485" s="1313"/>
      <c r="D485" s="1313"/>
      <c r="E485" s="1313"/>
      <c r="F485" s="1313"/>
      <c r="G485" s="1313"/>
      <c r="H485" s="1313"/>
      <c r="I485" s="1313"/>
    </row>
    <row r="486" spans="1:9" ht="36" customHeight="1" x14ac:dyDescent="0.4">
      <c r="A486" s="678">
        <v>386</v>
      </c>
      <c r="B486" s="677" t="s">
        <v>19526</v>
      </c>
      <c r="C486" s="679" t="s">
        <v>913</v>
      </c>
      <c r="D486" s="677" t="s">
        <v>2481</v>
      </c>
      <c r="E486" s="677" t="s">
        <v>1482</v>
      </c>
      <c r="F486" s="680" t="s">
        <v>19068</v>
      </c>
      <c r="G486" s="681" t="s">
        <v>18632</v>
      </c>
      <c r="H486" s="677" t="s">
        <v>19527</v>
      </c>
      <c r="I486" s="683" t="str">
        <f>HYPERLINK("https://www.google.com/maps/search/Alvares%20G%C3%B3is%20Lisboa%20Portugal","📍 Alvares")</f>
        <v>📍 Alvares</v>
      </c>
    </row>
    <row r="487" spans="1:9" ht="20" customHeight="1" x14ac:dyDescent="0.45">
      <c r="A487" s="1595" t="s">
        <v>19444</v>
      </c>
      <c r="B487" s="1313"/>
      <c r="C487" s="1313"/>
      <c r="D487" s="1313"/>
      <c r="E487" s="1313"/>
      <c r="F487" s="1313"/>
      <c r="G487" s="1313"/>
      <c r="H487" s="1313"/>
      <c r="I487" s="1313"/>
    </row>
    <row r="488" spans="1:9" ht="36" customHeight="1" x14ac:dyDescent="0.4">
      <c r="A488" s="672">
        <v>387</v>
      </c>
      <c r="B488" s="671" t="s">
        <v>19528</v>
      </c>
      <c r="C488" s="673" t="s">
        <v>913</v>
      </c>
      <c r="D488" s="671" t="s">
        <v>8011</v>
      </c>
      <c r="E488" s="671" t="s">
        <v>1482</v>
      </c>
      <c r="F488" s="674" t="s">
        <v>19529</v>
      </c>
      <c r="G488" s="675" t="s">
        <v>18632</v>
      </c>
      <c r="H488" s="671" t="s">
        <v>19530</v>
      </c>
      <c r="I488" s="682" t="str">
        <f>HYPERLINK("https://www.google.com/maps/search/Valhelhas%20Guarda%20Lisboa%20Portugal","📍 Valhelhas")</f>
        <v>📍 Valhelhas</v>
      </c>
    </row>
    <row r="489" spans="1:9" ht="20" customHeight="1" x14ac:dyDescent="0.45">
      <c r="A489" s="1595" t="s">
        <v>19445</v>
      </c>
      <c r="B489" s="1313"/>
      <c r="C489" s="1313"/>
      <c r="D489" s="1313"/>
      <c r="E489" s="1313"/>
      <c r="F489" s="1313"/>
      <c r="G489" s="1313"/>
      <c r="H489" s="1313"/>
      <c r="I489" s="1313"/>
    </row>
    <row r="490" spans="1:9" ht="36" customHeight="1" x14ac:dyDescent="0.4">
      <c r="A490" s="678">
        <v>388</v>
      </c>
      <c r="B490" s="677" t="s">
        <v>19531</v>
      </c>
      <c r="C490" s="679" t="s">
        <v>913</v>
      </c>
      <c r="D490" s="677" t="s">
        <v>913</v>
      </c>
      <c r="E490" s="677" t="s">
        <v>19532</v>
      </c>
      <c r="F490" s="680" t="s">
        <v>19533</v>
      </c>
      <c r="G490" s="681" t="s">
        <v>18632</v>
      </c>
      <c r="H490" s="677" t="s">
        <v>19534</v>
      </c>
      <c r="I490" s="683" t="str">
        <f>HYPERLINK("https://www.google.com/maps/search/Doca%20de%20Santo%20Amaro%20Lisboa%20Lisboa%20Portugal","📍 Doca de Santo Amaro")</f>
        <v>📍 Doca de Santo Amaro</v>
      </c>
    </row>
    <row r="491" spans="1:9" ht="36" customHeight="1" x14ac:dyDescent="0.4">
      <c r="A491" s="672">
        <v>389</v>
      </c>
      <c r="B491" s="671" t="s">
        <v>19535</v>
      </c>
      <c r="C491" s="673" t="s">
        <v>913</v>
      </c>
      <c r="D491" s="671" t="s">
        <v>913</v>
      </c>
      <c r="E491" s="671" t="s">
        <v>19004</v>
      </c>
      <c r="F491" s="674" t="s">
        <v>19533</v>
      </c>
      <c r="G491" s="675" t="s">
        <v>18632</v>
      </c>
      <c r="H491" s="671" t="s">
        <v>19536</v>
      </c>
      <c r="I491" s="682" t="str">
        <f>HYPERLINK("https://www.google.com/maps/search/BOTO%20Lisboa%20Lisboa%20Portugal","📍 BOTO")</f>
        <v>📍 BOTO</v>
      </c>
    </row>
    <row r="492" spans="1:9" ht="36" customHeight="1" x14ac:dyDescent="0.4">
      <c r="A492" s="678">
        <v>390</v>
      </c>
      <c r="B492" s="677" t="s">
        <v>19537</v>
      </c>
      <c r="C492" s="679" t="s">
        <v>913</v>
      </c>
      <c r="D492" s="677" t="s">
        <v>913</v>
      </c>
      <c r="E492" s="677" t="s">
        <v>19004</v>
      </c>
      <c r="F492" s="680" t="s">
        <v>19533</v>
      </c>
      <c r="G492" s="681" t="s">
        <v>18632</v>
      </c>
      <c r="H492" s="677" t="s">
        <v>19538</v>
      </c>
      <c r="I492" s="683" t="str">
        <f>HYPERLINK("https://www.google.com/maps/search/I%20DISCOVERY%20Lisboa%20Lisboa%20Portugal","📍 I DISCOVERY")</f>
        <v>📍 I DISCOVERY</v>
      </c>
    </row>
    <row r="493" spans="1:9" ht="36" customHeight="1" x14ac:dyDescent="0.4">
      <c r="A493" s="672">
        <v>391</v>
      </c>
      <c r="B493" s="671" t="s">
        <v>19539</v>
      </c>
      <c r="C493" s="673" t="s">
        <v>913</v>
      </c>
      <c r="D493" s="671" t="s">
        <v>913</v>
      </c>
      <c r="E493" s="671" t="s">
        <v>19004</v>
      </c>
      <c r="F493" s="674" t="s">
        <v>19533</v>
      </c>
      <c r="G493" s="675" t="s">
        <v>18632</v>
      </c>
      <c r="H493" s="671" t="s">
        <v>19540</v>
      </c>
      <c r="I493" s="682" t="str">
        <f>HYPERLINK("https://www.google.com/maps/search/II%20Odisseia%20Lisboa%20Lisboa%20Portugal","📍 II Odisseia")</f>
        <v>📍 II Odisseia</v>
      </c>
    </row>
    <row r="494" spans="1:9" ht="36" customHeight="1" x14ac:dyDescent="0.4">
      <c r="A494" s="678">
        <v>392</v>
      </c>
      <c r="B494" s="677" t="s">
        <v>19541</v>
      </c>
      <c r="C494" s="679" t="s">
        <v>913</v>
      </c>
      <c r="D494" s="677" t="s">
        <v>913</v>
      </c>
      <c r="E494" s="677" t="s">
        <v>19004</v>
      </c>
      <c r="F494" s="680" t="s">
        <v>19533</v>
      </c>
      <c r="G494" s="681" t="s">
        <v>18632</v>
      </c>
      <c r="H494" s="677" t="s">
        <v>19542</v>
      </c>
      <c r="I494" s="683" t="str">
        <f>HYPERLINK("https://www.google.com/maps/search/MINKE%20Lisboa%20Lisboa%20Portugal","📍 MINKE")</f>
        <v>📍 MINKE</v>
      </c>
    </row>
    <row r="495" spans="1:9" ht="20" customHeight="1" x14ac:dyDescent="0.45">
      <c r="A495" s="1595" t="s">
        <v>19446</v>
      </c>
      <c r="B495" s="1313"/>
      <c r="C495" s="1313"/>
      <c r="D495" s="1313"/>
      <c r="E495" s="1313"/>
      <c r="F495" s="1313"/>
      <c r="G495" s="1313"/>
      <c r="H495" s="1313"/>
      <c r="I495" s="1313"/>
    </row>
    <row r="496" spans="1:9" ht="36" customHeight="1" x14ac:dyDescent="0.4">
      <c r="A496" s="672">
        <v>393</v>
      </c>
      <c r="B496" s="671" t="s">
        <v>19543</v>
      </c>
      <c r="C496" s="673" t="s">
        <v>913</v>
      </c>
      <c r="D496" s="671" t="s">
        <v>10072</v>
      </c>
      <c r="E496" s="671" t="s">
        <v>18631</v>
      </c>
      <c r="F496" s="674" t="s">
        <v>19544</v>
      </c>
      <c r="G496" s="675" t="s">
        <v>18632</v>
      </c>
      <c r="H496" s="671" t="s">
        <v>19545</v>
      </c>
      <c r="I496" s="682" t="str">
        <f>HYPERLINK("https://www.google.com/maps/search/Areal%20Sul%20Lourinh%C3%A3%20Lisboa%20Portugal","📍 Areal Sul")</f>
        <v>📍 Areal Sul</v>
      </c>
    </row>
    <row r="497" spans="1:9" ht="36" customHeight="1" x14ac:dyDescent="0.4">
      <c r="A497" s="678">
        <v>394</v>
      </c>
      <c r="B497" s="677" t="s">
        <v>19546</v>
      </c>
      <c r="C497" s="679" t="s">
        <v>913</v>
      </c>
      <c r="D497" s="677" t="s">
        <v>10072</v>
      </c>
      <c r="E497" s="677" t="s">
        <v>18631</v>
      </c>
      <c r="F497" s="680" t="s">
        <v>19544</v>
      </c>
      <c r="G497" s="681" t="s">
        <v>18632</v>
      </c>
      <c r="H497" s="677" t="s">
        <v>19547</v>
      </c>
      <c r="I497" s="683" t="str">
        <f>HYPERLINK("https://www.google.com/maps/search/Areia%20Branca%20Lourinh%C3%A3%20Lisboa%20Portugal","📍 Areia Branca")</f>
        <v>📍 Areia Branca</v>
      </c>
    </row>
    <row r="498" spans="1:9" ht="36" customHeight="1" x14ac:dyDescent="0.4">
      <c r="A498" s="672">
        <v>395</v>
      </c>
      <c r="B498" s="671" t="s">
        <v>19548</v>
      </c>
      <c r="C498" s="673" t="s">
        <v>913</v>
      </c>
      <c r="D498" s="671" t="s">
        <v>10072</v>
      </c>
      <c r="E498" s="671" t="s">
        <v>18631</v>
      </c>
      <c r="F498" s="674" t="s">
        <v>19544</v>
      </c>
      <c r="G498" s="675" t="s">
        <v>18632</v>
      </c>
      <c r="H498" s="671" t="s">
        <v>19549</v>
      </c>
      <c r="I498" s="682" t="str">
        <f>HYPERLINK("https://www.google.com/maps/search/Areia%20Branca%20-%20Foz%20Lourinh%C3%A3%20Lisboa%20Portugal","📍 Areia Branca - Foz")</f>
        <v>📍 Areia Branca - Foz</v>
      </c>
    </row>
    <row r="499" spans="1:9" ht="36" customHeight="1" x14ac:dyDescent="0.4">
      <c r="A499" s="678">
        <v>396</v>
      </c>
      <c r="B499" s="677" t="s">
        <v>19550</v>
      </c>
      <c r="C499" s="679" t="s">
        <v>913</v>
      </c>
      <c r="D499" s="677" t="s">
        <v>10072</v>
      </c>
      <c r="E499" s="677" t="s">
        <v>18631</v>
      </c>
      <c r="F499" s="680" t="s">
        <v>19544</v>
      </c>
      <c r="G499" s="681" t="s">
        <v>18632</v>
      </c>
      <c r="H499" s="677" t="s">
        <v>19551</v>
      </c>
      <c r="I499" s="683" t="str">
        <f>HYPERLINK("https://www.google.com/maps/search/Peralta%20Lourinh%C3%A3%20Lisboa%20Portugal","📍 Peralta")</f>
        <v>📍 Peralta</v>
      </c>
    </row>
    <row r="500" spans="1:9" ht="36" customHeight="1" x14ac:dyDescent="0.4">
      <c r="A500" s="672">
        <v>397</v>
      </c>
      <c r="B500" s="671" t="s">
        <v>19552</v>
      </c>
      <c r="C500" s="673" t="s">
        <v>913</v>
      </c>
      <c r="D500" s="671" t="s">
        <v>10072</v>
      </c>
      <c r="E500" s="671" t="s">
        <v>18631</v>
      </c>
      <c r="F500" s="674" t="s">
        <v>19544</v>
      </c>
      <c r="G500" s="675" t="s">
        <v>18632</v>
      </c>
      <c r="H500" s="671" t="s">
        <v>19553</v>
      </c>
      <c r="I500" s="682" t="str">
        <f>HYPERLINK("https://www.google.com/maps/search/Porto%20Dinheiro%20Lourinh%C3%A3%20Lisboa%20Portugal","📍 Porto Dinheiro")</f>
        <v>📍 Porto Dinheiro</v>
      </c>
    </row>
    <row r="501" spans="1:9" ht="20" customHeight="1" x14ac:dyDescent="0.45">
      <c r="A501" s="1595" t="s">
        <v>19447</v>
      </c>
      <c r="B501" s="1313"/>
      <c r="C501" s="1313"/>
      <c r="D501" s="1313"/>
      <c r="E501" s="1313"/>
      <c r="F501" s="1313"/>
      <c r="G501" s="1313"/>
      <c r="H501" s="1313"/>
      <c r="I501" s="1313"/>
    </row>
    <row r="502" spans="1:9" ht="36" customHeight="1" x14ac:dyDescent="0.4">
      <c r="A502" s="678">
        <v>398</v>
      </c>
      <c r="B502" s="677" t="s">
        <v>19554</v>
      </c>
      <c r="C502" s="679" t="s">
        <v>913</v>
      </c>
      <c r="D502" s="677" t="s">
        <v>8467</v>
      </c>
      <c r="E502" s="677" t="s">
        <v>1482</v>
      </c>
      <c r="F502" s="680" t="s">
        <v>19461</v>
      </c>
      <c r="G502" s="681" t="s">
        <v>18632</v>
      </c>
      <c r="H502" s="677" t="s">
        <v>19555</v>
      </c>
      <c r="I502" s="683" t="str">
        <f>HYPERLINK("https://www.google.com/maps/search/Carvoeiro%20(Ma%C3%A7%C3%A3o)%20Ma%C3%A7%C3%A3o%20Lisboa%20Portugal","📍 Carvoeiro (Mação)")</f>
        <v>📍 Carvoeiro (Mação)</v>
      </c>
    </row>
    <row r="503" spans="1:9" ht="20" customHeight="1" x14ac:dyDescent="0.45">
      <c r="A503" s="1595" t="s">
        <v>19448</v>
      </c>
      <c r="B503" s="1313"/>
      <c r="C503" s="1313"/>
      <c r="D503" s="1313"/>
      <c r="E503" s="1313"/>
      <c r="F503" s="1313"/>
      <c r="G503" s="1313"/>
      <c r="H503" s="1313"/>
      <c r="I503" s="1313"/>
    </row>
    <row r="504" spans="1:9" ht="36" customHeight="1" x14ac:dyDescent="0.4">
      <c r="A504" s="672">
        <v>399</v>
      </c>
      <c r="B504" s="671" t="s">
        <v>19556</v>
      </c>
      <c r="C504" s="673" t="s">
        <v>913</v>
      </c>
      <c r="D504" s="671" t="s">
        <v>7718</v>
      </c>
      <c r="E504" s="671" t="s">
        <v>18631</v>
      </c>
      <c r="F504" s="674" t="s">
        <v>19557</v>
      </c>
      <c r="G504" s="675" t="s">
        <v>18632</v>
      </c>
      <c r="H504" s="671" t="s">
        <v>19558</v>
      </c>
      <c r="I504" s="682" t="str">
        <f>HYPERLINK("https://www.google.com/maps/search/Algodio%20Mafra%20Lisboa%20Portugal","📍 Algodio")</f>
        <v>📍 Algodio</v>
      </c>
    </row>
    <row r="505" spans="1:9" ht="36" customHeight="1" x14ac:dyDescent="0.4">
      <c r="A505" s="678">
        <v>400</v>
      </c>
      <c r="B505" s="677" t="s">
        <v>19559</v>
      </c>
      <c r="C505" s="679" t="s">
        <v>913</v>
      </c>
      <c r="D505" s="677" t="s">
        <v>7718</v>
      </c>
      <c r="E505" s="677" t="s">
        <v>18631</v>
      </c>
      <c r="F505" s="680" t="s">
        <v>19557</v>
      </c>
      <c r="G505" s="681" t="s">
        <v>18632</v>
      </c>
      <c r="H505" s="677" t="s">
        <v>19560</v>
      </c>
      <c r="I505" s="683" t="str">
        <f>HYPERLINK("https://www.google.com/maps/search/Baleia%20Mafra%20Lisboa%20Portugal","📍 Baleia")</f>
        <v>📍 Baleia</v>
      </c>
    </row>
    <row r="506" spans="1:9" ht="36" customHeight="1" x14ac:dyDescent="0.4">
      <c r="A506" s="672">
        <v>401</v>
      </c>
      <c r="B506" s="671" t="s">
        <v>19561</v>
      </c>
      <c r="C506" s="673" t="s">
        <v>913</v>
      </c>
      <c r="D506" s="671" t="s">
        <v>7718</v>
      </c>
      <c r="E506" s="671" t="s">
        <v>18631</v>
      </c>
      <c r="F506" s="674" t="s">
        <v>19562</v>
      </c>
      <c r="G506" s="675" t="s">
        <v>18632</v>
      </c>
      <c r="H506" s="671" t="s">
        <v>19563</v>
      </c>
      <c r="I506" s="682" t="str">
        <f>HYPERLINK("https://www.google.com/maps/search/Foz%20do%20Lizandro%20-%20Mar%20Mafra%20Lisboa%20Portugal","📍 Foz do Lizandro - Mar")</f>
        <v>📍 Foz do Lizandro - Mar</v>
      </c>
    </row>
    <row r="507" spans="1:9" ht="36" customHeight="1" x14ac:dyDescent="0.4">
      <c r="A507" s="678">
        <v>402</v>
      </c>
      <c r="B507" s="677" t="s">
        <v>19564</v>
      </c>
      <c r="C507" s="679" t="s">
        <v>913</v>
      </c>
      <c r="D507" s="677" t="s">
        <v>7718</v>
      </c>
      <c r="E507" s="677" t="s">
        <v>18631</v>
      </c>
      <c r="F507" s="680" t="s">
        <v>19562</v>
      </c>
      <c r="G507" s="681" t="s">
        <v>18632</v>
      </c>
      <c r="H507" s="677" t="s">
        <v>19565</v>
      </c>
      <c r="I507" s="683" t="str">
        <f>HYPERLINK("https://www.google.com/maps/search/Porto%20da%20Calada%20Mafra%20Lisboa%20Portugal","📍 Porto da Calada")</f>
        <v>📍 Porto da Calada</v>
      </c>
    </row>
    <row r="508" spans="1:9" ht="36" customHeight="1" x14ac:dyDescent="0.4">
      <c r="A508" s="672">
        <v>403</v>
      </c>
      <c r="B508" s="671" t="s">
        <v>19566</v>
      </c>
      <c r="C508" s="673" t="s">
        <v>913</v>
      </c>
      <c r="D508" s="671" t="s">
        <v>7718</v>
      </c>
      <c r="E508" s="671" t="s">
        <v>18631</v>
      </c>
      <c r="F508" s="674" t="s">
        <v>19562</v>
      </c>
      <c r="G508" s="675" t="s">
        <v>18632</v>
      </c>
      <c r="H508" s="671" t="s">
        <v>19567</v>
      </c>
      <c r="I508" s="682" t="str">
        <f>HYPERLINK("https://www.google.com/maps/search/Ribeira%20de%20Ilhas%20Mafra%20Lisboa%20Portugal","📍 Ribeira de Ilhas")</f>
        <v>📍 Ribeira de Ilhas</v>
      </c>
    </row>
    <row r="509" spans="1:9" ht="36" customHeight="1" x14ac:dyDescent="0.4">
      <c r="A509" s="678">
        <v>404</v>
      </c>
      <c r="B509" s="677" t="s">
        <v>18732</v>
      </c>
      <c r="C509" s="679" t="s">
        <v>913</v>
      </c>
      <c r="D509" s="677" t="s">
        <v>7718</v>
      </c>
      <c r="E509" s="677" t="s">
        <v>18631</v>
      </c>
      <c r="F509" s="680" t="s">
        <v>19562</v>
      </c>
      <c r="G509" s="681" t="s">
        <v>18632</v>
      </c>
      <c r="H509" s="677" t="s">
        <v>19568</v>
      </c>
      <c r="I509" s="683" t="str">
        <f>HYPERLINK("https://www.google.com/maps/search/S.%20Louren%C3%A7o%20Mafra%20Lisboa%20Portugal","📍 S. Lourenço")</f>
        <v>📍 S. Lourenço</v>
      </c>
    </row>
    <row r="510" spans="1:9" ht="20" customHeight="1" x14ac:dyDescent="0.45">
      <c r="A510" s="1595" t="s">
        <v>19449</v>
      </c>
      <c r="B510" s="1313"/>
      <c r="C510" s="1313"/>
      <c r="D510" s="1313"/>
      <c r="E510" s="1313"/>
      <c r="F510" s="1313"/>
      <c r="G510" s="1313"/>
      <c r="H510" s="1313"/>
      <c r="I510" s="1313"/>
    </row>
    <row r="511" spans="1:9" ht="36" customHeight="1" x14ac:dyDescent="0.4">
      <c r="A511" s="672">
        <v>405</v>
      </c>
      <c r="B511" s="671" t="s">
        <v>9870</v>
      </c>
      <c r="C511" s="673" t="s">
        <v>913</v>
      </c>
      <c r="D511" s="671" t="s">
        <v>9870</v>
      </c>
      <c r="E511" s="671" t="s">
        <v>18631</v>
      </c>
      <c r="F511" s="674" t="s">
        <v>19569</v>
      </c>
      <c r="G511" s="675" t="s">
        <v>18632</v>
      </c>
      <c r="H511" s="671" t="s">
        <v>19570</v>
      </c>
      <c r="I511" s="682" t="str">
        <f>HYPERLINK("https://www.google.com/maps/search/Nazar%C3%A9%20Nazar%C3%A9%20Lisboa%20Portugal","📍 Nazaré")</f>
        <v>📍 Nazaré</v>
      </c>
    </row>
    <row r="512" spans="1:9" ht="36" customHeight="1" x14ac:dyDescent="0.4">
      <c r="A512" s="678">
        <v>406</v>
      </c>
      <c r="B512" s="677" t="s">
        <v>19571</v>
      </c>
      <c r="C512" s="679" t="s">
        <v>913</v>
      </c>
      <c r="D512" s="677" t="s">
        <v>9870</v>
      </c>
      <c r="E512" s="677" t="s">
        <v>18631</v>
      </c>
      <c r="F512" s="680" t="s">
        <v>19569</v>
      </c>
      <c r="G512" s="681" t="s">
        <v>18632</v>
      </c>
      <c r="H512" s="677" t="s">
        <v>19572</v>
      </c>
      <c r="I512" s="683" t="str">
        <f>HYPERLINK("https://www.google.com/maps/search/Salgado%20Nazar%C3%A9%20Lisboa%20Portugal","📍 Salgado")</f>
        <v>📍 Salgado</v>
      </c>
    </row>
    <row r="513" spans="1:9" ht="20" customHeight="1" x14ac:dyDescent="0.45">
      <c r="A513" s="1595" t="s">
        <v>19450</v>
      </c>
      <c r="B513" s="1313"/>
      <c r="C513" s="1313"/>
      <c r="D513" s="1313"/>
      <c r="E513" s="1313"/>
      <c r="F513" s="1313"/>
      <c r="G513" s="1313"/>
      <c r="H513" s="1313"/>
      <c r="I513" s="1313"/>
    </row>
    <row r="514" spans="1:9" ht="36" customHeight="1" x14ac:dyDescent="0.4">
      <c r="A514" s="672">
        <v>407</v>
      </c>
      <c r="B514" s="671" t="s">
        <v>19573</v>
      </c>
      <c r="C514" s="673" t="s">
        <v>913</v>
      </c>
      <c r="D514" s="671" t="s">
        <v>1113</v>
      </c>
      <c r="E514" s="671" t="s">
        <v>18829</v>
      </c>
      <c r="F514" s="674" t="s">
        <v>16897</v>
      </c>
      <c r="G514" s="675" t="s">
        <v>18632</v>
      </c>
      <c r="H514" s="671" t="s">
        <v>19574</v>
      </c>
      <c r="I514" s="682" t="str">
        <f>HYPERLINK("https://www.google.com/maps/search/Bom%20Sucesso%20%C3%93bidos%20Lisboa%20Portugal","📍 Bom Sucesso")</f>
        <v>📍 Bom Sucesso</v>
      </c>
    </row>
    <row r="515" spans="1:9" ht="36" customHeight="1" x14ac:dyDescent="0.4">
      <c r="A515" s="678">
        <v>408</v>
      </c>
      <c r="B515" s="677" t="s">
        <v>19575</v>
      </c>
      <c r="C515" s="679" t="s">
        <v>913</v>
      </c>
      <c r="D515" s="677" t="s">
        <v>1113</v>
      </c>
      <c r="E515" s="677" t="s">
        <v>18631</v>
      </c>
      <c r="F515" s="680" t="s">
        <v>19569</v>
      </c>
      <c r="G515" s="681" t="s">
        <v>18632</v>
      </c>
      <c r="H515" s="677" t="s">
        <v>19576</v>
      </c>
      <c r="I515" s="683" t="str">
        <f>HYPERLINK("https://www.google.com/maps/search/Rei%20do%20Corti%C3%A7o%20%C3%93bidos%20Lisboa%20Portugal","📍 Rei do Cortiço")</f>
        <v>📍 Rei do Cortiço</v>
      </c>
    </row>
    <row r="516" spans="1:9" ht="20" customHeight="1" x14ac:dyDescent="0.45">
      <c r="A516" s="1595" t="s">
        <v>19451</v>
      </c>
      <c r="B516" s="1313"/>
      <c r="C516" s="1313"/>
      <c r="D516" s="1313"/>
      <c r="E516" s="1313"/>
      <c r="F516" s="1313"/>
      <c r="G516" s="1313"/>
      <c r="H516" s="1313"/>
      <c r="I516" s="1313"/>
    </row>
    <row r="517" spans="1:9" ht="36" customHeight="1" x14ac:dyDescent="0.4">
      <c r="A517" s="672">
        <v>409</v>
      </c>
      <c r="B517" s="671" t="s">
        <v>13472</v>
      </c>
      <c r="C517" s="673" t="s">
        <v>913</v>
      </c>
      <c r="D517" s="671" t="s">
        <v>5691</v>
      </c>
      <c r="E517" s="671" t="s">
        <v>18631</v>
      </c>
      <c r="F517" s="674" t="s">
        <v>19577</v>
      </c>
      <c r="G517" s="675" t="s">
        <v>18632</v>
      </c>
      <c r="H517" s="671" t="s">
        <v>19578</v>
      </c>
      <c r="I517" s="682" t="str">
        <f>HYPERLINK("https://www.google.com/maps/search/Santo%20Amaro%20Oeiras%20Lisboa%20Portugal","📍 Santo Amaro")</f>
        <v>📍 Santo Amaro</v>
      </c>
    </row>
    <row r="518" spans="1:9" ht="36" customHeight="1" x14ac:dyDescent="0.4">
      <c r="A518" s="678">
        <v>410</v>
      </c>
      <c r="B518" s="677" t="s">
        <v>13327</v>
      </c>
      <c r="C518" s="679" t="s">
        <v>913</v>
      </c>
      <c r="D518" s="677" t="s">
        <v>5691</v>
      </c>
      <c r="E518" s="677" t="s">
        <v>18631</v>
      </c>
      <c r="F518" s="680" t="s">
        <v>19577</v>
      </c>
      <c r="G518" s="681" t="s">
        <v>18632</v>
      </c>
      <c r="H518" s="677" t="s">
        <v>19579</v>
      </c>
      <c r="I518" s="683" t="str">
        <f>HYPERLINK("https://www.google.com/maps/search/Torre%20Oeiras%20Lisboa%20Portugal","📍 Torre")</f>
        <v>📍 Torre</v>
      </c>
    </row>
    <row r="519" spans="1:9" ht="36" customHeight="1" x14ac:dyDescent="0.4">
      <c r="A519" s="672">
        <v>411</v>
      </c>
      <c r="B519" s="671" t="s">
        <v>19580</v>
      </c>
      <c r="C519" s="673" t="s">
        <v>913</v>
      </c>
      <c r="D519" s="671" t="s">
        <v>5691</v>
      </c>
      <c r="E519" s="671" t="s">
        <v>18645</v>
      </c>
      <c r="F519" s="674" t="s">
        <v>19577</v>
      </c>
      <c r="G519" s="675" t="s">
        <v>18632</v>
      </c>
      <c r="H519" s="671" t="s">
        <v>19581</v>
      </c>
      <c r="I519" s="682" t="str">
        <f>HYPERLINK("https://www.google.com/maps/search/Porto%20de%20Recreio%20de%20Oeiras%20Oeiras%20Lisboa%20Portugal","📍 Porto de Recreio de Oeiras")</f>
        <v>📍 Porto de Recreio de Oeiras</v>
      </c>
    </row>
    <row r="520" spans="1:9" ht="20" customHeight="1" x14ac:dyDescent="0.45">
      <c r="A520" s="1595" t="s">
        <v>19452</v>
      </c>
      <c r="B520" s="1313"/>
      <c r="C520" s="1313"/>
      <c r="D520" s="1313"/>
      <c r="E520" s="1313"/>
      <c r="F520" s="1313"/>
      <c r="G520" s="1313"/>
      <c r="H520" s="1313"/>
      <c r="I520" s="1313"/>
    </row>
    <row r="521" spans="1:9" ht="36" customHeight="1" x14ac:dyDescent="0.4">
      <c r="A521" s="678">
        <v>412</v>
      </c>
      <c r="B521" s="677" t="s">
        <v>19582</v>
      </c>
      <c r="C521" s="679" t="s">
        <v>913</v>
      </c>
      <c r="D521" s="677" t="s">
        <v>9844</v>
      </c>
      <c r="E521" s="677" t="s">
        <v>1482</v>
      </c>
      <c r="F521" s="680" t="s">
        <v>19583</v>
      </c>
      <c r="G521" s="681" t="s">
        <v>18632</v>
      </c>
      <c r="H521" s="677" t="s">
        <v>19584</v>
      </c>
      <c r="I521" s="683" t="str">
        <f>HYPERLINK("https://www.google.com/maps/search/A%C3%A7ude%20do%20Pinto%20Oleiros%20Lisboa%20Portugal","📍 Açude do Pinto")</f>
        <v>📍 Açude do Pinto</v>
      </c>
    </row>
    <row r="522" spans="1:9" ht="20" customHeight="1" x14ac:dyDescent="0.45">
      <c r="A522" s="1595" t="s">
        <v>19453</v>
      </c>
      <c r="B522" s="1313"/>
      <c r="C522" s="1313"/>
      <c r="D522" s="1313"/>
      <c r="E522" s="1313"/>
      <c r="F522" s="1313"/>
      <c r="G522" s="1313"/>
      <c r="H522" s="1313"/>
      <c r="I522" s="1313"/>
    </row>
    <row r="523" spans="1:9" ht="36" customHeight="1" x14ac:dyDescent="0.4">
      <c r="A523" s="672">
        <v>413</v>
      </c>
      <c r="B523" s="671" t="s">
        <v>19585</v>
      </c>
      <c r="C523" s="673" t="s">
        <v>913</v>
      </c>
      <c r="D523" s="671" t="s">
        <v>2068</v>
      </c>
      <c r="E523" s="671" t="s">
        <v>1482</v>
      </c>
      <c r="F523" s="674" t="s">
        <v>19586</v>
      </c>
      <c r="G523" s="675" t="s">
        <v>18632</v>
      </c>
      <c r="H523" s="671" t="s">
        <v>19587</v>
      </c>
      <c r="I523" s="682" t="str">
        <f>HYPERLINK("https://www.google.com/maps/search/Agroal%20Our%C3%A9m%20Lisboa%20Portugal","📍 Agroal")</f>
        <v>📍 Agroal</v>
      </c>
    </row>
    <row r="524" spans="1:9" ht="20" customHeight="1" x14ac:dyDescent="0.45">
      <c r="A524" s="1595" t="s">
        <v>19454</v>
      </c>
      <c r="B524" s="1313"/>
      <c r="C524" s="1313"/>
      <c r="D524" s="1313"/>
      <c r="E524" s="1313"/>
      <c r="F524" s="1313"/>
      <c r="G524" s="1313"/>
      <c r="H524" s="1313"/>
      <c r="I524" s="1313"/>
    </row>
    <row r="525" spans="1:9" ht="36" customHeight="1" x14ac:dyDescent="0.4">
      <c r="A525" s="678">
        <v>414</v>
      </c>
      <c r="B525" s="677" t="s">
        <v>19588</v>
      </c>
      <c r="C525" s="679" t="s">
        <v>913</v>
      </c>
      <c r="D525" s="677" t="s">
        <v>8522</v>
      </c>
      <c r="E525" s="677" t="s">
        <v>1482</v>
      </c>
      <c r="F525" s="680" t="s">
        <v>19589</v>
      </c>
      <c r="G525" s="681" t="s">
        <v>18632</v>
      </c>
      <c r="H525" s="677" t="s">
        <v>19590</v>
      </c>
      <c r="I525" s="683" t="str">
        <f>HYPERLINK("https://www.google.com/maps/search/Pessegueiro%20Pampilhosa%20da%20Serra%20Lisboa%20Portugal","📍 Pessegueiro")</f>
        <v>📍 Pessegueiro</v>
      </c>
    </row>
    <row r="526" spans="1:9" ht="36" customHeight="1" x14ac:dyDescent="0.4">
      <c r="A526" s="672">
        <v>415</v>
      </c>
      <c r="B526" s="671" t="s">
        <v>19591</v>
      </c>
      <c r="C526" s="673" t="s">
        <v>913</v>
      </c>
      <c r="D526" s="671" t="s">
        <v>8522</v>
      </c>
      <c r="E526" s="671" t="s">
        <v>1482</v>
      </c>
      <c r="F526" s="674" t="s">
        <v>19589</v>
      </c>
      <c r="G526" s="675" t="s">
        <v>18632</v>
      </c>
      <c r="H526" s="671" t="s">
        <v>19592</v>
      </c>
      <c r="I526" s="682" t="str">
        <f>HYPERLINK("https://www.google.com/maps/search/Praia%20de%20Pampilhosa%20da%20Serra%20Pampilhosa%20da%20Serra%20Lisboa%20Portugal","📍 Praia de Pampilhosa da Serra")</f>
        <v>📍 Praia de Pampilhosa da Serra</v>
      </c>
    </row>
    <row r="527" spans="1:9" ht="36" customHeight="1" x14ac:dyDescent="0.4">
      <c r="A527" s="678">
        <v>416</v>
      </c>
      <c r="B527" s="677" t="s">
        <v>11133</v>
      </c>
      <c r="C527" s="679" t="s">
        <v>913</v>
      </c>
      <c r="D527" s="677" t="s">
        <v>8522</v>
      </c>
      <c r="E527" s="677" t="s">
        <v>1482</v>
      </c>
      <c r="F527" s="680" t="s">
        <v>19589</v>
      </c>
      <c r="G527" s="681" t="s">
        <v>18632</v>
      </c>
      <c r="H527" s="677" t="s">
        <v>19593</v>
      </c>
      <c r="I527" s="683" t="str">
        <f>HYPERLINK("https://www.google.com/maps/search/Santa%20Luzia%20Pampilhosa%20da%20Serra%20Lisboa%20Portugal","📍 Santa Luzia")</f>
        <v>📍 Santa Luzia</v>
      </c>
    </row>
    <row r="528" spans="1:9" ht="20" customHeight="1" x14ac:dyDescent="0.45">
      <c r="A528" s="1595" t="s">
        <v>19455</v>
      </c>
      <c r="B528" s="1313"/>
      <c r="C528" s="1313"/>
      <c r="D528" s="1313"/>
      <c r="E528" s="1313"/>
      <c r="F528" s="1313"/>
      <c r="G528" s="1313"/>
      <c r="H528" s="1313"/>
      <c r="I528" s="1313"/>
    </row>
    <row r="529" spans="1:9" ht="36" customHeight="1" x14ac:dyDescent="0.4">
      <c r="A529" s="672">
        <v>417</v>
      </c>
      <c r="B529" s="671" t="s">
        <v>19594</v>
      </c>
      <c r="C529" s="673" t="s">
        <v>913</v>
      </c>
      <c r="D529" s="671" t="s">
        <v>6551</v>
      </c>
      <c r="E529" s="671" t="s">
        <v>18631</v>
      </c>
      <c r="F529" s="674" t="s">
        <v>19595</v>
      </c>
      <c r="G529" s="675" t="s">
        <v>18632</v>
      </c>
      <c r="H529" s="671" t="s">
        <v>19596</v>
      </c>
      <c r="I529" s="682" t="str">
        <f>HYPERLINK("https://www.google.com/maps/search/Baleal%20Norte%20Peniche%20Lisboa%20Portugal","📍 Baleal Norte")</f>
        <v>📍 Baleal Norte</v>
      </c>
    </row>
    <row r="530" spans="1:9" ht="36" customHeight="1" x14ac:dyDescent="0.4">
      <c r="A530" s="678">
        <v>418</v>
      </c>
      <c r="B530" s="677" t="s">
        <v>19597</v>
      </c>
      <c r="C530" s="679" t="s">
        <v>913</v>
      </c>
      <c r="D530" s="677" t="s">
        <v>6551</v>
      </c>
      <c r="E530" s="677" t="s">
        <v>18631</v>
      </c>
      <c r="F530" s="680" t="s">
        <v>19595</v>
      </c>
      <c r="G530" s="681" t="s">
        <v>18632</v>
      </c>
      <c r="H530" s="677" t="s">
        <v>19598</v>
      </c>
      <c r="I530" s="683" t="str">
        <f>HYPERLINK("https://www.google.com/maps/search/Baleal%20Sul%20Peniche%20Lisboa%20Portugal","📍 Baleal Sul")</f>
        <v>📍 Baleal Sul</v>
      </c>
    </row>
    <row r="531" spans="1:9" ht="36" customHeight="1" x14ac:dyDescent="0.4">
      <c r="A531" s="672">
        <v>419</v>
      </c>
      <c r="B531" s="671" t="s">
        <v>19599</v>
      </c>
      <c r="C531" s="673" t="s">
        <v>913</v>
      </c>
      <c r="D531" s="671" t="s">
        <v>6551</v>
      </c>
      <c r="E531" s="671" t="s">
        <v>18631</v>
      </c>
      <c r="F531" s="674" t="s">
        <v>19595</v>
      </c>
      <c r="G531" s="675" t="s">
        <v>18632</v>
      </c>
      <c r="H531" s="671" t="s">
        <v>19600</v>
      </c>
      <c r="I531" s="682" t="str">
        <f>HYPERLINK("https://www.google.com/maps/search/Consola%C3%A7%C3%A3o%20Peniche%20Lisboa%20Portugal","📍 Consolação")</f>
        <v>📍 Consolação</v>
      </c>
    </row>
    <row r="532" spans="1:9" ht="36" customHeight="1" x14ac:dyDescent="0.4">
      <c r="A532" s="678">
        <v>420</v>
      </c>
      <c r="B532" s="677" t="s">
        <v>19601</v>
      </c>
      <c r="C532" s="679" t="s">
        <v>913</v>
      </c>
      <c r="D532" s="677" t="s">
        <v>6551</v>
      </c>
      <c r="E532" s="677" t="s">
        <v>18631</v>
      </c>
      <c r="F532" s="680" t="s">
        <v>19595</v>
      </c>
      <c r="G532" s="681" t="s">
        <v>18632</v>
      </c>
      <c r="H532" s="677" t="s">
        <v>19602</v>
      </c>
      <c r="I532" s="683" t="str">
        <f>HYPERLINK("https://www.google.com/maps/search/Cova%20da%20Alfarroba%20Peniche%20Lisboa%20Portugal","📍 Cova da Alfarroba")</f>
        <v>📍 Cova da Alfarroba</v>
      </c>
    </row>
    <row r="533" spans="1:9" ht="36" customHeight="1" x14ac:dyDescent="0.4">
      <c r="A533" s="672">
        <v>421</v>
      </c>
      <c r="B533" s="671" t="s">
        <v>19603</v>
      </c>
      <c r="C533" s="673" t="s">
        <v>913</v>
      </c>
      <c r="D533" s="671" t="s">
        <v>6551</v>
      </c>
      <c r="E533" s="671" t="s">
        <v>18631</v>
      </c>
      <c r="F533" s="674" t="s">
        <v>19595</v>
      </c>
      <c r="G533" s="675" t="s">
        <v>18632</v>
      </c>
      <c r="H533" s="671" t="s">
        <v>19604</v>
      </c>
      <c r="I533" s="682" t="str">
        <f>HYPERLINK("https://www.google.com/maps/search/Gamb%C3%B4a%20Peniche%20Lisboa%20Portugal","📍 Gambôa")</f>
        <v>📍 Gambôa</v>
      </c>
    </row>
    <row r="534" spans="1:9" ht="36" customHeight="1" x14ac:dyDescent="0.4">
      <c r="A534" s="678">
        <v>422</v>
      </c>
      <c r="B534" s="677" t="s">
        <v>19605</v>
      </c>
      <c r="C534" s="679" t="s">
        <v>913</v>
      </c>
      <c r="D534" s="677" t="s">
        <v>6551</v>
      </c>
      <c r="E534" s="677" t="s">
        <v>18631</v>
      </c>
      <c r="F534" s="680" t="s">
        <v>19595</v>
      </c>
      <c r="G534" s="681" t="s">
        <v>18632</v>
      </c>
      <c r="H534" s="677" t="s">
        <v>19606</v>
      </c>
      <c r="I534" s="683" t="str">
        <f>HYPERLINK("https://www.google.com/maps/search/Med%C3%A3o-Supertubos%20Peniche%20Lisboa%20Portugal","📍 Medão-Supertubos")</f>
        <v>📍 Medão-Supertubos</v>
      </c>
    </row>
    <row r="535" spans="1:9" ht="36" customHeight="1" x14ac:dyDescent="0.4">
      <c r="A535" s="672">
        <v>423</v>
      </c>
      <c r="B535" s="671" t="s">
        <v>19607</v>
      </c>
      <c r="C535" s="673" t="s">
        <v>913</v>
      </c>
      <c r="D535" s="671" t="s">
        <v>6551</v>
      </c>
      <c r="E535" s="671" t="s">
        <v>18631</v>
      </c>
      <c r="F535" s="674" t="s">
        <v>19595</v>
      </c>
      <c r="G535" s="675" t="s">
        <v>18632</v>
      </c>
      <c r="H535" s="671" t="s">
        <v>19608</v>
      </c>
      <c r="I535" s="682" t="str">
        <f>HYPERLINK("https://www.google.com/maps/search/S.%20Bernardino%20Peniche%20Lisboa%20Portugal","📍 S. Bernardino")</f>
        <v>📍 S. Bernardino</v>
      </c>
    </row>
    <row r="536" spans="1:9" ht="20" customHeight="1" x14ac:dyDescent="0.45">
      <c r="A536" s="1595" t="s">
        <v>19456</v>
      </c>
      <c r="B536" s="1313"/>
      <c r="C536" s="1313"/>
      <c r="D536" s="1313"/>
      <c r="E536" s="1313"/>
      <c r="F536" s="1313"/>
      <c r="G536" s="1313"/>
      <c r="H536" s="1313"/>
      <c r="I536" s="1313"/>
    </row>
    <row r="537" spans="1:9" ht="36" customHeight="1" x14ac:dyDescent="0.4">
      <c r="A537" s="678">
        <v>424</v>
      </c>
      <c r="B537" s="677" t="s">
        <v>19609</v>
      </c>
      <c r="C537" s="679" t="s">
        <v>913</v>
      </c>
      <c r="D537" s="677" t="s">
        <v>5947</v>
      </c>
      <c r="E537" s="677" t="s">
        <v>18829</v>
      </c>
      <c r="F537" s="680" t="s">
        <v>18836</v>
      </c>
      <c r="G537" s="681" t="s">
        <v>18632</v>
      </c>
      <c r="H537" s="677" t="s">
        <v>19610</v>
      </c>
      <c r="I537" s="683" t="str">
        <f>HYPERLINK("https://www.google.com/maps/search/Lagoa%20de%20Albufeira%20-%20Mar%20Sesimbra%20Lisboa%20Portugal","📍 Lagoa de Albufeira - Mar")</f>
        <v>📍 Lagoa de Albufeira - Mar</v>
      </c>
    </row>
    <row r="538" spans="1:9" ht="36" customHeight="1" x14ac:dyDescent="0.4">
      <c r="A538" s="672">
        <v>425</v>
      </c>
      <c r="B538" s="671" t="s">
        <v>19611</v>
      </c>
      <c r="C538" s="673" t="s">
        <v>913</v>
      </c>
      <c r="D538" s="671" t="s">
        <v>5947</v>
      </c>
      <c r="E538" s="671" t="s">
        <v>18631</v>
      </c>
      <c r="F538" s="674" t="s">
        <v>18836</v>
      </c>
      <c r="G538" s="675" t="s">
        <v>18632</v>
      </c>
      <c r="H538" s="671" t="s">
        <v>19612</v>
      </c>
      <c r="I538" s="682" t="str">
        <f>HYPERLINK("https://www.google.com/maps/search/Moinho%20de%20Baixo-Meco%20Sesimbra%20Lisboa%20Portugal","📍 Moinho de Baixo-Meco")</f>
        <v>📍 Moinho de Baixo-Meco</v>
      </c>
    </row>
    <row r="539" spans="1:9" ht="20" customHeight="1" x14ac:dyDescent="0.45">
      <c r="A539" s="1595" t="s">
        <v>19457</v>
      </c>
      <c r="B539" s="1313"/>
      <c r="C539" s="1313"/>
      <c r="D539" s="1313"/>
      <c r="E539" s="1313"/>
      <c r="F539" s="1313"/>
      <c r="G539" s="1313"/>
      <c r="H539" s="1313"/>
      <c r="I539" s="1313"/>
    </row>
    <row r="540" spans="1:9" ht="36" customHeight="1" x14ac:dyDescent="0.4">
      <c r="A540" s="678">
        <v>426</v>
      </c>
      <c r="B540" s="677" t="s">
        <v>19613</v>
      </c>
      <c r="C540" s="679" t="s">
        <v>913</v>
      </c>
      <c r="D540" s="677" t="s">
        <v>2567</v>
      </c>
      <c r="E540" s="677" t="s">
        <v>18631</v>
      </c>
      <c r="F540" s="680" t="s">
        <v>19508</v>
      </c>
      <c r="G540" s="681" t="s">
        <v>18632</v>
      </c>
      <c r="H540" s="677" t="s">
        <v>19614</v>
      </c>
      <c r="I540" s="683" t="str">
        <f>HYPERLINK("https://www.google.com/maps/search/Adraga%20Sintra%20Lisboa%20Portugal","📍 Adraga")</f>
        <v>📍 Adraga</v>
      </c>
    </row>
    <row r="541" spans="1:9" ht="36" customHeight="1" x14ac:dyDescent="0.4">
      <c r="A541" s="672">
        <v>427</v>
      </c>
      <c r="B541" s="671" t="s">
        <v>18691</v>
      </c>
      <c r="C541" s="673" t="s">
        <v>913</v>
      </c>
      <c r="D541" s="671" t="s">
        <v>2567</v>
      </c>
      <c r="E541" s="671" t="s">
        <v>18631</v>
      </c>
      <c r="F541" s="674" t="s">
        <v>19508</v>
      </c>
      <c r="G541" s="675" t="s">
        <v>18632</v>
      </c>
      <c r="H541" s="671" t="s">
        <v>19615</v>
      </c>
      <c r="I541" s="682" t="str">
        <f>HYPERLINK("https://www.google.com/maps/search/Grande%20Sintra%20Lisboa%20Portugal","📍 Grande")</f>
        <v>📍 Grande</v>
      </c>
    </row>
    <row r="542" spans="1:9" ht="36" customHeight="1" x14ac:dyDescent="0.4">
      <c r="A542" s="678">
        <v>428</v>
      </c>
      <c r="B542" s="677" t="s">
        <v>19616</v>
      </c>
      <c r="C542" s="679" t="s">
        <v>913</v>
      </c>
      <c r="D542" s="677" t="s">
        <v>2567</v>
      </c>
      <c r="E542" s="677" t="s">
        <v>18631</v>
      </c>
      <c r="F542" s="680" t="s">
        <v>19508</v>
      </c>
      <c r="G542" s="681" t="s">
        <v>18632</v>
      </c>
      <c r="H542" s="677" t="s">
        <v>19617</v>
      </c>
      <c r="I542" s="683" t="str">
        <f>HYPERLINK("https://www.google.com/maps/search/Ma%C3%A7%C3%A3s%20Sintra%20Lisboa%20Portugal","📍 Maçãs")</f>
        <v>📍 Maçãs</v>
      </c>
    </row>
    <row r="543" spans="1:9" ht="36" customHeight="1" x14ac:dyDescent="0.4">
      <c r="A543" s="672">
        <v>429</v>
      </c>
      <c r="B543" s="671" t="s">
        <v>19618</v>
      </c>
      <c r="C543" s="673" t="s">
        <v>913</v>
      </c>
      <c r="D543" s="671" t="s">
        <v>2567</v>
      </c>
      <c r="E543" s="671" t="s">
        <v>18631</v>
      </c>
      <c r="F543" s="674" t="s">
        <v>19508</v>
      </c>
      <c r="G543" s="675" t="s">
        <v>18632</v>
      </c>
      <c r="H543" s="671" t="s">
        <v>19619</v>
      </c>
      <c r="I543" s="682" t="str">
        <f>HYPERLINK("https://www.google.com/maps/search/Magoito%20Sintra%20Lisboa%20Portugal","📍 Magoito")</f>
        <v>📍 Magoito</v>
      </c>
    </row>
    <row r="544" spans="1:9" ht="36" customHeight="1" x14ac:dyDescent="0.4">
      <c r="A544" s="678">
        <v>430</v>
      </c>
      <c r="B544" s="677" t="s">
        <v>19620</v>
      </c>
      <c r="C544" s="679" t="s">
        <v>913</v>
      </c>
      <c r="D544" s="677" t="s">
        <v>2567</v>
      </c>
      <c r="E544" s="677" t="s">
        <v>18631</v>
      </c>
      <c r="F544" s="680" t="s">
        <v>19508</v>
      </c>
      <c r="G544" s="681" t="s">
        <v>18632</v>
      </c>
      <c r="H544" s="677" t="s">
        <v>19621</v>
      </c>
      <c r="I544" s="683" t="str">
        <f>HYPERLINK("https://www.google.com/maps/search/S.%20Juli%C3%A3o%20Sintra%20Lisboa%20Portugal","📍 S. Julião")</f>
        <v>📍 S. Julião</v>
      </c>
    </row>
    <row r="545" spans="1:9" ht="20" customHeight="1" x14ac:dyDescent="0.45">
      <c r="A545" s="1595" t="s">
        <v>19458</v>
      </c>
      <c r="B545" s="1313"/>
      <c r="C545" s="1313"/>
      <c r="D545" s="1313"/>
      <c r="E545" s="1313"/>
      <c r="F545" s="1313"/>
      <c r="G545" s="1313"/>
      <c r="H545" s="1313"/>
      <c r="I545" s="1313"/>
    </row>
    <row r="546" spans="1:9" ht="36" customHeight="1" x14ac:dyDescent="0.4">
      <c r="A546" s="672">
        <v>431</v>
      </c>
      <c r="B546" s="671" t="s">
        <v>19622</v>
      </c>
      <c r="C546" s="673" t="s">
        <v>913</v>
      </c>
      <c r="D546" s="671" t="s">
        <v>6555</v>
      </c>
      <c r="E546" s="671" t="s">
        <v>18631</v>
      </c>
      <c r="F546" s="674" t="s">
        <v>19544</v>
      </c>
      <c r="G546" s="675" t="s">
        <v>18632</v>
      </c>
      <c r="H546" s="671" t="s">
        <v>19623</v>
      </c>
      <c r="I546" s="682" t="str">
        <f>HYPERLINK("https://www.google.com/maps/search/Azul%20Torres%20Vedras%20Lisboa%20Portugal","📍 Azul")</f>
        <v>📍 Azul</v>
      </c>
    </row>
    <row r="547" spans="1:9" ht="36" customHeight="1" x14ac:dyDescent="0.4">
      <c r="A547" s="678">
        <v>432</v>
      </c>
      <c r="B547" s="677" t="s">
        <v>19624</v>
      </c>
      <c r="C547" s="679" t="s">
        <v>913</v>
      </c>
      <c r="D547" s="677" t="s">
        <v>6555</v>
      </c>
      <c r="E547" s="677" t="s">
        <v>18631</v>
      </c>
      <c r="F547" s="680" t="s">
        <v>19544</v>
      </c>
      <c r="G547" s="681" t="s">
        <v>18632</v>
      </c>
      <c r="H547" s="677" t="s">
        <v>19625</v>
      </c>
      <c r="I547" s="683" t="str">
        <f>HYPERLINK("https://www.google.com/maps/search/Centro%20(Sta.%20Cruz)%20Torres%20Vedras%20Lisboa%20Portugal","📍 Centro (Sta. Cruz)")</f>
        <v>📍 Centro (Sta. Cruz)</v>
      </c>
    </row>
    <row r="548" spans="1:9" ht="36" customHeight="1" x14ac:dyDescent="0.4">
      <c r="A548" s="672">
        <v>433</v>
      </c>
      <c r="B548" s="671" t="s">
        <v>19626</v>
      </c>
      <c r="C548" s="673" t="s">
        <v>913</v>
      </c>
      <c r="D548" s="671" t="s">
        <v>6555</v>
      </c>
      <c r="E548" s="671" t="s">
        <v>18631</v>
      </c>
      <c r="F548" s="674" t="s">
        <v>19544</v>
      </c>
      <c r="G548" s="675" t="s">
        <v>18632</v>
      </c>
      <c r="H548" s="671" t="s">
        <v>19627</v>
      </c>
      <c r="I548" s="682" t="str">
        <f>HYPERLINK("https://www.google.com/maps/search/F%C3%ADsica%20(Sta.%20Cruz)%20Torres%20Vedras%20Lisboa%20Portugal","📍 Física (Sta. Cruz)")</f>
        <v>📍 Física (Sta. Cruz)</v>
      </c>
    </row>
    <row r="549" spans="1:9" ht="36" customHeight="1" x14ac:dyDescent="0.4">
      <c r="A549" s="678">
        <v>434</v>
      </c>
      <c r="B549" s="677" t="s">
        <v>18729</v>
      </c>
      <c r="C549" s="679" t="s">
        <v>913</v>
      </c>
      <c r="D549" s="677" t="s">
        <v>6555</v>
      </c>
      <c r="E549" s="677" t="s">
        <v>18631</v>
      </c>
      <c r="F549" s="680" t="s">
        <v>19544</v>
      </c>
      <c r="G549" s="681" t="s">
        <v>18632</v>
      </c>
      <c r="H549" s="677" t="s">
        <v>19628</v>
      </c>
      <c r="I549" s="683" t="str">
        <f>HYPERLINK("https://www.google.com/maps/search/Formosa%20Torres%20Vedras%20Lisboa%20Portugal","📍 Formosa")</f>
        <v>📍 Formosa</v>
      </c>
    </row>
    <row r="550" spans="1:9" ht="36" customHeight="1" x14ac:dyDescent="0.4">
      <c r="A550" s="672">
        <v>435</v>
      </c>
      <c r="B550" s="671" t="s">
        <v>19629</v>
      </c>
      <c r="C550" s="673" t="s">
        <v>913</v>
      </c>
      <c r="D550" s="671" t="s">
        <v>6555</v>
      </c>
      <c r="E550" s="671" t="s">
        <v>18631</v>
      </c>
      <c r="F550" s="674" t="s">
        <v>19544</v>
      </c>
      <c r="G550" s="675" t="s">
        <v>18632</v>
      </c>
      <c r="H550" s="671" t="s">
        <v>19630</v>
      </c>
      <c r="I550" s="682" t="str">
        <f>HYPERLINK("https://www.google.com/maps/search/Foz%20do%20Sizandro%20-%20Mar%20Torres%20Vedras%20Lisboa%20Portugal","📍 Foz do Sizandro - Mar")</f>
        <v>📍 Foz do Sizandro - Mar</v>
      </c>
    </row>
    <row r="551" spans="1:9" ht="36" customHeight="1" x14ac:dyDescent="0.4">
      <c r="A551" s="678">
        <v>436</v>
      </c>
      <c r="B551" s="677" t="s">
        <v>19631</v>
      </c>
      <c r="C551" s="679" t="s">
        <v>913</v>
      </c>
      <c r="D551" s="677" t="s">
        <v>6555</v>
      </c>
      <c r="E551" s="677" t="s">
        <v>18631</v>
      </c>
      <c r="F551" s="680" t="s">
        <v>19544</v>
      </c>
      <c r="G551" s="681" t="s">
        <v>18632</v>
      </c>
      <c r="H551" s="677" t="s">
        <v>19632</v>
      </c>
      <c r="I551" s="683" t="str">
        <f>HYPERLINK("https://www.google.com/maps/search/Navio%20Torres%20Vedras%20Lisboa%20Portugal","📍 Navio")</f>
        <v>📍 Navio</v>
      </c>
    </row>
    <row r="552" spans="1:9" ht="36" customHeight="1" x14ac:dyDescent="0.4">
      <c r="A552" s="672">
        <v>437</v>
      </c>
      <c r="B552" s="671" t="s">
        <v>19633</v>
      </c>
      <c r="C552" s="673" t="s">
        <v>913</v>
      </c>
      <c r="D552" s="671" t="s">
        <v>6555</v>
      </c>
      <c r="E552" s="671" t="s">
        <v>18631</v>
      </c>
      <c r="F552" s="674" t="s">
        <v>19544</v>
      </c>
      <c r="G552" s="675" t="s">
        <v>18632</v>
      </c>
      <c r="H552" s="671" t="s">
        <v>19634</v>
      </c>
      <c r="I552" s="682" t="str">
        <f>HYPERLINK("https://www.google.com/maps/search/Pis%C3%A3o%20(Sta.%20Cruz)%20Torres%20Vedras%20Lisboa%20Portugal","📍 Pisão (Sta. Cruz)")</f>
        <v>📍 Pisão (Sta. Cruz)</v>
      </c>
    </row>
    <row r="553" spans="1:9" ht="36" customHeight="1" x14ac:dyDescent="0.4">
      <c r="A553" s="678">
        <v>438</v>
      </c>
      <c r="B553" s="677" t="s">
        <v>19635</v>
      </c>
      <c r="C553" s="679" t="s">
        <v>913</v>
      </c>
      <c r="D553" s="677" t="s">
        <v>6555</v>
      </c>
      <c r="E553" s="677" t="s">
        <v>18631</v>
      </c>
      <c r="F553" s="680" t="s">
        <v>19544</v>
      </c>
      <c r="G553" s="681" t="s">
        <v>18632</v>
      </c>
      <c r="H553" s="677" t="s">
        <v>19636</v>
      </c>
      <c r="I553" s="683" t="str">
        <f>HYPERLINK("https://www.google.com/maps/search/Porto%20Novo%20Torres%20Vedras%20Lisboa%20Portugal","📍 Porto Novo")</f>
        <v>📍 Porto Novo</v>
      </c>
    </row>
    <row r="554" spans="1:9" ht="36" customHeight="1" x14ac:dyDescent="0.4">
      <c r="A554" s="672">
        <v>439</v>
      </c>
      <c r="B554" s="671" t="s">
        <v>19637</v>
      </c>
      <c r="C554" s="673" t="s">
        <v>913</v>
      </c>
      <c r="D554" s="671" t="s">
        <v>6555</v>
      </c>
      <c r="E554" s="671" t="s">
        <v>18631</v>
      </c>
      <c r="F554" s="674" t="s">
        <v>19544</v>
      </c>
      <c r="G554" s="675" t="s">
        <v>18632</v>
      </c>
      <c r="H554" s="671" t="s">
        <v>19638</v>
      </c>
      <c r="I554" s="682" t="str">
        <f>HYPERLINK("https://www.google.com/maps/search/Santa%20Helena%20Torres%20Vedras%20Lisboa%20Portugal","📍 Santa Helena")</f>
        <v>📍 Santa Helena</v>
      </c>
    </row>
    <row r="555" spans="1:9" ht="36" customHeight="1" x14ac:dyDescent="0.4">
      <c r="A555" s="678">
        <v>440</v>
      </c>
      <c r="B555" s="677" t="s">
        <v>19639</v>
      </c>
      <c r="C555" s="679" t="s">
        <v>913</v>
      </c>
      <c r="D555" s="677" t="s">
        <v>6555</v>
      </c>
      <c r="E555" s="677" t="s">
        <v>18631</v>
      </c>
      <c r="F555" s="680" t="s">
        <v>19544</v>
      </c>
      <c r="G555" s="681" t="s">
        <v>18632</v>
      </c>
      <c r="H555" s="677" t="s">
        <v>19640</v>
      </c>
      <c r="I555" s="683" t="str">
        <f>HYPERLINK("https://www.google.com/maps/search/Santa%20Rita%20Norte%20Torres%20Vedras%20Lisboa%20Portugal","📍 Santa Rita Norte")</f>
        <v>📍 Santa Rita Norte</v>
      </c>
    </row>
    <row r="556" spans="1:9" ht="36" customHeight="1" x14ac:dyDescent="0.4">
      <c r="A556" s="672">
        <v>441</v>
      </c>
      <c r="B556" s="671" t="s">
        <v>19641</v>
      </c>
      <c r="C556" s="673" t="s">
        <v>913</v>
      </c>
      <c r="D556" s="671" t="s">
        <v>6555</v>
      </c>
      <c r="E556" s="671" t="s">
        <v>18631</v>
      </c>
      <c r="F556" s="674" t="s">
        <v>19544</v>
      </c>
      <c r="G556" s="675" t="s">
        <v>18632</v>
      </c>
      <c r="H556" s="671" t="s">
        <v>19642</v>
      </c>
      <c r="I556" s="682" t="str">
        <f>HYPERLINK("https://www.google.com/maps/search/Santa%20Rita%20Sul%20Torres%20Vedras%20Lisboa%20Portugal","📍 Santa Rita Sul")</f>
        <v>📍 Santa Rita Sul</v>
      </c>
    </row>
    <row r="557" spans="1:9" ht="20" customHeight="1" x14ac:dyDescent="0.45">
      <c r="A557" s="1595" t="s">
        <v>19459</v>
      </c>
      <c r="B557" s="1313"/>
      <c r="C557" s="1313"/>
      <c r="D557" s="1313"/>
      <c r="E557" s="1313"/>
      <c r="F557" s="1313"/>
      <c r="G557" s="1313"/>
      <c r="H557" s="1313"/>
      <c r="I557" s="1313"/>
    </row>
    <row r="558" spans="1:9" ht="36" customHeight="1" x14ac:dyDescent="0.4">
      <c r="A558" s="678">
        <v>442</v>
      </c>
      <c r="B558" s="677" t="s">
        <v>19643</v>
      </c>
      <c r="C558" s="679" t="s">
        <v>913</v>
      </c>
      <c r="D558" s="677" t="s">
        <v>6255</v>
      </c>
      <c r="E558" s="677" t="s">
        <v>1482</v>
      </c>
      <c r="F558" s="680" t="s">
        <v>19583</v>
      </c>
      <c r="G558" s="681" t="s">
        <v>18632</v>
      </c>
      <c r="H558" s="677" t="s">
        <v>19644</v>
      </c>
      <c r="I558" s="683" t="str">
        <f>HYPERLINK("https://www.google.com/maps/search/Bostelim%20Vila%20de%20Rei%20Lisboa%20Portugal","📍 Bostelim")</f>
        <v>📍 Bostelim</v>
      </c>
    </row>
    <row r="559" spans="1:9" ht="36" customHeight="1" x14ac:dyDescent="0.4">
      <c r="A559" s="672">
        <v>443</v>
      </c>
      <c r="B559" s="671" t="s">
        <v>19645</v>
      </c>
      <c r="C559" s="673" t="s">
        <v>913</v>
      </c>
      <c r="D559" s="671" t="s">
        <v>6255</v>
      </c>
      <c r="E559" s="671" t="s">
        <v>1482</v>
      </c>
      <c r="F559" s="674" t="s">
        <v>19583</v>
      </c>
      <c r="G559" s="675" t="s">
        <v>18632</v>
      </c>
      <c r="H559" s="671" t="s">
        <v>19646</v>
      </c>
      <c r="I559" s="682" t="str">
        <f>HYPERLINK("https://www.google.com/maps/search/Fernandaires%20Vila%20de%20Rei%20Lisboa%20Portugal","📍 Fernandaires")</f>
        <v>📍 Fernandaires</v>
      </c>
    </row>
  </sheetData>
  <mergeCells count="115">
    <mergeCell ref="A524:I524"/>
    <mergeCell ref="A528:I528"/>
    <mergeCell ref="A536:I536"/>
    <mergeCell ref="A539:I539"/>
    <mergeCell ref="A545:I545"/>
    <mergeCell ref="A557:I557"/>
    <mergeCell ref="A503:I503"/>
    <mergeCell ref="A510:I510"/>
    <mergeCell ref="A513:I513"/>
    <mergeCell ref="A516:I516"/>
    <mergeCell ref="A520:I520"/>
    <mergeCell ref="A522:I522"/>
    <mergeCell ref="A483:I483"/>
    <mergeCell ref="A485:I485"/>
    <mergeCell ref="A487:I487"/>
    <mergeCell ref="A489:I489"/>
    <mergeCell ref="A495:I495"/>
    <mergeCell ref="A501:I501"/>
    <mergeCell ref="A450:I450"/>
    <mergeCell ref="A452:I452"/>
    <mergeCell ref="A455:I455"/>
    <mergeCell ref="A466:I466"/>
    <mergeCell ref="A468:I468"/>
    <mergeCell ref="A471:I471"/>
    <mergeCell ref="A406:I406"/>
    <mergeCell ref="A418:I418"/>
    <mergeCell ref="A424:I424"/>
    <mergeCell ref="A444:I444"/>
    <mergeCell ref="A446:I446"/>
    <mergeCell ref="A447:I447"/>
    <mergeCell ref="A365:I365"/>
    <mergeCell ref="A367:I367"/>
    <mergeCell ref="A372:I372"/>
    <mergeCell ref="A390:I390"/>
    <mergeCell ref="A392:I392"/>
    <mergeCell ref="A397:I397"/>
    <mergeCell ref="A344:I344"/>
    <mergeCell ref="A345:I345"/>
    <mergeCell ref="A349:I349"/>
    <mergeCell ref="A354:I354"/>
    <mergeCell ref="A358:I358"/>
    <mergeCell ref="A363:I363"/>
    <mergeCell ref="A325:I325"/>
    <mergeCell ref="A330:I330"/>
    <mergeCell ref="A332:I332"/>
    <mergeCell ref="A337:I337"/>
    <mergeCell ref="A339:I339"/>
    <mergeCell ref="A342:I342"/>
    <mergeCell ref="A298:I298"/>
    <mergeCell ref="A300:I300"/>
    <mergeCell ref="A302:I302"/>
    <mergeCell ref="A306:I306"/>
    <mergeCell ref="A307:I307"/>
    <mergeCell ref="A314:I314"/>
    <mergeCell ref="A279:I279"/>
    <mergeCell ref="A281:I281"/>
    <mergeCell ref="A285:I285"/>
    <mergeCell ref="A289:I289"/>
    <mergeCell ref="A293:I293"/>
    <mergeCell ref="A295:I295"/>
    <mergeCell ref="A250:I250"/>
    <mergeCell ref="A262:I262"/>
    <mergeCell ref="A264:I264"/>
    <mergeCell ref="A269:I269"/>
    <mergeCell ref="A273:I273"/>
    <mergeCell ref="A276:I276"/>
    <mergeCell ref="A231:I231"/>
    <mergeCell ref="A236:I236"/>
    <mergeCell ref="A237:I237"/>
    <mergeCell ref="A239:I239"/>
    <mergeCell ref="A242:I242"/>
    <mergeCell ref="A247:I247"/>
    <mergeCell ref="A185:I185"/>
    <mergeCell ref="A197:I197"/>
    <mergeCell ref="A202:I202"/>
    <mergeCell ref="A212:I212"/>
    <mergeCell ref="A215:I215"/>
    <mergeCell ref="A220:I220"/>
    <mergeCell ref="A132:I132"/>
    <mergeCell ref="A159:I159"/>
    <mergeCell ref="A164:I164"/>
    <mergeCell ref="A168:I168"/>
    <mergeCell ref="A173:I173"/>
    <mergeCell ref="A180:I180"/>
    <mergeCell ref="A113:I113"/>
    <mergeCell ref="A115:I115"/>
    <mergeCell ref="A119:I119"/>
    <mergeCell ref="A122:I122"/>
    <mergeCell ref="A126:I126"/>
    <mergeCell ref="A131:I131"/>
    <mergeCell ref="A80:I80"/>
    <mergeCell ref="A92:I92"/>
    <mergeCell ref="A94:I94"/>
    <mergeCell ref="A96:I96"/>
    <mergeCell ref="A98:I98"/>
    <mergeCell ref="A110:I110"/>
    <mergeCell ref="A73:I73"/>
    <mergeCell ref="A74:I74"/>
    <mergeCell ref="A76:I76"/>
    <mergeCell ref="A78:I78"/>
    <mergeCell ref="A25:I25"/>
    <mergeCell ref="A32:I32"/>
    <mergeCell ref="A36:I36"/>
    <mergeCell ref="A46:I46"/>
    <mergeCell ref="A52:I52"/>
    <mergeCell ref="A57:I57"/>
    <mergeCell ref="A1:I1"/>
    <mergeCell ref="A2:I2"/>
    <mergeCell ref="A5:I5"/>
    <mergeCell ref="A13:I13"/>
    <mergeCell ref="A19:I19"/>
    <mergeCell ref="A23:I23"/>
    <mergeCell ref="A4:I4"/>
    <mergeCell ref="A59:I59"/>
    <mergeCell ref="A64:I6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BC269-4B47-4A61-8584-A828928803C5}">
  <dimension ref="A1:G55"/>
  <sheetViews>
    <sheetView workbookViewId="0">
      <pane ySplit="2" topLeftCell="A3" activePane="bottomLeft" state="frozen"/>
      <selection pane="bottomLeft" activeCell="G23" sqref="G23"/>
    </sheetView>
  </sheetViews>
  <sheetFormatPr defaultRowHeight="14.5" x14ac:dyDescent="0.35"/>
  <cols>
    <col min="1" max="1" width="23.6328125" customWidth="1"/>
    <col min="2" max="2" width="5.453125" customWidth="1"/>
    <col min="3" max="3" width="31.81640625" customWidth="1"/>
    <col min="4" max="4" width="20" customWidth="1"/>
    <col min="5" max="5" width="51.81640625" customWidth="1"/>
    <col min="6" max="6" width="38.1796875" customWidth="1"/>
    <col min="7" max="7" width="20" customWidth="1"/>
  </cols>
  <sheetData>
    <row r="1" spans="1:7" ht="36" customHeight="1" x14ac:dyDescent="0.5">
      <c r="A1" s="1608" t="s">
        <v>21947</v>
      </c>
      <c r="B1" s="1608"/>
      <c r="C1" s="1608"/>
      <c r="D1" s="1608"/>
      <c r="E1" s="1608"/>
      <c r="F1" s="1608"/>
      <c r="G1" s="1608"/>
    </row>
    <row r="2" spans="1:7" ht="22" customHeight="1" x14ac:dyDescent="0.35">
      <c r="A2" s="1232" t="s">
        <v>619</v>
      </c>
      <c r="B2" s="1232" t="s">
        <v>21948</v>
      </c>
      <c r="C2" s="1232" t="s">
        <v>21949</v>
      </c>
      <c r="D2" s="1232" t="s">
        <v>10818</v>
      </c>
      <c r="E2" s="1232" t="s">
        <v>8</v>
      </c>
      <c r="F2" s="1219" t="s">
        <v>906</v>
      </c>
      <c r="G2" s="1220" t="s">
        <v>21950</v>
      </c>
    </row>
    <row r="3" spans="1:7" ht="46" customHeight="1" x14ac:dyDescent="0.35">
      <c r="A3" s="1233" t="s">
        <v>20874</v>
      </c>
      <c r="B3" s="1233">
        <v>1</v>
      </c>
      <c r="C3" s="1233" t="s">
        <v>21951</v>
      </c>
      <c r="D3" s="1233" t="s">
        <v>1149</v>
      </c>
      <c r="E3" s="1233" t="s">
        <v>21952</v>
      </c>
      <c r="F3" s="1221" t="s">
        <v>21953</v>
      </c>
      <c r="G3" s="1222" t="s">
        <v>21954</v>
      </c>
    </row>
    <row r="4" spans="1:7" ht="46" customHeight="1" x14ac:dyDescent="0.35">
      <c r="A4" s="1234" t="s">
        <v>20874</v>
      </c>
      <c r="B4" s="1234">
        <v>2</v>
      </c>
      <c r="C4" s="1234" t="s">
        <v>21955</v>
      </c>
      <c r="D4" s="1234" t="s">
        <v>1911</v>
      </c>
      <c r="E4" s="1234" t="s">
        <v>21956</v>
      </c>
      <c r="F4" s="1223" t="s">
        <v>21957</v>
      </c>
      <c r="G4" s="1224" t="s">
        <v>21958</v>
      </c>
    </row>
    <row r="5" spans="1:7" ht="46" customHeight="1" x14ac:dyDescent="0.35">
      <c r="A5" s="1233" t="s">
        <v>20874</v>
      </c>
      <c r="B5" s="1233">
        <v>3</v>
      </c>
      <c r="C5" s="1233" t="s">
        <v>21959</v>
      </c>
      <c r="D5" s="1233" t="s">
        <v>1773</v>
      </c>
      <c r="E5" s="1233" t="s">
        <v>21960</v>
      </c>
      <c r="F5" s="1221" t="s">
        <v>21961</v>
      </c>
      <c r="G5" s="1222" t="s">
        <v>21962</v>
      </c>
    </row>
    <row r="6" spans="1:7" ht="46" customHeight="1" x14ac:dyDescent="0.35">
      <c r="A6" s="1234" t="s">
        <v>20874</v>
      </c>
      <c r="B6" s="1234">
        <v>4</v>
      </c>
      <c r="C6" s="1234" t="s">
        <v>21963</v>
      </c>
      <c r="D6" s="1234" t="s">
        <v>1773</v>
      </c>
      <c r="E6" s="1234" t="s">
        <v>21964</v>
      </c>
      <c r="F6" s="1223" t="s">
        <v>21965</v>
      </c>
      <c r="G6" s="1224" t="s">
        <v>21966</v>
      </c>
    </row>
    <row r="7" spans="1:7" ht="46" customHeight="1" x14ac:dyDescent="0.35">
      <c r="A7" s="1233" t="s">
        <v>20874</v>
      </c>
      <c r="B7" s="1233">
        <v>5</v>
      </c>
      <c r="C7" s="1233" t="s">
        <v>21967</v>
      </c>
      <c r="D7" s="1233" t="s">
        <v>7735</v>
      </c>
      <c r="E7" s="1233" t="s">
        <v>21968</v>
      </c>
      <c r="F7" s="1221" t="s">
        <v>21969</v>
      </c>
      <c r="G7" s="1222" t="s">
        <v>21970</v>
      </c>
    </row>
    <row r="8" spans="1:7" ht="46" customHeight="1" x14ac:dyDescent="0.35">
      <c r="A8" s="1234" t="s">
        <v>20874</v>
      </c>
      <c r="B8" s="1234">
        <v>6</v>
      </c>
      <c r="C8" s="1234" t="s">
        <v>21971</v>
      </c>
      <c r="D8" s="1234" t="s">
        <v>7331</v>
      </c>
      <c r="E8" s="1234" t="s">
        <v>21972</v>
      </c>
      <c r="F8" s="1223" t="s">
        <v>21973</v>
      </c>
      <c r="G8" s="1224" t="s">
        <v>21974</v>
      </c>
    </row>
    <row r="9" spans="1:7" ht="46" customHeight="1" x14ac:dyDescent="0.35">
      <c r="A9" s="1233" t="s">
        <v>20874</v>
      </c>
      <c r="B9" s="1233">
        <v>7</v>
      </c>
      <c r="C9" s="1233" t="s">
        <v>21975</v>
      </c>
      <c r="D9" s="1233" t="s">
        <v>5959</v>
      </c>
      <c r="E9" s="1233" t="s">
        <v>21976</v>
      </c>
      <c r="F9" s="1221" t="s">
        <v>21977</v>
      </c>
      <c r="G9" s="1222" t="s">
        <v>21978</v>
      </c>
    </row>
    <row r="10" spans="1:7" ht="46" customHeight="1" x14ac:dyDescent="0.35">
      <c r="A10" s="1234" t="s">
        <v>20874</v>
      </c>
      <c r="B10" s="1234">
        <v>8</v>
      </c>
      <c r="C10" s="1234" t="s">
        <v>21979</v>
      </c>
      <c r="D10" s="1234" t="s">
        <v>6551</v>
      </c>
      <c r="E10" s="1234" t="s">
        <v>21980</v>
      </c>
      <c r="F10" s="1223" t="s">
        <v>21981</v>
      </c>
      <c r="G10" s="1224" t="s">
        <v>21982</v>
      </c>
    </row>
    <row r="11" spans="1:7" ht="46" customHeight="1" x14ac:dyDescent="0.35">
      <c r="A11" s="1233" t="s">
        <v>20874</v>
      </c>
      <c r="B11" s="1233">
        <v>9</v>
      </c>
      <c r="C11" s="1233" t="s">
        <v>21983</v>
      </c>
      <c r="D11" s="1233" t="s">
        <v>6551</v>
      </c>
      <c r="E11" s="1233" t="s">
        <v>21984</v>
      </c>
      <c r="F11" s="1221" t="s">
        <v>21985</v>
      </c>
      <c r="G11" s="1222" t="s">
        <v>21986</v>
      </c>
    </row>
    <row r="12" spans="1:7" ht="46" customHeight="1" x14ac:dyDescent="0.35">
      <c r="A12" s="1234" t="s">
        <v>20874</v>
      </c>
      <c r="B12" s="1234">
        <v>10</v>
      </c>
      <c r="C12" s="1234" t="s">
        <v>21987</v>
      </c>
      <c r="D12" s="1234" t="s">
        <v>2567</v>
      </c>
      <c r="E12" s="1234" t="s">
        <v>21988</v>
      </c>
      <c r="F12" s="1223" t="s">
        <v>21989</v>
      </c>
      <c r="G12" s="1224" t="s">
        <v>21990</v>
      </c>
    </row>
    <row r="13" spans="1:7" ht="46" customHeight="1" x14ac:dyDescent="0.35">
      <c r="A13" s="1233" t="s">
        <v>20874</v>
      </c>
      <c r="B13" s="1233">
        <v>11</v>
      </c>
      <c r="C13" s="1233" t="s">
        <v>21991</v>
      </c>
      <c r="D13" s="1233" t="s">
        <v>1077</v>
      </c>
      <c r="E13" s="1233" t="s">
        <v>21992</v>
      </c>
      <c r="F13" s="1221" t="s">
        <v>21993</v>
      </c>
      <c r="G13" s="1222" t="s">
        <v>21994</v>
      </c>
    </row>
    <row r="14" spans="1:7" ht="46" customHeight="1" x14ac:dyDescent="0.35">
      <c r="A14" s="1234" t="s">
        <v>20874</v>
      </c>
      <c r="B14" s="1234">
        <v>12</v>
      </c>
      <c r="C14" s="1234" t="s">
        <v>21995</v>
      </c>
      <c r="D14" s="1234" t="s">
        <v>1077</v>
      </c>
      <c r="E14" s="1234" t="s">
        <v>21996</v>
      </c>
      <c r="F14" s="1223" t="s">
        <v>21993</v>
      </c>
      <c r="G14" s="1224" t="s">
        <v>21997</v>
      </c>
    </row>
    <row r="15" spans="1:7" ht="46" customHeight="1" x14ac:dyDescent="0.35">
      <c r="A15" s="1233" t="s">
        <v>20874</v>
      </c>
      <c r="B15" s="1233">
        <v>13</v>
      </c>
      <c r="C15" s="1233" t="s">
        <v>21998</v>
      </c>
      <c r="D15" s="1233" t="s">
        <v>1077</v>
      </c>
      <c r="E15" s="1233" t="s">
        <v>21999</v>
      </c>
      <c r="F15" s="1221" t="s">
        <v>22000</v>
      </c>
      <c r="G15" s="1222" t="s">
        <v>22001</v>
      </c>
    </row>
    <row r="16" spans="1:7" ht="46" customHeight="1" x14ac:dyDescent="0.35">
      <c r="A16" s="1234" t="s">
        <v>20874</v>
      </c>
      <c r="B16" s="1234">
        <v>14</v>
      </c>
      <c r="C16" s="1234" t="s">
        <v>22002</v>
      </c>
      <c r="D16" s="1234" t="s">
        <v>5691</v>
      </c>
      <c r="E16" s="1234" t="s">
        <v>22003</v>
      </c>
      <c r="F16" s="1223" t="s">
        <v>22004</v>
      </c>
      <c r="G16" s="1224" t="s">
        <v>22005</v>
      </c>
    </row>
    <row r="17" spans="1:7" ht="46" customHeight="1" x14ac:dyDescent="0.35">
      <c r="A17" s="1233" t="s">
        <v>20874</v>
      </c>
      <c r="B17" s="1233">
        <v>15</v>
      </c>
      <c r="C17" s="1233" t="s">
        <v>22006</v>
      </c>
      <c r="D17" s="1233" t="s">
        <v>5691</v>
      </c>
      <c r="E17" s="1233" t="s">
        <v>22007</v>
      </c>
      <c r="F17" s="1221" t="s">
        <v>22008</v>
      </c>
      <c r="G17" s="1222" t="s">
        <v>22009</v>
      </c>
    </row>
    <row r="18" spans="1:7" ht="46" customHeight="1" x14ac:dyDescent="0.35">
      <c r="A18" s="1234" t="s">
        <v>20874</v>
      </c>
      <c r="B18" s="1234">
        <v>16</v>
      </c>
      <c r="C18" s="1234" t="s">
        <v>22010</v>
      </c>
      <c r="D18" s="1234" t="s">
        <v>5691</v>
      </c>
      <c r="E18" s="1234" t="s">
        <v>22011</v>
      </c>
      <c r="F18" s="1223" t="s">
        <v>22012</v>
      </c>
      <c r="G18" s="1224" t="s">
        <v>22013</v>
      </c>
    </row>
    <row r="19" spans="1:7" ht="46" customHeight="1" x14ac:dyDescent="0.35">
      <c r="A19" s="1233" t="s">
        <v>20874</v>
      </c>
      <c r="B19" s="1233">
        <v>17</v>
      </c>
      <c r="C19" s="1233" t="s">
        <v>22014</v>
      </c>
      <c r="D19" s="1233" t="s">
        <v>5691</v>
      </c>
      <c r="E19" s="1233" t="s">
        <v>22157</v>
      </c>
      <c r="F19" s="1221" t="s">
        <v>22015</v>
      </c>
      <c r="G19" s="1222" t="s">
        <v>22016</v>
      </c>
    </row>
    <row r="20" spans="1:7" ht="46" customHeight="1" x14ac:dyDescent="0.35">
      <c r="A20" s="1234" t="s">
        <v>20874</v>
      </c>
      <c r="B20" s="1234">
        <v>18</v>
      </c>
      <c r="C20" s="1234" t="s">
        <v>22017</v>
      </c>
      <c r="D20" s="1234" t="s">
        <v>5691</v>
      </c>
      <c r="E20" s="1234" t="s">
        <v>22018</v>
      </c>
      <c r="F20" s="1223" t="s">
        <v>22019</v>
      </c>
      <c r="G20" s="1224" t="s">
        <v>22020</v>
      </c>
    </row>
    <row r="21" spans="1:7" ht="46" customHeight="1" x14ac:dyDescent="0.35">
      <c r="A21" s="1233" t="s">
        <v>20874</v>
      </c>
      <c r="B21" s="1233">
        <v>19</v>
      </c>
      <c r="C21" s="1233" t="s">
        <v>22021</v>
      </c>
      <c r="D21" s="1233" t="s">
        <v>5947</v>
      </c>
      <c r="E21" s="1233" t="s">
        <v>22022</v>
      </c>
      <c r="F21" s="1221" t="s">
        <v>22023</v>
      </c>
      <c r="G21" s="1222" t="s">
        <v>22024</v>
      </c>
    </row>
    <row r="22" spans="1:7" ht="46" customHeight="1" x14ac:dyDescent="0.35">
      <c r="A22" s="1234" t="s">
        <v>20874</v>
      </c>
      <c r="B22" s="1234">
        <v>20</v>
      </c>
      <c r="C22" s="1234" t="s">
        <v>22025</v>
      </c>
      <c r="D22" s="1234" t="s">
        <v>5947</v>
      </c>
      <c r="E22" s="1234" t="s">
        <v>22026</v>
      </c>
      <c r="F22" s="1223" t="s">
        <v>22027</v>
      </c>
      <c r="G22" s="1224" t="s">
        <v>22028</v>
      </c>
    </row>
    <row r="23" spans="1:7" ht="46" customHeight="1" x14ac:dyDescent="0.35">
      <c r="A23" s="1233" t="s">
        <v>20874</v>
      </c>
      <c r="B23" s="1233">
        <v>21</v>
      </c>
      <c r="C23" s="1233" t="s">
        <v>22029</v>
      </c>
      <c r="D23" s="1233" t="s">
        <v>1347</v>
      </c>
      <c r="E23" s="1233" t="s">
        <v>22030</v>
      </c>
      <c r="F23" s="1221" t="s">
        <v>22031</v>
      </c>
      <c r="G23" s="1222" t="s">
        <v>22032</v>
      </c>
    </row>
    <row r="24" spans="1:7" ht="46" customHeight="1" x14ac:dyDescent="0.35">
      <c r="A24" s="1234" t="s">
        <v>20874</v>
      </c>
      <c r="B24" s="1234">
        <v>22</v>
      </c>
      <c r="C24" s="1234" t="s">
        <v>22033</v>
      </c>
      <c r="D24" s="1234" t="s">
        <v>1347</v>
      </c>
      <c r="E24" s="1234" t="s">
        <v>22034</v>
      </c>
      <c r="F24" s="1223" t="s">
        <v>22035</v>
      </c>
      <c r="G24" s="1224" t="s">
        <v>22036</v>
      </c>
    </row>
    <row r="25" spans="1:7" ht="46" customHeight="1" x14ac:dyDescent="0.35">
      <c r="A25" s="1233" t="s">
        <v>20874</v>
      </c>
      <c r="B25" s="1233">
        <v>23</v>
      </c>
      <c r="C25" s="1233" t="s">
        <v>22037</v>
      </c>
      <c r="D25" s="1233" t="s">
        <v>6226</v>
      </c>
      <c r="E25" s="1233" t="s">
        <v>22038</v>
      </c>
      <c r="F25" s="1221" t="s">
        <v>22039</v>
      </c>
      <c r="G25" s="1222" t="s">
        <v>22040</v>
      </c>
    </row>
    <row r="26" spans="1:7" ht="46" customHeight="1" x14ac:dyDescent="0.35">
      <c r="A26" s="1234" t="s">
        <v>20874</v>
      </c>
      <c r="B26" s="1234">
        <v>24</v>
      </c>
      <c r="C26" s="1234" t="s">
        <v>22041</v>
      </c>
      <c r="D26" s="1234" t="s">
        <v>2143</v>
      </c>
      <c r="E26" s="1234" t="s">
        <v>22042</v>
      </c>
      <c r="F26" s="1223" t="s">
        <v>22043</v>
      </c>
      <c r="G26" s="1224" t="s">
        <v>22044</v>
      </c>
    </row>
    <row r="27" spans="1:7" ht="46" customHeight="1" x14ac:dyDescent="0.35">
      <c r="A27" s="1233" t="s">
        <v>20874</v>
      </c>
      <c r="B27" s="1233">
        <v>25</v>
      </c>
      <c r="C27" s="1233" t="s">
        <v>22045</v>
      </c>
      <c r="D27" s="1233" t="s">
        <v>5964</v>
      </c>
      <c r="E27" s="1233" t="s">
        <v>22046</v>
      </c>
      <c r="F27" s="1221" t="s">
        <v>22047</v>
      </c>
      <c r="G27" s="1222" t="s">
        <v>22048</v>
      </c>
    </row>
    <row r="28" spans="1:7" ht="46" customHeight="1" x14ac:dyDescent="0.35">
      <c r="A28" s="1234" t="s">
        <v>20874</v>
      </c>
      <c r="B28" s="1234">
        <v>26</v>
      </c>
      <c r="C28" s="1234" t="s">
        <v>22049</v>
      </c>
      <c r="D28" s="1234" t="s">
        <v>5964</v>
      </c>
      <c r="E28" s="1234" t="s">
        <v>22050</v>
      </c>
      <c r="F28" s="1223" t="s">
        <v>22051</v>
      </c>
      <c r="G28" s="1224" t="s">
        <v>22052</v>
      </c>
    </row>
    <row r="29" spans="1:7" ht="46" customHeight="1" x14ac:dyDescent="0.35">
      <c r="A29" s="1233" t="s">
        <v>20874</v>
      </c>
      <c r="B29" s="1233">
        <v>27</v>
      </c>
      <c r="C29" s="1233" t="s">
        <v>22053</v>
      </c>
      <c r="D29" s="1233" t="s">
        <v>2190</v>
      </c>
      <c r="E29" s="1233" t="s">
        <v>22054</v>
      </c>
      <c r="F29" s="1221" t="s">
        <v>22055</v>
      </c>
      <c r="G29" s="1222" t="s">
        <v>22056</v>
      </c>
    </row>
    <row r="30" spans="1:7" ht="46" customHeight="1" x14ac:dyDescent="0.35">
      <c r="A30" s="1234" t="s">
        <v>20874</v>
      </c>
      <c r="B30" s="1234">
        <v>28</v>
      </c>
      <c r="C30" s="1234" t="s">
        <v>22057</v>
      </c>
      <c r="D30" s="1234" t="s">
        <v>2172</v>
      </c>
      <c r="E30" s="1234" t="s">
        <v>22058</v>
      </c>
      <c r="F30" s="1223" t="s">
        <v>22059</v>
      </c>
      <c r="G30" s="1224" t="s">
        <v>22060</v>
      </c>
    </row>
    <row r="31" spans="1:7" ht="46" customHeight="1" x14ac:dyDescent="0.35">
      <c r="A31" s="1233" t="s">
        <v>20874</v>
      </c>
      <c r="B31" s="1233">
        <v>29</v>
      </c>
      <c r="C31" s="1233" t="s">
        <v>22061</v>
      </c>
      <c r="D31" s="1233" t="s">
        <v>5761</v>
      </c>
      <c r="E31" s="1233" t="s">
        <v>22062</v>
      </c>
      <c r="F31" s="1221" t="s">
        <v>22063</v>
      </c>
      <c r="G31" s="1222" t="s">
        <v>22064</v>
      </c>
    </row>
    <row r="32" spans="1:7" ht="46" customHeight="1" x14ac:dyDescent="0.35">
      <c r="A32" s="1234" t="s">
        <v>20874</v>
      </c>
      <c r="B32" s="1234">
        <v>30</v>
      </c>
      <c r="C32" s="1234" t="s">
        <v>22065</v>
      </c>
      <c r="D32" s="1234" t="s">
        <v>22066</v>
      </c>
      <c r="E32" s="1234" t="s">
        <v>22067</v>
      </c>
      <c r="F32" s="1223" t="s">
        <v>22068</v>
      </c>
      <c r="G32" s="1224" t="s">
        <v>22069</v>
      </c>
    </row>
    <row r="33" spans="1:7" ht="46" customHeight="1" x14ac:dyDescent="0.35">
      <c r="A33" s="1235" t="s">
        <v>20875</v>
      </c>
      <c r="B33" s="1235">
        <v>31</v>
      </c>
      <c r="C33" s="1235" t="s">
        <v>22070</v>
      </c>
      <c r="D33" s="1235" t="s">
        <v>2850</v>
      </c>
      <c r="E33" s="1235" t="s">
        <v>22071</v>
      </c>
      <c r="F33" s="1225" t="s">
        <v>22072</v>
      </c>
      <c r="G33" s="1229" t="s">
        <v>22073</v>
      </c>
    </row>
    <row r="34" spans="1:7" ht="46" customHeight="1" x14ac:dyDescent="0.35">
      <c r="A34" s="1236" t="s">
        <v>20875</v>
      </c>
      <c r="B34" s="1236">
        <v>32</v>
      </c>
      <c r="C34" s="1236" t="s">
        <v>22074</v>
      </c>
      <c r="D34" s="1236" t="s">
        <v>2815</v>
      </c>
      <c r="E34" s="1236" t="s">
        <v>22075</v>
      </c>
      <c r="F34" s="1226" t="s">
        <v>22076</v>
      </c>
      <c r="G34" s="1230" t="s">
        <v>22077</v>
      </c>
    </row>
    <row r="35" spans="1:7" ht="46" customHeight="1" x14ac:dyDescent="0.35">
      <c r="A35" s="1235" t="s">
        <v>20875</v>
      </c>
      <c r="B35" s="1235">
        <v>33</v>
      </c>
      <c r="C35" s="1235" t="s">
        <v>22078</v>
      </c>
      <c r="D35" s="1235" t="s">
        <v>2815</v>
      </c>
      <c r="E35" s="1235" t="s">
        <v>22079</v>
      </c>
      <c r="F35" s="1225" t="s">
        <v>22080</v>
      </c>
      <c r="G35" s="1229" t="s">
        <v>22081</v>
      </c>
    </row>
    <row r="36" spans="1:7" ht="46" customHeight="1" x14ac:dyDescent="0.35">
      <c r="A36" s="1236" t="s">
        <v>20875</v>
      </c>
      <c r="B36" s="1236">
        <v>34</v>
      </c>
      <c r="C36" s="1236" t="s">
        <v>22082</v>
      </c>
      <c r="D36" s="1236" t="s">
        <v>2815</v>
      </c>
      <c r="E36" s="1236" t="s">
        <v>22083</v>
      </c>
      <c r="F36" s="1226" t="s">
        <v>5789</v>
      </c>
      <c r="G36" s="1230" t="s">
        <v>22084</v>
      </c>
    </row>
    <row r="37" spans="1:7" ht="46" customHeight="1" x14ac:dyDescent="0.35">
      <c r="A37" s="1235" t="s">
        <v>20875</v>
      </c>
      <c r="B37" s="1235">
        <v>35</v>
      </c>
      <c r="C37" s="1235" t="s">
        <v>22085</v>
      </c>
      <c r="D37" s="1235" t="s">
        <v>2841</v>
      </c>
      <c r="E37" s="1235" t="s">
        <v>22086</v>
      </c>
      <c r="F37" s="1225" t="s">
        <v>22087</v>
      </c>
      <c r="G37" s="1229" t="s">
        <v>22088</v>
      </c>
    </row>
    <row r="38" spans="1:7" ht="46" customHeight="1" x14ac:dyDescent="0.35">
      <c r="A38" s="1236" t="s">
        <v>20875</v>
      </c>
      <c r="B38" s="1236">
        <v>36</v>
      </c>
      <c r="C38" s="1236" t="s">
        <v>22089</v>
      </c>
      <c r="D38" s="1236" t="s">
        <v>2841</v>
      </c>
      <c r="E38" s="1236" t="s">
        <v>22090</v>
      </c>
      <c r="F38" s="1226" t="s">
        <v>22091</v>
      </c>
      <c r="G38" s="1230" t="s">
        <v>22092</v>
      </c>
    </row>
    <row r="39" spans="1:7" ht="46" customHeight="1" x14ac:dyDescent="0.35">
      <c r="A39" s="1235" t="s">
        <v>20875</v>
      </c>
      <c r="B39" s="1235">
        <v>37</v>
      </c>
      <c r="C39" s="1235" t="s">
        <v>22093</v>
      </c>
      <c r="D39" s="1235" t="s">
        <v>2848</v>
      </c>
      <c r="E39" s="1235" t="s">
        <v>22094</v>
      </c>
      <c r="F39" s="1225" t="s">
        <v>22095</v>
      </c>
      <c r="G39" s="1229" t="s">
        <v>22096</v>
      </c>
    </row>
    <row r="40" spans="1:7" ht="46" customHeight="1" x14ac:dyDescent="0.35">
      <c r="A40" s="1236" t="s">
        <v>20875</v>
      </c>
      <c r="B40" s="1236">
        <v>38</v>
      </c>
      <c r="C40" s="1236" t="s">
        <v>22097</v>
      </c>
      <c r="D40" s="1236" t="s">
        <v>2848</v>
      </c>
      <c r="E40" s="1236" t="s">
        <v>22098</v>
      </c>
      <c r="F40" s="1226" t="s">
        <v>22099</v>
      </c>
      <c r="G40" s="1230" t="s">
        <v>22100</v>
      </c>
    </row>
    <row r="41" spans="1:7" ht="46" customHeight="1" x14ac:dyDescent="0.35">
      <c r="A41" s="1235" t="s">
        <v>20875</v>
      </c>
      <c r="B41" s="1235">
        <v>39</v>
      </c>
      <c r="C41" s="1235" t="s">
        <v>22101</v>
      </c>
      <c r="D41" s="1235" t="s">
        <v>2828</v>
      </c>
      <c r="E41" s="1235" t="s">
        <v>22102</v>
      </c>
      <c r="F41" s="1225" t="s">
        <v>22103</v>
      </c>
      <c r="G41" s="1229" t="s">
        <v>22104</v>
      </c>
    </row>
    <row r="42" spans="1:7" ht="46" customHeight="1" x14ac:dyDescent="0.35">
      <c r="A42" s="1236" t="s">
        <v>20875</v>
      </c>
      <c r="B42" s="1236">
        <v>40</v>
      </c>
      <c r="C42" s="1236" t="s">
        <v>22105</v>
      </c>
      <c r="D42" s="1236" t="s">
        <v>2828</v>
      </c>
      <c r="E42" s="1236" t="s">
        <v>22106</v>
      </c>
      <c r="F42" s="1226" t="s">
        <v>22107</v>
      </c>
      <c r="G42" s="1230" t="s">
        <v>22108</v>
      </c>
    </row>
    <row r="43" spans="1:7" ht="46" customHeight="1" x14ac:dyDescent="0.35">
      <c r="A43" s="1235" t="s">
        <v>20875</v>
      </c>
      <c r="B43" s="1235">
        <v>41</v>
      </c>
      <c r="C43" s="1235" t="s">
        <v>17596</v>
      </c>
      <c r="D43" s="1235" t="s">
        <v>2823</v>
      </c>
      <c r="E43" s="1235" t="s">
        <v>22109</v>
      </c>
      <c r="F43" s="1225" t="s">
        <v>6050</v>
      </c>
      <c r="G43" s="1229" t="s">
        <v>22110</v>
      </c>
    </row>
    <row r="44" spans="1:7" ht="46" customHeight="1" x14ac:dyDescent="0.35">
      <c r="A44" s="1236" t="s">
        <v>20875</v>
      </c>
      <c r="B44" s="1236">
        <v>42</v>
      </c>
      <c r="C44" s="1236" t="s">
        <v>22111</v>
      </c>
      <c r="D44" s="1236" t="s">
        <v>2823</v>
      </c>
      <c r="E44" s="1236" t="s">
        <v>22112</v>
      </c>
      <c r="F44" s="1226" t="s">
        <v>22113</v>
      </c>
      <c r="G44" s="1230" t="s">
        <v>22114</v>
      </c>
    </row>
    <row r="45" spans="1:7" ht="46" customHeight="1" x14ac:dyDescent="0.35">
      <c r="A45" s="1235" t="s">
        <v>20875</v>
      </c>
      <c r="B45" s="1235">
        <v>43</v>
      </c>
      <c r="C45" s="1235" t="s">
        <v>22115</v>
      </c>
      <c r="D45" s="1235" t="s">
        <v>2837</v>
      </c>
      <c r="E45" s="1235" t="s">
        <v>22116</v>
      </c>
      <c r="F45" s="1225" t="s">
        <v>2839</v>
      </c>
      <c r="G45" s="1229" t="s">
        <v>22117</v>
      </c>
    </row>
    <row r="46" spans="1:7" ht="46" customHeight="1" x14ac:dyDescent="0.35">
      <c r="A46" s="1236" t="s">
        <v>20875</v>
      </c>
      <c r="B46" s="1236">
        <v>44</v>
      </c>
      <c r="C46" s="1236" t="s">
        <v>22118</v>
      </c>
      <c r="D46" s="1236" t="s">
        <v>2837</v>
      </c>
      <c r="E46" s="1236" t="s">
        <v>22119</v>
      </c>
      <c r="F46" s="1226" t="s">
        <v>22120</v>
      </c>
      <c r="G46" s="1230" t="s">
        <v>22121</v>
      </c>
    </row>
    <row r="47" spans="1:7" ht="46" customHeight="1" x14ac:dyDescent="0.35">
      <c r="A47" s="1235" t="s">
        <v>20875</v>
      </c>
      <c r="B47" s="1235">
        <v>45</v>
      </c>
      <c r="C47" s="1235" t="s">
        <v>22122</v>
      </c>
      <c r="D47" s="1235" t="s">
        <v>2833</v>
      </c>
      <c r="E47" s="1235" t="s">
        <v>22123</v>
      </c>
      <c r="F47" s="1225" t="s">
        <v>22124</v>
      </c>
      <c r="G47" s="1229" t="s">
        <v>22125</v>
      </c>
    </row>
    <row r="48" spans="1:7" ht="46" customHeight="1" x14ac:dyDescent="0.35">
      <c r="A48" s="1236" t="s">
        <v>20875</v>
      </c>
      <c r="B48" s="1236">
        <v>46</v>
      </c>
      <c r="C48" s="1236" t="s">
        <v>22126</v>
      </c>
      <c r="D48" s="1236" t="s">
        <v>2833</v>
      </c>
      <c r="E48" s="1236" t="s">
        <v>22127</v>
      </c>
      <c r="F48" s="1226" t="s">
        <v>15225</v>
      </c>
      <c r="G48" s="1230" t="s">
        <v>22128</v>
      </c>
    </row>
    <row r="49" spans="1:7" ht="46" customHeight="1" x14ac:dyDescent="0.35">
      <c r="A49" s="1235" t="s">
        <v>20875</v>
      </c>
      <c r="B49" s="1235">
        <v>47</v>
      </c>
      <c r="C49" s="1235" t="s">
        <v>22129</v>
      </c>
      <c r="D49" s="1235" t="s">
        <v>2844</v>
      </c>
      <c r="E49" s="1235" t="s">
        <v>22130</v>
      </c>
      <c r="F49" s="1225" t="s">
        <v>22131</v>
      </c>
      <c r="G49" s="1229" t="s">
        <v>22132</v>
      </c>
    </row>
    <row r="50" spans="1:7" ht="46" customHeight="1" x14ac:dyDescent="0.35">
      <c r="A50" s="1237" t="s">
        <v>20876</v>
      </c>
      <c r="B50" s="1237">
        <v>48</v>
      </c>
      <c r="C50" s="1237" t="s">
        <v>13818</v>
      </c>
      <c r="D50" s="1237" t="s">
        <v>524</v>
      </c>
      <c r="E50" s="1237" t="s">
        <v>22133</v>
      </c>
      <c r="F50" s="1228" t="s">
        <v>22134</v>
      </c>
      <c r="G50" s="1231" t="s">
        <v>22135</v>
      </c>
    </row>
    <row r="51" spans="1:7" ht="46" customHeight="1" x14ac:dyDescent="0.35">
      <c r="A51" s="1218" t="s">
        <v>20876</v>
      </c>
      <c r="B51" s="1218">
        <v>49</v>
      </c>
      <c r="C51" s="1218" t="s">
        <v>22136</v>
      </c>
      <c r="D51" s="1218" t="s">
        <v>524</v>
      </c>
      <c r="E51" s="1218" t="s">
        <v>22137</v>
      </c>
      <c r="F51" s="1217" t="s">
        <v>22138</v>
      </c>
      <c r="G51" s="1216" t="s">
        <v>22139</v>
      </c>
    </row>
    <row r="52" spans="1:7" ht="46" customHeight="1" x14ac:dyDescent="0.35">
      <c r="A52" s="1237" t="s">
        <v>20876</v>
      </c>
      <c r="B52" s="1237">
        <v>50</v>
      </c>
      <c r="C52" s="1237" t="s">
        <v>22140</v>
      </c>
      <c r="D52" s="1237" t="s">
        <v>524</v>
      </c>
      <c r="E52" s="1237" t="s">
        <v>22141</v>
      </c>
      <c r="F52" s="1228" t="s">
        <v>22142</v>
      </c>
      <c r="G52" s="1231" t="s">
        <v>22143</v>
      </c>
    </row>
    <row r="53" spans="1:7" ht="46" customHeight="1" x14ac:dyDescent="0.35">
      <c r="A53" s="1218" t="s">
        <v>20876</v>
      </c>
      <c r="B53" s="1218">
        <v>51</v>
      </c>
      <c r="C53" s="1218" t="s">
        <v>22144</v>
      </c>
      <c r="D53" s="1218" t="s">
        <v>524</v>
      </c>
      <c r="E53" s="1218" t="s">
        <v>22145</v>
      </c>
      <c r="F53" s="1217" t="s">
        <v>22146</v>
      </c>
      <c r="G53" s="1216" t="s">
        <v>22147</v>
      </c>
    </row>
    <row r="54" spans="1:7" ht="46" customHeight="1" x14ac:dyDescent="0.35">
      <c r="A54" s="1215" t="s">
        <v>20876</v>
      </c>
      <c r="B54" s="1215">
        <v>52</v>
      </c>
      <c r="C54" s="1215" t="s">
        <v>22148</v>
      </c>
      <c r="D54" s="1215" t="s">
        <v>7530</v>
      </c>
      <c r="E54" s="1215" t="s">
        <v>22149</v>
      </c>
      <c r="F54" s="1214" t="s">
        <v>22150</v>
      </c>
      <c r="G54" s="1213" t="s">
        <v>22151</v>
      </c>
    </row>
    <row r="55" spans="1:7" ht="46" customHeight="1" x14ac:dyDescent="0.35">
      <c r="A55" s="1238" t="s">
        <v>20876</v>
      </c>
      <c r="B55" s="1238">
        <v>53</v>
      </c>
      <c r="C55" s="1238" t="s">
        <v>22152</v>
      </c>
      <c r="D55" s="1238" t="s">
        <v>22153</v>
      </c>
      <c r="E55" s="1238" t="s">
        <v>22154</v>
      </c>
      <c r="F55" s="1227" t="s">
        <v>22155</v>
      </c>
      <c r="G55" s="1239" t="s">
        <v>22156</v>
      </c>
    </row>
  </sheetData>
  <mergeCells count="1">
    <mergeCell ref="A1:G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39"/>
  <sheetViews>
    <sheetView workbookViewId="0">
      <pane ySplit="3" topLeftCell="A130" activePane="bottomLeft" state="frozen"/>
      <selection pane="bottomLeft" activeCell="I133" sqref="I133"/>
    </sheetView>
  </sheetViews>
  <sheetFormatPr defaultRowHeight="14.5" x14ac:dyDescent="0.35"/>
  <cols>
    <col min="1" max="1" width="4" customWidth="1"/>
    <col min="2" max="2" width="36" customWidth="1"/>
    <col min="3" max="3" width="12.26953125" bestFit="1" customWidth="1"/>
    <col min="4" max="4" width="34" customWidth="1"/>
    <col min="5" max="5" width="16" customWidth="1"/>
    <col min="6" max="6" width="30" customWidth="1"/>
    <col min="7" max="7" width="14" customWidth="1"/>
    <col min="8" max="8" width="24" customWidth="1"/>
    <col min="9" max="9" width="26" customWidth="1"/>
    <col min="10" max="10" width="52" customWidth="1"/>
  </cols>
  <sheetData>
    <row r="1" spans="1:10" ht="32" customHeight="1" x14ac:dyDescent="0.35">
      <c r="A1" s="1476" t="s">
        <v>12592</v>
      </c>
      <c r="B1" s="1313"/>
      <c r="C1" s="1313"/>
      <c r="D1" s="1313"/>
      <c r="E1" s="1313"/>
      <c r="F1" s="1313"/>
      <c r="G1" s="1313"/>
      <c r="H1" s="1313"/>
      <c r="I1" s="1313"/>
    </row>
    <row r="2" spans="1:10" ht="16" customHeight="1" x14ac:dyDescent="0.35">
      <c r="A2" s="1365" t="s">
        <v>12593</v>
      </c>
      <c r="B2" s="1313"/>
      <c r="C2" s="1313"/>
      <c r="D2" s="1313"/>
      <c r="E2" s="1313"/>
      <c r="F2" s="1313"/>
      <c r="G2" s="1313"/>
      <c r="H2" s="1313"/>
      <c r="I2" s="1313"/>
    </row>
    <row r="3" spans="1:10" ht="24" customHeight="1" x14ac:dyDescent="0.35">
      <c r="A3" s="238" t="s">
        <v>141</v>
      </c>
      <c r="B3" s="238" t="s">
        <v>785</v>
      </c>
      <c r="C3" s="238" t="s">
        <v>4370</v>
      </c>
      <c r="D3" s="238" t="s">
        <v>619</v>
      </c>
      <c r="E3" s="238" t="s">
        <v>906</v>
      </c>
      <c r="F3" s="238" t="s">
        <v>16418</v>
      </c>
      <c r="G3" s="238" t="s">
        <v>16419</v>
      </c>
      <c r="H3" s="238" t="s">
        <v>16420</v>
      </c>
      <c r="I3" s="238" t="s">
        <v>789</v>
      </c>
      <c r="J3" s="303" t="s">
        <v>8</v>
      </c>
    </row>
    <row r="4" spans="1:10" ht="22" customHeight="1" x14ac:dyDescent="0.35">
      <c r="A4" s="1479" t="s">
        <v>12594</v>
      </c>
      <c r="B4" s="1313"/>
      <c r="C4" s="1313"/>
      <c r="D4" s="1313"/>
      <c r="E4" s="1313"/>
      <c r="F4" s="1313"/>
      <c r="G4" s="1313"/>
      <c r="H4" s="1313"/>
      <c r="I4" s="1313"/>
    </row>
    <row r="5" spans="1:10" ht="110" customHeight="1" x14ac:dyDescent="0.35">
      <c r="A5" s="338">
        <v>1</v>
      </c>
      <c r="B5" s="239" t="s">
        <v>12151</v>
      </c>
      <c r="C5" s="240" t="s">
        <v>12595</v>
      </c>
      <c r="D5" s="239" t="s">
        <v>522</v>
      </c>
      <c r="E5" s="239" t="s">
        <v>6649</v>
      </c>
      <c r="F5" s="239" t="s">
        <v>12596</v>
      </c>
      <c r="G5" s="239" t="s">
        <v>12597</v>
      </c>
      <c r="H5" s="239">
        <v>97</v>
      </c>
      <c r="I5" s="604" t="str">
        <f>HYPERLINK("https://maps.google.com/?q=Aldeia%20da%20Cuada%20Faj%C3%A3%20Grande%2C%20Flores","🛖 Aldeia da Cuada")</f>
        <v>🛖 Aldeia da Cuada</v>
      </c>
      <c r="J5" s="304" t="s">
        <v>12598</v>
      </c>
    </row>
    <row r="6" spans="1:10" ht="110" customHeight="1" x14ac:dyDescent="0.35">
      <c r="A6" s="336">
        <v>2</v>
      </c>
      <c r="B6" s="242" t="s">
        <v>12599</v>
      </c>
      <c r="C6" s="243" t="s">
        <v>12600</v>
      </c>
      <c r="D6" s="242" t="s">
        <v>522</v>
      </c>
      <c r="E6" s="242" t="s">
        <v>3690</v>
      </c>
      <c r="F6" s="242" t="s">
        <v>12596</v>
      </c>
      <c r="G6" s="242" t="s">
        <v>12601</v>
      </c>
      <c r="H6" s="242">
        <v>90</v>
      </c>
      <c r="I6" s="605" t="str">
        <f>HYPERLINK("https://maps.google.com/?q=Azul%20Singular%20Horta%2C%20Faial","🛖 Azul Singular")</f>
        <v>🛖 Azul Singular</v>
      </c>
      <c r="J6" s="305" t="s">
        <v>12602</v>
      </c>
    </row>
    <row r="7" spans="1:10" ht="110" customHeight="1" x14ac:dyDescent="0.35">
      <c r="A7" s="338">
        <v>3</v>
      </c>
      <c r="B7" s="239" t="s">
        <v>12603</v>
      </c>
      <c r="C7" s="240" t="s">
        <v>12595</v>
      </c>
      <c r="D7" s="239" t="s">
        <v>522</v>
      </c>
      <c r="E7" s="239" t="s">
        <v>2255</v>
      </c>
      <c r="F7" s="239" t="s">
        <v>12596</v>
      </c>
      <c r="G7" s="239" t="s">
        <v>12604</v>
      </c>
      <c r="H7" s="239">
        <v>80</v>
      </c>
      <c r="I7" s="604" t="str">
        <f>HYPERLINK("https://maps.google.com/?q=Bananas%20Lodge%20Ribeira%20Grande%2C%20S%C3%A3o%20Miguel","🛖 Bananas Lodge")</f>
        <v>🛖 Bananas Lodge</v>
      </c>
      <c r="J7" s="304" t="s">
        <v>12605</v>
      </c>
    </row>
    <row r="8" spans="1:10" ht="110" customHeight="1" x14ac:dyDescent="0.35">
      <c r="A8" s="336">
        <v>4</v>
      </c>
      <c r="B8" s="242" t="s">
        <v>12606</v>
      </c>
      <c r="C8" s="243" t="s">
        <v>12595</v>
      </c>
      <c r="D8" s="242" t="s">
        <v>522</v>
      </c>
      <c r="E8" s="242" t="s">
        <v>12607</v>
      </c>
      <c r="F8" s="242" t="s">
        <v>12596</v>
      </c>
      <c r="G8" s="242" t="s">
        <v>12608</v>
      </c>
      <c r="H8" s="242">
        <v>99</v>
      </c>
      <c r="I8" s="605" t="str">
        <f>HYPERLINK("https://maps.google.com/?q=Cabanas%20da%20Viscondessa%20Urzelina%2C%20S%C3%A3o%20Jorge","🛖 Cabanas da Viscondessa")</f>
        <v>🛖 Cabanas da Viscondessa</v>
      </c>
      <c r="J8" s="305" t="s">
        <v>12609</v>
      </c>
    </row>
    <row r="9" spans="1:10" ht="110" customHeight="1" x14ac:dyDescent="0.35">
      <c r="A9" s="338">
        <v>5</v>
      </c>
      <c r="B9" s="239" t="s">
        <v>12610</v>
      </c>
      <c r="C9" s="240" t="s">
        <v>12595</v>
      </c>
      <c r="D9" s="239" t="s">
        <v>522</v>
      </c>
      <c r="E9" s="239" t="s">
        <v>8738</v>
      </c>
      <c r="F9" s="239" t="s">
        <v>12596</v>
      </c>
      <c r="G9" s="239" t="s">
        <v>12611</v>
      </c>
      <c r="H9" s="239">
        <v>110</v>
      </c>
      <c r="I9" s="604" t="str">
        <f>HYPERLINK("https://maps.google.com/?q=Caparica%20Azores%20Ecolodge%20Biscoitos%2C%20Terceira","🛖 Caparica Azores Ecolodge")</f>
        <v>🛖 Caparica Azores Ecolodge</v>
      </c>
      <c r="J9" s="304" t="s">
        <v>12612</v>
      </c>
    </row>
    <row r="10" spans="1:10" ht="110" customHeight="1" x14ac:dyDescent="0.35">
      <c r="A10" s="336">
        <v>6</v>
      </c>
      <c r="B10" s="242" t="s">
        <v>12613</v>
      </c>
      <c r="C10" s="243" t="s">
        <v>12614</v>
      </c>
      <c r="D10" s="242" t="s">
        <v>522</v>
      </c>
      <c r="E10" s="242" t="s">
        <v>3070</v>
      </c>
      <c r="F10" s="242" t="s">
        <v>12596</v>
      </c>
      <c r="G10" s="242" t="s">
        <v>12615</v>
      </c>
      <c r="H10" s="242">
        <v>160</v>
      </c>
      <c r="I10" s="605" t="str">
        <f>HYPERLINK("https://maps.google.com/?q=Herdade%20do%20Anan%C3%A1s%20Ponta%20Delgada%2C%20S%C3%A3o%20Miguel","🛖 Herdade do Ananás")</f>
        <v>🛖 Herdade do Ananás</v>
      </c>
      <c r="J10" s="305" t="s">
        <v>12616</v>
      </c>
    </row>
    <row r="11" spans="1:10" ht="110" customHeight="1" x14ac:dyDescent="0.35">
      <c r="A11" s="338">
        <v>7</v>
      </c>
      <c r="B11" s="239" t="s">
        <v>12617</v>
      </c>
      <c r="C11" s="240" t="s">
        <v>12618</v>
      </c>
      <c r="D11" s="239" t="s">
        <v>522</v>
      </c>
      <c r="E11" s="239" t="s">
        <v>2255</v>
      </c>
      <c r="F11" s="239" t="s">
        <v>12596</v>
      </c>
      <c r="G11" s="239" t="s">
        <v>12619</v>
      </c>
      <c r="H11" s="239">
        <v>125</v>
      </c>
      <c r="I11" s="604" t="str">
        <f>HYPERLINK("https://maps.google.com/?q=Pico%20do%20Ref%C3%BAgio%20Ribeira%20Grande%2C%20S%C3%A3o%20Miguel","🛖 Pico do Refúgio")</f>
        <v>🛖 Pico do Refúgio</v>
      </c>
      <c r="J11" s="304" t="s">
        <v>12620</v>
      </c>
    </row>
    <row r="12" spans="1:10" ht="110" customHeight="1" x14ac:dyDescent="0.35">
      <c r="A12" s="336">
        <v>8</v>
      </c>
      <c r="B12" s="242" t="s">
        <v>12621</v>
      </c>
      <c r="C12" s="243" t="s">
        <v>12622</v>
      </c>
      <c r="D12" s="242" t="s">
        <v>522</v>
      </c>
      <c r="E12" s="242" t="s">
        <v>2252</v>
      </c>
      <c r="F12" s="242" t="s">
        <v>12623</v>
      </c>
      <c r="G12" s="242" t="s">
        <v>12624</v>
      </c>
      <c r="H12" s="242">
        <v>245</v>
      </c>
      <c r="I12" s="605" t="str">
        <f>HYPERLINK("https://maps.google.com/?q=Pocinho%20Bay%20Madalena%2C%20Pico","🛖 Pocinho Bay")</f>
        <v>🛖 Pocinho Bay</v>
      </c>
      <c r="J12" s="305" t="s">
        <v>12625</v>
      </c>
    </row>
    <row r="13" spans="1:10" ht="110" customHeight="1" x14ac:dyDescent="0.35">
      <c r="A13" s="338">
        <v>9</v>
      </c>
      <c r="B13" s="239" t="s">
        <v>12626</v>
      </c>
      <c r="C13" s="240" t="s">
        <v>12627</v>
      </c>
      <c r="D13" s="239" t="s">
        <v>522</v>
      </c>
      <c r="E13" s="239" t="s">
        <v>12607</v>
      </c>
      <c r="F13" s="239" t="s">
        <v>12628</v>
      </c>
      <c r="G13" s="239" t="s">
        <v>12629</v>
      </c>
      <c r="H13" s="239">
        <v>120</v>
      </c>
      <c r="I13" s="604" t="str">
        <f>HYPERLINK("https://maps.google.com/?q=Quinta%20da%20Magnolia%20Urzelina%2C%20S%C3%A3o%20Jorge","🛖 Quinta da Magnolia")</f>
        <v>🛖 Quinta da Magnolia</v>
      </c>
      <c r="J13" s="304" t="s">
        <v>12630</v>
      </c>
    </row>
    <row r="14" spans="1:10" ht="110" customHeight="1" x14ac:dyDescent="0.35">
      <c r="A14" s="336">
        <v>10</v>
      </c>
      <c r="B14" s="242" t="s">
        <v>12631</v>
      </c>
      <c r="C14" s="243" t="s">
        <v>12614</v>
      </c>
      <c r="D14" s="242" t="s">
        <v>522</v>
      </c>
      <c r="E14" s="242" t="s">
        <v>12632</v>
      </c>
      <c r="F14" s="242" t="s">
        <v>12628</v>
      </c>
      <c r="G14" s="242" t="s">
        <v>12629</v>
      </c>
      <c r="H14" s="242">
        <v>150</v>
      </c>
      <c r="I14" s="605" t="str">
        <f>HYPERLINK("https://maps.google.com/?q=Quinta%20dos%20Mist%C3%A9rios%20Santo%20Amaro%2C%20S%C3%A3o%20Jorge","🛖 Quinta dos Mistérios")</f>
        <v>🛖 Quinta dos Mistérios</v>
      </c>
      <c r="J14" s="305" t="s">
        <v>12633</v>
      </c>
    </row>
    <row r="15" spans="1:10" ht="110" customHeight="1" x14ac:dyDescent="0.35">
      <c r="A15" s="338">
        <v>11</v>
      </c>
      <c r="B15" s="239" t="s">
        <v>12634</v>
      </c>
      <c r="C15" s="240" t="s">
        <v>12635</v>
      </c>
      <c r="D15" s="239" t="s">
        <v>522</v>
      </c>
      <c r="E15" s="239" t="s">
        <v>2255</v>
      </c>
      <c r="F15" s="239" t="s">
        <v>12623</v>
      </c>
      <c r="G15" s="239" t="s">
        <v>12636</v>
      </c>
      <c r="H15" s="239">
        <v>200</v>
      </c>
      <c r="I15" s="604" t="str">
        <f>HYPERLINK("https://maps.google.com/?q=Santa%20Barbara%20Eco-Beach%20Resort%20Ribeira%20Grande%2C%20S%C3%A3o%20Miguel","🛖 Santa Barbara Eco-Beach Reso")</f>
        <v>🛖 Santa Barbara Eco-Beach Reso</v>
      </c>
      <c r="J15" s="304" t="s">
        <v>12637</v>
      </c>
    </row>
    <row r="16" spans="1:10" ht="110" customHeight="1" x14ac:dyDescent="0.35">
      <c r="A16" s="336">
        <v>12</v>
      </c>
      <c r="B16" s="242" t="s">
        <v>12638</v>
      </c>
      <c r="C16" s="243" t="s">
        <v>12639</v>
      </c>
      <c r="D16" s="242" t="s">
        <v>522</v>
      </c>
      <c r="E16" s="242" t="s">
        <v>12640</v>
      </c>
      <c r="F16" s="242" t="s">
        <v>12623</v>
      </c>
      <c r="G16" s="242" t="s">
        <v>12641</v>
      </c>
      <c r="H16" s="242">
        <v>189</v>
      </c>
      <c r="I16" s="605" t="str">
        <f>HYPERLINK("https://maps.google.com/?q=Sea%20U%20Pico%20S%C3%A3o%20Vicente%2C%20Pico","🛖 Sea U Pico")</f>
        <v>🛖 Sea U Pico</v>
      </c>
      <c r="J16" s="305" t="s">
        <v>12642</v>
      </c>
    </row>
    <row r="17" spans="1:10" ht="110" customHeight="1" x14ac:dyDescent="0.35">
      <c r="A17" s="338">
        <v>13</v>
      </c>
      <c r="B17" s="239" t="s">
        <v>12643</v>
      </c>
      <c r="C17" s="240" t="s">
        <v>12644</v>
      </c>
      <c r="D17" s="239" t="s">
        <v>522</v>
      </c>
      <c r="E17" s="239" t="s">
        <v>3694</v>
      </c>
      <c r="F17" s="239" t="s">
        <v>12623</v>
      </c>
      <c r="G17" s="239" t="s">
        <v>12641</v>
      </c>
      <c r="H17" s="239">
        <v>180</v>
      </c>
      <c r="I17" s="604" t="str">
        <f>HYPERLINK("https://maps.google.com/?q=Villa%20Natura%20-%20Ecoturismo%20Vila%20do%20Porto%2C%20Santa%20Maria","🛖 Villa Natura - Ecoturismo")</f>
        <v>🛖 Villa Natura - Ecoturismo</v>
      </c>
      <c r="J17" s="304" t="s">
        <v>12645</v>
      </c>
    </row>
    <row r="18" spans="1:10" ht="110" customHeight="1" x14ac:dyDescent="0.35">
      <c r="A18" s="336">
        <v>14</v>
      </c>
      <c r="B18" s="242" t="s">
        <v>12646</v>
      </c>
      <c r="C18" s="243" t="s">
        <v>12647</v>
      </c>
      <c r="D18" s="242" t="s">
        <v>522</v>
      </c>
      <c r="E18" s="242" t="s">
        <v>12648</v>
      </c>
      <c r="F18" s="242" t="s">
        <v>12596</v>
      </c>
      <c r="G18" s="242" t="s">
        <v>12649</v>
      </c>
      <c r="H18" s="242">
        <v>180</v>
      </c>
      <c r="I18" s="605" t="str">
        <f>HYPERLINK("https://maps.google.com/?q=Lava%20Homes%20Lajes%20do%20Pico%2C%20Pico","🛖 Lava Homes")</f>
        <v>🛖 Lava Homes</v>
      </c>
      <c r="J18" s="305" t="s">
        <v>12650</v>
      </c>
    </row>
    <row r="19" spans="1:10" ht="110" customHeight="1" x14ac:dyDescent="0.35">
      <c r="A19" s="338">
        <v>15</v>
      </c>
      <c r="B19" s="239" t="s">
        <v>12651</v>
      </c>
      <c r="C19" s="240" t="s">
        <v>12595</v>
      </c>
      <c r="D19" s="239" t="s">
        <v>524</v>
      </c>
      <c r="E19" s="239" t="s">
        <v>6722</v>
      </c>
      <c r="F19" s="239" t="s">
        <v>12596</v>
      </c>
      <c r="G19" s="239" t="s">
        <v>12601</v>
      </c>
      <c r="H19" s="239">
        <v>150</v>
      </c>
      <c r="I19" s="604" t="str">
        <f>HYPERLINK("https://maps.google.com/?q=Calhau%20Grande%20Arco%20da%20Calheta","🛖 Calhau Grande")</f>
        <v>🛖 Calhau Grande</v>
      </c>
      <c r="J19" s="304" t="s">
        <v>12652</v>
      </c>
    </row>
    <row r="20" spans="1:10" ht="110" customHeight="1" x14ac:dyDescent="0.35">
      <c r="A20" s="336">
        <v>16</v>
      </c>
      <c r="B20" s="242" t="s">
        <v>12653</v>
      </c>
      <c r="C20" s="243" t="s">
        <v>1507</v>
      </c>
      <c r="D20" s="242" t="s">
        <v>524</v>
      </c>
      <c r="E20" s="242" t="s">
        <v>12654</v>
      </c>
      <c r="F20" s="242" t="s">
        <v>12596</v>
      </c>
      <c r="G20" s="242" t="s">
        <v>12608</v>
      </c>
      <c r="H20" s="242">
        <v>209</v>
      </c>
      <c r="I20" s="605" t="str">
        <f>HYPERLINK("https://maps.google.com/?q=Casas%20de%20Levada%20Estreito%20da%20Calheta","🛖 Casas de Levada")</f>
        <v>🛖 Casas de Levada</v>
      </c>
      <c r="J20" s="305" t="s">
        <v>12655</v>
      </c>
    </row>
    <row r="21" spans="1:10" ht="110" customHeight="1" x14ac:dyDescent="0.35">
      <c r="A21" s="338">
        <v>17</v>
      </c>
      <c r="B21" s="239" t="s">
        <v>6701</v>
      </c>
      <c r="C21" s="240" t="s">
        <v>12595</v>
      </c>
      <c r="D21" s="239" t="s">
        <v>524</v>
      </c>
      <c r="E21" s="239" t="s">
        <v>12656</v>
      </c>
      <c r="F21" s="239" t="s">
        <v>12623</v>
      </c>
      <c r="G21" s="239" t="s">
        <v>12657</v>
      </c>
      <c r="H21" s="239">
        <v>127</v>
      </c>
      <c r="I21" s="604" t="str">
        <f>HYPERLINK("https://maps.google.com/?q=Faj%C3%A3%20dos%20Padres%20Quinta%20Grande","🛖 Fajã dos Padres")</f>
        <v>🛖 Fajã dos Padres</v>
      </c>
      <c r="J21" s="304" t="s">
        <v>12658</v>
      </c>
    </row>
    <row r="22" spans="1:10" ht="110" customHeight="1" x14ac:dyDescent="0.35">
      <c r="A22" s="336">
        <v>18</v>
      </c>
      <c r="B22" s="242" t="s">
        <v>12659</v>
      </c>
      <c r="C22" s="243" t="s">
        <v>12595</v>
      </c>
      <c r="D22" s="242" t="s">
        <v>792</v>
      </c>
      <c r="E22" s="242" t="s">
        <v>1864</v>
      </c>
      <c r="F22" s="242" t="s">
        <v>12596</v>
      </c>
      <c r="G22" s="242" t="s">
        <v>12660</v>
      </c>
      <c r="H22" s="242">
        <v>154</v>
      </c>
      <c r="I22" s="605" t="str">
        <f>HYPERLINK("https://maps.google.com/?q=Casa%20do%20Rio%20Vez%20Arcos%20de%20Valdevez","🛖 Casa do Rio Vez")</f>
        <v>🛖 Casa do Rio Vez</v>
      </c>
      <c r="J22" s="305" t="s">
        <v>12661</v>
      </c>
    </row>
    <row r="23" spans="1:10" ht="110" customHeight="1" x14ac:dyDescent="0.35">
      <c r="A23" s="338">
        <v>19</v>
      </c>
      <c r="B23" s="239" t="s">
        <v>12662</v>
      </c>
      <c r="C23" s="240" t="s">
        <v>12622</v>
      </c>
      <c r="D23" s="239" t="s">
        <v>792</v>
      </c>
      <c r="E23" s="239" t="s">
        <v>12663</v>
      </c>
      <c r="F23" s="239" t="s">
        <v>12596</v>
      </c>
      <c r="G23" s="239" t="s">
        <v>12664</v>
      </c>
      <c r="H23" s="239">
        <v>325</v>
      </c>
      <c r="I23" s="604" t="str">
        <f>HYPERLINK("https://maps.google.com/?q=Casas%20do%20C%C3%B4ro%20M%C3%AAda%2C%20Douro","🛖 Casas do Côro")</f>
        <v>🛖 Casas do Côro</v>
      </c>
      <c r="J23" s="304" t="s">
        <v>12665</v>
      </c>
    </row>
    <row r="24" spans="1:10" ht="110" customHeight="1" x14ac:dyDescent="0.35">
      <c r="A24" s="336">
        <v>20</v>
      </c>
      <c r="B24" s="242" t="s">
        <v>12666</v>
      </c>
      <c r="C24" s="243" t="s">
        <v>12614</v>
      </c>
      <c r="D24" s="242" t="s">
        <v>792</v>
      </c>
      <c r="E24" s="242" t="s">
        <v>12667</v>
      </c>
      <c r="F24" s="242" t="s">
        <v>12668</v>
      </c>
      <c r="G24" s="242" t="s">
        <v>12615</v>
      </c>
      <c r="H24" s="242">
        <v>140</v>
      </c>
      <c r="I24" s="605" t="str">
        <f>HYPERLINK("https://maps.google.com/?q=Morgadio%20da%20Cal%C3%A7ada%20Provesende%2C%20Douro","🛖 Morgadio da Calçada")</f>
        <v>🛖 Morgadio da Calçada</v>
      </c>
      <c r="J24" s="305" t="s">
        <v>12669</v>
      </c>
    </row>
    <row r="25" spans="1:10" ht="110" customHeight="1" x14ac:dyDescent="0.35">
      <c r="A25" s="338">
        <v>21</v>
      </c>
      <c r="B25" s="239" t="s">
        <v>12670</v>
      </c>
      <c r="C25" s="240" t="s">
        <v>12618</v>
      </c>
      <c r="D25" s="239" t="s">
        <v>792</v>
      </c>
      <c r="E25" s="239" t="s">
        <v>12671</v>
      </c>
      <c r="F25" s="239" t="s">
        <v>12668</v>
      </c>
      <c r="G25" s="239" t="s">
        <v>12660</v>
      </c>
      <c r="H25" s="239">
        <v>140</v>
      </c>
      <c r="I25" s="604" t="str">
        <f>HYPERLINK("https://maps.google.com/?q=Morphosis%20Boutique%20Home%20Celeir%C3%B3s%20do%20Douro","🛖 Morphosis Boutique Home")</f>
        <v>🛖 Morphosis Boutique Home</v>
      </c>
      <c r="J25" s="304" t="s">
        <v>12672</v>
      </c>
    </row>
    <row r="26" spans="1:10" ht="110" customHeight="1" x14ac:dyDescent="0.35">
      <c r="A26" s="336">
        <v>22</v>
      </c>
      <c r="B26" s="242" t="s">
        <v>12673</v>
      </c>
      <c r="C26" s="243" t="s">
        <v>12674</v>
      </c>
      <c r="D26" s="242" t="s">
        <v>792</v>
      </c>
      <c r="E26" s="242" t="s">
        <v>1791</v>
      </c>
      <c r="F26" s="242" t="s">
        <v>12596</v>
      </c>
      <c r="G26" s="242" t="s">
        <v>12675</v>
      </c>
      <c r="H26" s="242">
        <v>105</v>
      </c>
      <c r="I26" s="605" t="str">
        <f>HYPERLINK("https://maps.google.com/?q=Pousada%20Mosteiro%20de%20Guimar%C3%A3es%20Guimar%C3%A3es","🛖 Pousada Mosteiro de Guimarãe")</f>
        <v>🛖 Pousada Mosteiro de Guimarãe</v>
      </c>
      <c r="J26" s="305" t="s">
        <v>12676</v>
      </c>
    </row>
    <row r="27" spans="1:10" ht="110" customHeight="1" x14ac:dyDescent="0.35">
      <c r="A27" s="338">
        <v>23</v>
      </c>
      <c r="B27" s="239" t="s">
        <v>12677</v>
      </c>
      <c r="C27" s="240" t="s">
        <v>12614</v>
      </c>
      <c r="D27" s="239" t="s">
        <v>792</v>
      </c>
      <c r="E27" s="239" t="s">
        <v>12678</v>
      </c>
      <c r="F27" s="239" t="s">
        <v>12596</v>
      </c>
      <c r="G27" s="239" t="s">
        <v>12679</v>
      </c>
      <c r="H27" s="239">
        <v>240</v>
      </c>
      <c r="I27" s="604" t="str">
        <f>HYPERLINK("https://maps.google.com/?q=Quinta%20da%20Corte%20Valen%C3%A7a%20do%20Douro","🛖 Quinta da Corte")</f>
        <v>🛖 Quinta da Corte</v>
      </c>
      <c r="J27" s="304" t="s">
        <v>12680</v>
      </c>
    </row>
    <row r="28" spans="1:10" ht="110" customHeight="1" x14ac:dyDescent="0.35">
      <c r="A28" s="336">
        <v>24</v>
      </c>
      <c r="B28" s="242" t="s">
        <v>12681</v>
      </c>
      <c r="C28" s="243" t="s">
        <v>12627</v>
      </c>
      <c r="D28" s="242" t="s">
        <v>792</v>
      </c>
      <c r="E28" s="242" t="s">
        <v>12682</v>
      </c>
      <c r="F28" s="242" t="s">
        <v>12596</v>
      </c>
      <c r="G28" s="242" t="s">
        <v>12683</v>
      </c>
      <c r="H28" s="242">
        <v>280</v>
      </c>
      <c r="I28" s="605" t="str">
        <f>HYPERLINK("https://maps.google.com/?q=Quinta%20da%20Gricha%20-%20Gricha%20Vineyard%20House%20S%C3%A3o%20Jo%C3%A3o%20da%20Pesqueira%2C%20Douro","🛖 Quinta da Gricha - Gricha Vi")</f>
        <v>🛖 Quinta da Gricha - Gricha Vi</v>
      </c>
      <c r="J28" s="305" t="s">
        <v>12684</v>
      </c>
    </row>
    <row r="29" spans="1:10" ht="110" customHeight="1" x14ac:dyDescent="0.35">
      <c r="A29" s="338">
        <v>25</v>
      </c>
      <c r="B29" s="239" t="s">
        <v>12685</v>
      </c>
      <c r="C29" s="240" t="s">
        <v>12635</v>
      </c>
      <c r="D29" s="239" t="s">
        <v>792</v>
      </c>
      <c r="E29" s="239" t="s">
        <v>12686</v>
      </c>
      <c r="F29" s="239" t="s">
        <v>12596</v>
      </c>
      <c r="G29" s="239" t="s">
        <v>12687</v>
      </c>
      <c r="H29" s="239">
        <v>310</v>
      </c>
      <c r="I29" s="604" t="str">
        <f>HYPERLINK("https://maps.google.com/?q=Quinta%20do%20Vallado%20Peso%20da%20R%C3%A9gua%2C%20Douro","🛖 Quinta do Vallado")</f>
        <v>🛖 Quinta do Vallado</v>
      </c>
      <c r="J29" s="304" t="s">
        <v>12688</v>
      </c>
    </row>
    <row r="30" spans="1:10" ht="110" customHeight="1" x14ac:dyDescent="0.35">
      <c r="A30" s="336">
        <v>26</v>
      </c>
      <c r="B30" s="242" t="s">
        <v>12689</v>
      </c>
      <c r="C30" s="243" t="s">
        <v>12690</v>
      </c>
      <c r="D30" s="242" t="s">
        <v>792</v>
      </c>
      <c r="E30" s="242" t="s">
        <v>12691</v>
      </c>
      <c r="F30" s="242" t="s">
        <v>12668</v>
      </c>
      <c r="G30" s="242" t="s">
        <v>12692</v>
      </c>
      <c r="H30" s="242">
        <v>275</v>
      </c>
      <c r="I30" s="605" t="str">
        <f>HYPERLINK("https://maps.google.com/?q=Tapada%20de%20S%C3%A3o%20Domingos%20Foz%20do%20Sousa%2C%20Douro","🛖 Tapada de São Domingos")</f>
        <v>🛖 Tapada de São Domingos</v>
      </c>
      <c r="J30" s="305" t="s">
        <v>12693</v>
      </c>
    </row>
    <row r="31" spans="1:10" ht="110" customHeight="1" x14ac:dyDescent="0.35">
      <c r="A31" s="338">
        <v>27</v>
      </c>
      <c r="B31" s="239" t="s">
        <v>12694</v>
      </c>
      <c r="C31" s="240" t="s">
        <v>12695</v>
      </c>
      <c r="D31" s="239" t="s">
        <v>792</v>
      </c>
      <c r="E31" s="239" t="s">
        <v>12696</v>
      </c>
      <c r="F31" s="239" t="s">
        <v>12596</v>
      </c>
      <c r="G31" s="239" t="s">
        <v>12679</v>
      </c>
      <c r="H31" s="239">
        <v>150</v>
      </c>
      <c r="I31" s="604" t="str">
        <f>HYPERLINK("https://maps.google.com/?q=Terra%20Rosa%20Country%20House%20%26%20Vineyards%20Ponte%20de%20Lima%2C%20Minho","🛖 Terra Rosa Country House &amp; V")</f>
        <v>🛖 Terra Rosa Country House &amp; V</v>
      </c>
      <c r="J31" s="304" t="s">
        <v>12697</v>
      </c>
    </row>
    <row r="32" spans="1:10" ht="110" customHeight="1" x14ac:dyDescent="0.35">
      <c r="A32" s="336">
        <v>28</v>
      </c>
      <c r="B32" s="242" t="s">
        <v>12698</v>
      </c>
      <c r="C32" s="243" t="s">
        <v>12644</v>
      </c>
      <c r="D32" s="242" t="s">
        <v>792</v>
      </c>
      <c r="E32" s="242" t="s">
        <v>1917</v>
      </c>
      <c r="F32" s="242" t="s">
        <v>12596</v>
      </c>
      <c r="G32" s="242" t="s">
        <v>12699</v>
      </c>
      <c r="H32" s="242">
        <v>180</v>
      </c>
      <c r="I32" s="605" t="str">
        <f>HYPERLINK("https://maps.google.com/?q=Tower%20House%20Cabeceiras%20de%20Basto","🛖 Tower House")</f>
        <v>🛖 Tower House</v>
      </c>
      <c r="J32" s="305" t="s">
        <v>12700</v>
      </c>
    </row>
    <row r="33" spans="1:10" ht="110" customHeight="1" x14ac:dyDescent="0.35">
      <c r="A33" s="338">
        <v>29</v>
      </c>
      <c r="B33" s="239" t="s">
        <v>12701</v>
      </c>
      <c r="C33" s="240" t="s">
        <v>12695</v>
      </c>
      <c r="D33" s="239" t="s">
        <v>836</v>
      </c>
      <c r="E33" s="239" t="s">
        <v>9887</v>
      </c>
      <c r="F33" s="239" t="s">
        <v>12596</v>
      </c>
      <c r="G33" s="239" t="s">
        <v>12702</v>
      </c>
      <c r="H33" s="239">
        <v>150</v>
      </c>
      <c r="I33" s="604" t="str">
        <f>HYPERLINK("https://maps.google.com/?q=Bode%20Country%20House%20Monsanto","🛖 Bode Country House")</f>
        <v>🛖 Bode Country House</v>
      </c>
      <c r="J33" s="304" t="s">
        <v>12703</v>
      </c>
    </row>
    <row r="34" spans="1:10" ht="110" customHeight="1" x14ac:dyDescent="0.35">
      <c r="A34" s="336">
        <v>30</v>
      </c>
      <c r="B34" s="242" t="s">
        <v>12704</v>
      </c>
      <c r="C34" s="243" t="s">
        <v>12622</v>
      </c>
      <c r="D34" s="242" t="s">
        <v>836</v>
      </c>
      <c r="E34" s="242" t="s">
        <v>7204</v>
      </c>
      <c r="F34" s="242" t="s">
        <v>1440</v>
      </c>
      <c r="G34" s="242" t="s">
        <v>12705</v>
      </c>
      <c r="H34" s="242">
        <v>92</v>
      </c>
      <c r="I34" s="605" t="str">
        <f>HYPERLINK("https://maps.google.com/?q=Casa%20da%20Cisterna%20Castelo%20Rodrigo","🛖 Casa da Cisterna")</f>
        <v>🛖 Casa da Cisterna</v>
      </c>
      <c r="J34" s="305" t="s">
        <v>12706</v>
      </c>
    </row>
    <row r="35" spans="1:10" ht="110" customHeight="1" x14ac:dyDescent="0.35">
      <c r="A35" s="338">
        <v>31</v>
      </c>
      <c r="B35" s="239" t="s">
        <v>9600</v>
      </c>
      <c r="C35" s="240" t="s">
        <v>12695</v>
      </c>
      <c r="D35" s="239" t="s">
        <v>836</v>
      </c>
      <c r="E35" s="239" t="s">
        <v>12707</v>
      </c>
      <c r="F35" s="239" t="s">
        <v>12708</v>
      </c>
      <c r="G35" s="239" t="s">
        <v>12709</v>
      </c>
      <c r="H35" s="239">
        <v>207</v>
      </c>
      <c r="I35" s="604" t="str">
        <f>HYPERLINK("https://maps.google.com/?q=Casa%20das%20Penhas%20Douradas%20Manteigas%2C%20Serra%20da%20Estrela","🛖 Casa das Penhas Douradas")</f>
        <v>🛖 Casa das Penhas Douradas</v>
      </c>
      <c r="J35" s="304" t="s">
        <v>12710</v>
      </c>
    </row>
    <row r="36" spans="1:10" ht="110" customHeight="1" x14ac:dyDescent="0.35">
      <c r="A36" s="336">
        <v>32</v>
      </c>
      <c r="B36" s="242" t="s">
        <v>12711</v>
      </c>
      <c r="C36" s="243" t="s">
        <v>12635</v>
      </c>
      <c r="D36" s="242" t="s">
        <v>836</v>
      </c>
      <c r="E36" s="242" t="s">
        <v>12707</v>
      </c>
      <c r="F36" s="242" t="s">
        <v>12708</v>
      </c>
      <c r="G36" s="242" t="s">
        <v>12712</v>
      </c>
      <c r="H36" s="242">
        <v>295</v>
      </c>
      <c r="I36" s="605" t="str">
        <f>HYPERLINK("https://maps.google.com/?q=Casa%20de%20S%C3%A3o%20Louren%C3%A7o%20%2F%20Burel%20Panorama%20Hotel%20Manteigas%2C%20Serra%20da%20Estrela","🛖 Casa de São Lourenço / Burel")</f>
        <v>🛖 Casa de São Lourenço / Burel</v>
      </c>
      <c r="J36" s="305" t="s">
        <v>12713</v>
      </c>
    </row>
    <row r="37" spans="1:10" ht="110" customHeight="1" x14ac:dyDescent="0.35">
      <c r="A37" s="338">
        <v>33</v>
      </c>
      <c r="B37" s="239" t="s">
        <v>12714</v>
      </c>
      <c r="C37" s="240" t="s">
        <v>12695</v>
      </c>
      <c r="D37" s="239" t="s">
        <v>836</v>
      </c>
      <c r="E37" s="239" t="s">
        <v>12715</v>
      </c>
      <c r="F37" s="239" t="s">
        <v>12708</v>
      </c>
      <c r="G37" s="239" t="s">
        <v>12705</v>
      </c>
      <c r="H37" s="239">
        <v>160</v>
      </c>
      <c r="I37" s="604" t="str">
        <f>HYPERLINK("https://maps.google.com/?q=Cooking%20and%20Nature%20Emotional%20Hotel%20Alvados","🛖 Cooking and Nature Emotional")</f>
        <v>🛖 Cooking and Nature Emotional</v>
      </c>
      <c r="J37" s="304" t="s">
        <v>12716</v>
      </c>
    </row>
    <row r="38" spans="1:10" ht="110" customHeight="1" x14ac:dyDescent="0.35">
      <c r="A38" s="336">
        <v>34</v>
      </c>
      <c r="B38" s="242" t="s">
        <v>12717</v>
      </c>
      <c r="C38" s="243" t="s">
        <v>12690</v>
      </c>
      <c r="D38" s="242" t="s">
        <v>836</v>
      </c>
      <c r="E38" s="242" t="s">
        <v>2056</v>
      </c>
      <c r="F38" s="242" t="s">
        <v>12708</v>
      </c>
      <c r="G38" s="242" t="s">
        <v>12692</v>
      </c>
      <c r="H38" s="242">
        <v>171</v>
      </c>
      <c r="I38" s="605" t="str">
        <f>HYPERLINK("https://maps.google.com/?q=Encosta%20do%20Sobreiro%20-%20Serra%20da%20Estrela%20Fornos%20de%20Algodres","🛖 Encosta do Sobreiro - Serra ")</f>
        <v xml:space="preserve">🛖 Encosta do Sobreiro - Serra </v>
      </c>
      <c r="J38" s="305" t="s">
        <v>12718</v>
      </c>
    </row>
    <row r="39" spans="1:10" ht="110" customHeight="1" x14ac:dyDescent="0.35">
      <c r="A39" s="338">
        <v>35</v>
      </c>
      <c r="B39" s="239" t="s">
        <v>12719</v>
      </c>
      <c r="C39" s="240" t="s">
        <v>12720</v>
      </c>
      <c r="D39" s="239" t="s">
        <v>836</v>
      </c>
      <c r="E39" s="239" t="s">
        <v>12721</v>
      </c>
      <c r="F39" s="239" t="s">
        <v>12722</v>
      </c>
      <c r="G39" s="239" t="s">
        <v>12683</v>
      </c>
      <c r="H39" s="239">
        <v>165</v>
      </c>
      <c r="I39" s="604" t="str">
        <f>HYPERLINK("https://maps.google.com/?q=Flamboyant%20bed%20%26%20breakfast%20Serra%20do%20Bouro","🛖 Flamboyant bed &amp; breakfast")</f>
        <v>🛖 Flamboyant bed &amp; breakfast</v>
      </c>
      <c r="J39" s="304" t="s">
        <v>12723</v>
      </c>
    </row>
    <row r="40" spans="1:10" ht="110" customHeight="1" x14ac:dyDescent="0.35">
      <c r="A40" s="336">
        <v>36</v>
      </c>
      <c r="B40" s="242" t="s">
        <v>12724</v>
      </c>
      <c r="C40" s="243" t="s">
        <v>12622</v>
      </c>
      <c r="D40" s="242" t="s">
        <v>836</v>
      </c>
      <c r="E40" s="242" t="s">
        <v>10088</v>
      </c>
      <c r="F40" s="242" t="s">
        <v>1440</v>
      </c>
      <c r="G40" s="242" t="s">
        <v>12725</v>
      </c>
      <c r="H40" s="242">
        <v>135</v>
      </c>
      <c r="I40" s="605" t="str">
        <f>HYPERLINK("https://maps.google.com/?q=Luz%20Houses%20F%C3%A1tima","🛖 Luz Houses")</f>
        <v>🛖 Luz Houses</v>
      </c>
      <c r="J40" s="305" t="s">
        <v>12726</v>
      </c>
    </row>
    <row r="41" spans="1:10" ht="110" customHeight="1" x14ac:dyDescent="0.35">
      <c r="A41" s="338">
        <v>37</v>
      </c>
      <c r="B41" s="239" t="s">
        <v>12727</v>
      </c>
      <c r="C41" s="240" t="s">
        <v>12690</v>
      </c>
      <c r="D41" s="239" t="s">
        <v>836</v>
      </c>
      <c r="E41" s="239" t="s">
        <v>2088</v>
      </c>
      <c r="F41" s="239" t="s">
        <v>12596</v>
      </c>
      <c r="G41" s="239" t="s">
        <v>12728</v>
      </c>
      <c r="H41" s="239">
        <v>129</v>
      </c>
      <c r="I41" s="604" t="str">
        <f>HYPERLINK("https://maps.google.com/?q=Villa%20Pedra%20Natural%20Houses%20Soure","🛖 Villa Pedra Natural Houses")</f>
        <v>🛖 Villa Pedra Natural Houses</v>
      </c>
      <c r="J41" s="304" t="s">
        <v>12729</v>
      </c>
    </row>
    <row r="42" spans="1:10" ht="110" customHeight="1" x14ac:dyDescent="0.35">
      <c r="A42" s="336">
        <v>38</v>
      </c>
      <c r="B42" s="242" t="s">
        <v>12730</v>
      </c>
      <c r="C42" s="243" t="s">
        <v>12635</v>
      </c>
      <c r="D42" s="242" t="s">
        <v>913</v>
      </c>
      <c r="E42" s="242" t="s">
        <v>9892</v>
      </c>
      <c r="F42" s="242" t="s">
        <v>12623</v>
      </c>
      <c r="G42" s="242" t="s">
        <v>12731</v>
      </c>
      <c r="H42" s="242">
        <v>209</v>
      </c>
      <c r="I42" s="605" t="str">
        <f>HYPERLINK("https://maps.google.com/?q=Aethos%20Ericeira%20Ericeira","🛖 Aethos Ericeira")</f>
        <v>🛖 Aethos Ericeira</v>
      </c>
      <c r="J42" s="305" t="s">
        <v>12732</v>
      </c>
    </row>
    <row r="43" spans="1:10" ht="110" customHeight="1" x14ac:dyDescent="0.35">
      <c r="A43" s="338">
        <v>39</v>
      </c>
      <c r="B43" s="239" t="s">
        <v>12733</v>
      </c>
      <c r="C43" s="240" t="s">
        <v>12635</v>
      </c>
      <c r="D43" s="239" t="s">
        <v>913</v>
      </c>
      <c r="E43" s="239" t="s">
        <v>6690</v>
      </c>
      <c r="F43" s="239" t="s">
        <v>12722</v>
      </c>
      <c r="G43" s="239" t="s">
        <v>12734</v>
      </c>
      <c r="H43" s="239">
        <v>350</v>
      </c>
      <c r="I43" s="604" t="str">
        <f>HYPERLINK("https://maps.google.com/?q=Areias%20do%20Seixo%20Santa%20Cruz","🛖 Areias do Seixo")</f>
        <v>🛖 Areias do Seixo</v>
      </c>
      <c r="J43" s="304" t="s">
        <v>12735</v>
      </c>
    </row>
    <row r="44" spans="1:10" ht="110" customHeight="1" x14ac:dyDescent="0.35">
      <c r="A44" s="336">
        <v>40</v>
      </c>
      <c r="B44" s="242" t="s">
        <v>12736</v>
      </c>
      <c r="C44" s="243" t="s">
        <v>12622</v>
      </c>
      <c r="D44" s="242" t="s">
        <v>913</v>
      </c>
      <c r="E44" s="242" t="s">
        <v>2567</v>
      </c>
      <c r="F44" s="242" t="s">
        <v>12737</v>
      </c>
      <c r="G44" s="242" t="s">
        <v>12702</v>
      </c>
      <c r="H44" s="242">
        <v>89</v>
      </c>
      <c r="I44" s="605" t="str">
        <f>HYPERLINK("https://maps.google.com/?q=Casa%20Do%20Valle%20Sintra","🛖 Casa Do Valle")</f>
        <v>🛖 Casa Do Valle</v>
      </c>
      <c r="J44" s="305" t="s">
        <v>12738</v>
      </c>
    </row>
    <row r="45" spans="1:10" ht="110" customHeight="1" x14ac:dyDescent="0.35">
      <c r="A45" s="338">
        <v>41</v>
      </c>
      <c r="B45" s="239" t="s">
        <v>12739</v>
      </c>
      <c r="C45" s="240" t="s">
        <v>12627</v>
      </c>
      <c r="D45" s="239" t="s">
        <v>913</v>
      </c>
      <c r="E45" s="239" t="s">
        <v>12740</v>
      </c>
      <c r="F45" s="239" t="s">
        <v>12722</v>
      </c>
      <c r="G45" s="239" t="s">
        <v>12741</v>
      </c>
      <c r="H45" s="239">
        <v>98</v>
      </c>
      <c r="I45" s="604" t="str">
        <f>HYPERLINK("https://maps.google.com/?q=Casal%20do%20Frade%20Aldeia%20do%20Meco","🛖 Casal do Frade")</f>
        <v>🛖 Casal do Frade</v>
      </c>
      <c r="J45" s="304" t="s">
        <v>12742</v>
      </c>
    </row>
    <row r="46" spans="1:10" ht="110" customHeight="1" x14ac:dyDescent="0.35">
      <c r="A46" s="336">
        <v>42</v>
      </c>
      <c r="B46" s="242" t="s">
        <v>12743</v>
      </c>
      <c r="C46" s="243" t="s">
        <v>12695</v>
      </c>
      <c r="D46" s="242" t="s">
        <v>913</v>
      </c>
      <c r="E46" s="242" t="s">
        <v>12744</v>
      </c>
      <c r="F46" s="242" t="s">
        <v>12722</v>
      </c>
      <c r="G46" s="242" t="s">
        <v>12629</v>
      </c>
      <c r="H46" s="242">
        <v>250</v>
      </c>
      <c r="I46" s="605" t="str">
        <f>HYPERLINK("https://maps.google.com/?q=Dream%20Guincho%20Unique%20Stay%20Malveira%20da%20Serra","🛖 Dream Guincho Unique Stay")</f>
        <v>🛖 Dream Guincho Unique Stay</v>
      </c>
      <c r="J46" s="305" t="s">
        <v>12745</v>
      </c>
    </row>
    <row r="47" spans="1:10" ht="110" customHeight="1" x14ac:dyDescent="0.35">
      <c r="A47" s="338">
        <v>43</v>
      </c>
      <c r="B47" s="239" t="s">
        <v>12746</v>
      </c>
      <c r="C47" s="240" t="s">
        <v>12747</v>
      </c>
      <c r="D47" s="239" t="s">
        <v>913</v>
      </c>
      <c r="E47" s="239" t="s">
        <v>1347</v>
      </c>
      <c r="F47" s="239" t="s">
        <v>12596</v>
      </c>
      <c r="G47" s="239" t="s">
        <v>12712</v>
      </c>
      <c r="H47" s="239">
        <v>295</v>
      </c>
      <c r="I47" s="604" t="str">
        <f>HYPERLINK("https://maps.google.com/?q=Hotel%20Casa%20Palmela%20Set%C3%BAbal","🛖 Hotel Casa Palmela")</f>
        <v>🛖 Hotel Casa Palmela</v>
      </c>
      <c r="J47" s="304" t="s">
        <v>12748</v>
      </c>
    </row>
    <row r="48" spans="1:10" ht="110" customHeight="1" x14ac:dyDescent="0.35">
      <c r="A48" s="336">
        <v>44</v>
      </c>
      <c r="B48" s="242" t="s">
        <v>12749</v>
      </c>
      <c r="C48" s="243" t="s">
        <v>12690</v>
      </c>
      <c r="D48" s="242" t="s">
        <v>913</v>
      </c>
      <c r="E48" s="242" t="s">
        <v>12750</v>
      </c>
      <c r="F48" s="242" t="s">
        <v>12668</v>
      </c>
      <c r="G48" s="242" t="s">
        <v>12619</v>
      </c>
      <c r="H48" s="242">
        <v>244</v>
      </c>
      <c r="I48" s="605" t="str">
        <f>HYPERLINK("https://maps.google.com/?q=Quinta%20de%20Santana%20Gradil","🛖 Quinta de Santana")</f>
        <v>🛖 Quinta de Santana</v>
      </c>
      <c r="J48" s="305" t="s">
        <v>12751</v>
      </c>
    </row>
    <row r="49" spans="1:10" ht="110" customHeight="1" x14ac:dyDescent="0.35">
      <c r="A49" s="338">
        <v>45</v>
      </c>
      <c r="B49" s="239" t="s">
        <v>12752</v>
      </c>
      <c r="C49" s="240" t="s">
        <v>12622</v>
      </c>
      <c r="D49" s="239" t="s">
        <v>913</v>
      </c>
      <c r="E49" s="239" t="s">
        <v>12740</v>
      </c>
      <c r="F49" s="239" t="s">
        <v>12722</v>
      </c>
      <c r="G49" s="239" t="s">
        <v>12624</v>
      </c>
      <c r="H49" s="239">
        <v>170</v>
      </c>
      <c r="I49" s="604" t="str">
        <f>HYPERLINK("https://maps.google.com/?q=Quinta%20do%20Miguel%20Aldeia%20do%20Meco","🛖 Quinta do Miguel")</f>
        <v>🛖 Quinta do Miguel</v>
      </c>
      <c r="J49" s="304" t="s">
        <v>12753</v>
      </c>
    </row>
    <row r="50" spans="1:10" ht="110" customHeight="1" x14ac:dyDescent="0.35">
      <c r="A50" s="336">
        <v>46</v>
      </c>
      <c r="B50" s="242" t="s">
        <v>12754</v>
      </c>
      <c r="C50" s="243" t="s">
        <v>12614</v>
      </c>
      <c r="D50" s="242" t="s">
        <v>913</v>
      </c>
      <c r="E50" s="242" t="s">
        <v>2567</v>
      </c>
      <c r="F50" s="242" t="s">
        <v>12596</v>
      </c>
      <c r="G50" s="242" t="s">
        <v>12741</v>
      </c>
      <c r="H50" s="242">
        <v>65</v>
      </c>
      <c r="I50" s="605" t="str">
        <f>HYPERLINK("https://maps.google.com/?q=Quinta%20Verde%20Sintra%20Sintra","🛖 Quinta Verde Sintra")</f>
        <v>🛖 Quinta Verde Sintra</v>
      </c>
      <c r="J50" s="305" t="s">
        <v>12755</v>
      </c>
    </row>
    <row r="51" spans="1:10" ht="110" customHeight="1" x14ac:dyDescent="0.35">
      <c r="A51" s="338">
        <v>47</v>
      </c>
      <c r="B51" s="239" t="s">
        <v>12756</v>
      </c>
      <c r="C51" s="240" t="s">
        <v>12614</v>
      </c>
      <c r="D51" s="239" t="s">
        <v>913</v>
      </c>
      <c r="E51" s="239" t="s">
        <v>2567</v>
      </c>
      <c r="F51" s="239" t="s">
        <v>1440</v>
      </c>
      <c r="G51" s="239" t="s">
        <v>12679</v>
      </c>
      <c r="H51" s="239">
        <v>81</v>
      </c>
      <c r="I51" s="604" t="str">
        <f>HYPERLINK("https://maps.google.com/?q=Chalet%20Saudade%20-%20Vintage%20GuestHouse%20Sintra","🛖 Chalet Saudade - Vintage Gue")</f>
        <v>🛖 Chalet Saudade - Vintage Gue</v>
      </c>
      <c r="J51" s="304" t="s">
        <v>12757</v>
      </c>
    </row>
    <row r="52" spans="1:10" ht="110" customHeight="1" x14ac:dyDescent="0.35">
      <c r="A52" s="336">
        <v>48</v>
      </c>
      <c r="B52" s="242" t="s">
        <v>12758</v>
      </c>
      <c r="C52" s="243" t="s">
        <v>12759</v>
      </c>
      <c r="D52" s="242" t="s">
        <v>913</v>
      </c>
      <c r="E52" s="242" t="s">
        <v>2567</v>
      </c>
      <c r="F52" s="242" t="s">
        <v>12596</v>
      </c>
      <c r="G52" s="242" t="s">
        <v>12702</v>
      </c>
      <c r="H52" s="242">
        <v>192</v>
      </c>
      <c r="I52" s="605" t="str">
        <f>HYPERLINK("https://maps.google.com/?q=Quinta%20Velha%20Sintra","🛖 Quinta Velha")</f>
        <v>🛖 Quinta Velha</v>
      </c>
      <c r="J52" s="305" t="s">
        <v>12760</v>
      </c>
    </row>
    <row r="53" spans="1:10" ht="110" customHeight="1" x14ac:dyDescent="0.35">
      <c r="A53" s="338">
        <v>49</v>
      </c>
      <c r="B53" s="239" t="s">
        <v>12761</v>
      </c>
      <c r="C53" s="240" t="s">
        <v>12644</v>
      </c>
      <c r="D53" s="239" t="s">
        <v>853</v>
      </c>
      <c r="E53" s="239" t="s">
        <v>7808</v>
      </c>
      <c r="F53" s="239" t="s">
        <v>12596</v>
      </c>
      <c r="G53" s="239" t="s">
        <v>12762</v>
      </c>
      <c r="H53" s="239">
        <v>500</v>
      </c>
      <c r="I53" s="604" t="str">
        <f>HYPERLINK("https://maps.google.com/?q=A%20Casa%20de%20Estremoz%20Estremoz","🛖 A Casa de Estremoz")</f>
        <v>🛖 A Casa de Estremoz</v>
      </c>
      <c r="J53" s="304" t="s">
        <v>12763</v>
      </c>
    </row>
    <row r="54" spans="1:10" ht="110" customHeight="1" x14ac:dyDescent="0.35">
      <c r="A54" s="336">
        <v>50</v>
      </c>
      <c r="B54" s="242" t="s">
        <v>12764</v>
      </c>
      <c r="C54" s="243" t="s">
        <v>12644</v>
      </c>
      <c r="D54" s="242" t="s">
        <v>853</v>
      </c>
      <c r="E54" s="242" t="s">
        <v>9947</v>
      </c>
      <c r="F54" s="242" t="s">
        <v>12722</v>
      </c>
      <c r="G54" s="242" t="s">
        <v>12641</v>
      </c>
      <c r="H54" s="242">
        <v>370</v>
      </c>
      <c r="I54" s="605" t="str">
        <f>HYPERLINK("https://maps.google.com/?q=Acima%20Melides","🛖 Acima")</f>
        <v>🛖 Acima</v>
      </c>
      <c r="J54" s="305" t="s">
        <v>12765</v>
      </c>
    </row>
    <row r="55" spans="1:10" ht="110" customHeight="1" x14ac:dyDescent="0.35">
      <c r="A55" s="338">
        <v>51</v>
      </c>
      <c r="B55" s="239" t="s">
        <v>12766</v>
      </c>
      <c r="C55" s="240" t="s">
        <v>12644</v>
      </c>
      <c r="D55" s="239" t="s">
        <v>853</v>
      </c>
      <c r="E55" s="239" t="s">
        <v>9947</v>
      </c>
      <c r="F55" s="239" t="s">
        <v>12722</v>
      </c>
      <c r="G55" s="239" t="s">
        <v>12767</v>
      </c>
      <c r="H55" s="239">
        <v>500</v>
      </c>
      <c r="I55" s="604" t="str">
        <f>HYPERLINK("https://maps.google.com/?q=Blue%20House%20Melides","🛖 Blue House")</f>
        <v>🛖 Blue House</v>
      </c>
      <c r="J55" s="304" t="s">
        <v>12768</v>
      </c>
    </row>
    <row r="56" spans="1:10" ht="110" customHeight="1" x14ac:dyDescent="0.35">
      <c r="A56" s="336">
        <v>52</v>
      </c>
      <c r="B56" s="242" t="s">
        <v>12769</v>
      </c>
      <c r="C56" s="243" t="s">
        <v>12644</v>
      </c>
      <c r="D56" s="242" t="s">
        <v>853</v>
      </c>
      <c r="E56" s="242" t="s">
        <v>9947</v>
      </c>
      <c r="F56" s="242" t="s">
        <v>12722</v>
      </c>
      <c r="G56" s="242" t="s">
        <v>12641</v>
      </c>
      <c r="H56" s="242">
        <v>180</v>
      </c>
      <c r="I56" s="605" t="str">
        <f>HYPERLINK("https://maps.google.com/?q=BomBom%20Melides","🛖 BomBom")</f>
        <v>🛖 BomBom</v>
      </c>
      <c r="J56" s="305" t="s">
        <v>12770</v>
      </c>
    </row>
    <row r="57" spans="1:10" ht="110" customHeight="1" x14ac:dyDescent="0.35">
      <c r="A57" s="338">
        <v>53</v>
      </c>
      <c r="B57" s="239" t="s">
        <v>12771</v>
      </c>
      <c r="C57" s="240" t="s">
        <v>12644</v>
      </c>
      <c r="D57" s="239" t="s">
        <v>853</v>
      </c>
      <c r="E57" s="239" t="s">
        <v>9947</v>
      </c>
      <c r="F57" s="239" t="s">
        <v>12596</v>
      </c>
      <c r="G57" s="239" t="s">
        <v>12641</v>
      </c>
      <c r="H57" s="239">
        <v>475</v>
      </c>
      <c r="I57" s="604" t="str">
        <f>HYPERLINK("https://maps.google.com/?q=C%C3%A1%20na%20Serra%20Melides","🛖 Cá na Serra")</f>
        <v>🛖 Cá na Serra</v>
      </c>
      <c r="J57" s="304" t="s">
        <v>12772</v>
      </c>
    </row>
    <row r="58" spans="1:10" ht="110" customHeight="1" x14ac:dyDescent="0.35">
      <c r="A58" s="336">
        <v>54</v>
      </c>
      <c r="B58" s="242" t="s">
        <v>12773</v>
      </c>
      <c r="C58" s="243" t="s">
        <v>12690</v>
      </c>
      <c r="D58" s="242" t="s">
        <v>853</v>
      </c>
      <c r="E58" s="242" t="s">
        <v>9947</v>
      </c>
      <c r="F58" s="242" t="s">
        <v>12596</v>
      </c>
      <c r="G58" s="242" t="s">
        <v>12762</v>
      </c>
      <c r="H58" s="242">
        <v>2200</v>
      </c>
      <c r="I58" s="605" t="str">
        <f>HYPERLINK("https://maps.google.com/?q=Casa%204%20Serras%20Melides","🛖 Casa 4 Serras")</f>
        <v>🛖 Casa 4 Serras</v>
      </c>
      <c r="J58" s="305" t="s">
        <v>12774</v>
      </c>
    </row>
    <row r="59" spans="1:10" ht="110" customHeight="1" x14ac:dyDescent="0.35">
      <c r="A59" s="338">
        <v>55</v>
      </c>
      <c r="B59" s="239" t="s">
        <v>12775</v>
      </c>
      <c r="C59" s="240" t="s">
        <v>12776</v>
      </c>
      <c r="D59" s="239" t="s">
        <v>853</v>
      </c>
      <c r="E59" s="239" t="s">
        <v>5516</v>
      </c>
      <c r="F59" s="239" t="s">
        <v>1440</v>
      </c>
      <c r="G59" s="239" t="s">
        <v>12777</v>
      </c>
      <c r="H59" s="239">
        <v>120</v>
      </c>
      <c r="I59" s="604" t="str">
        <f>HYPERLINK("https://maps.google.com/?q=Casa%20Azul%20do%20Olival%20Alc%C3%A1cer%20do%20Sal","🛖 Casa Azul do Olival")</f>
        <v>🛖 Casa Azul do Olival</v>
      </c>
      <c r="J59" s="304" t="s">
        <v>12778</v>
      </c>
    </row>
    <row r="60" spans="1:10" ht="110" customHeight="1" x14ac:dyDescent="0.35">
      <c r="A60" s="336">
        <v>56</v>
      </c>
      <c r="B60" s="242" t="s">
        <v>12779</v>
      </c>
      <c r="C60" s="243" t="s">
        <v>12627</v>
      </c>
      <c r="D60" s="242" t="s">
        <v>853</v>
      </c>
      <c r="E60" s="242" t="s">
        <v>7792</v>
      </c>
      <c r="F60" s="242" t="s">
        <v>12596</v>
      </c>
      <c r="G60" s="242" t="s">
        <v>12679</v>
      </c>
      <c r="H60" s="242">
        <v>100</v>
      </c>
      <c r="I60" s="605" t="str">
        <f>HYPERLINK("https://maps.google.com/?q=Casa%20da%20Ermida%20da%20Santa%20Catarina%20Elvas","🛖 Casa da Ermida da Santa Cata")</f>
        <v>🛖 Casa da Ermida da Santa Cata</v>
      </c>
      <c r="J60" s="305" t="s">
        <v>12780</v>
      </c>
    </row>
    <row r="61" spans="1:10" ht="110" customHeight="1" x14ac:dyDescent="0.35">
      <c r="A61" s="338">
        <v>57</v>
      </c>
      <c r="B61" s="239" t="s">
        <v>12781</v>
      </c>
      <c r="C61" s="240" t="s">
        <v>12618</v>
      </c>
      <c r="D61" s="239" t="s">
        <v>853</v>
      </c>
      <c r="E61" s="239" t="s">
        <v>959</v>
      </c>
      <c r="F61" s="239" t="s">
        <v>12596</v>
      </c>
      <c r="G61" s="239" t="s">
        <v>12619</v>
      </c>
      <c r="H61" s="239">
        <v>160</v>
      </c>
      <c r="I61" s="604" t="str">
        <f>HYPERLINK("https://maps.google.com/?q=Casa%20do%20Regadio%20Zambujeira%20do%20Mar","🛖 Casa do Regadio")</f>
        <v>🛖 Casa do Regadio</v>
      </c>
      <c r="J61" s="304" t="s">
        <v>12782</v>
      </c>
    </row>
    <row r="62" spans="1:10" ht="110" customHeight="1" x14ac:dyDescent="0.35">
      <c r="A62" s="336">
        <v>58</v>
      </c>
      <c r="B62" s="242" t="s">
        <v>12783</v>
      </c>
      <c r="C62" s="243" t="s">
        <v>12644</v>
      </c>
      <c r="D62" s="242" t="s">
        <v>853</v>
      </c>
      <c r="E62" s="242" t="s">
        <v>11341</v>
      </c>
      <c r="F62" s="242" t="s">
        <v>12722</v>
      </c>
      <c r="G62" s="242" t="s">
        <v>12641</v>
      </c>
      <c r="H62" s="242">
        <v>674</v>
      </c>
      <c r="I62" s="605" t="str">
        <f>HYPERLINK("https://maps.google.com/?q=Casa%20Nativa%20Comporta","🛖 Casa Nativa")</f>
        <v>🛖 Casa Nativa</v>
      </c>
      <c r="J62" s="305" t="s">
        <v>12784</v>
      </c>
    </row>
    <row r="63" spans="1:10" ht="110" customHeight="1" x14ac:dyDescent="0.35">
      <c r="A63" s="338">
        <v>59</v>
      </c>
      <c r="B63" s="239" t="s">
        <v>12785</v>
      </c>
      <c r="C63" s="240" t="s">
        <v>12786</v>
      </c>
      <c r="D63" s="239" t="s">
        <v>853</v>
      </c>
      <c r="E63" s="239" t="s">
        <v>9947</v>
      </c>
      <c r="F63" s="239" t="s">
        <v>12596</v>
      </c>
      <c r="G63" s="239" t="s">
        <v>12787</v>
      </c>
      <c r="H63" s="239">
        <v>290</v>
      </c>
      <c r="I63" s="604" t="str">
        <f>HYPERLINK("https://maps.google.com/?q=Casa%20Serra%20II%20Melides","🛖 Casa Serra II")</f>
        <v>🛖 Casa Serra II</v>
      </c>
      <c r="J63" s="304" t="s">
        <v>12788</v>
      </c>
    </row>
    <row r="64" spans="1:10" ht="110" customHeight="1" x14ac:dyDescent="0.35">
      <c r="A64" s="336">
        <v>60</v>
      </c>
      <c r="B64" s="242" t="s">
        <v>12789</v>
      </c>
      <c r="C64" s="243" t="s">
        <v>12644</v>
      </c>
      <c r="D64" s="242" t="s">
        <v>853</v>
      </c>
      <c r="E64" s="242" t="s">
        <v>5516</v>
      </c>
      <c r="F64" s="242" t="s">
        <v>12596</v>
      </c>
      <c r="G64" s="242" t="s">
        <v>12790</v>
      </c>
      <c r="H64" s="242">
        <v>1000</v>
      </c>
      <c r="I64" s="605" t="str">
        <f>HYPERLINK("https://maps.google.com/?q=Casas%20do%20Sal%20Alc%C3%A1cer%20do%20Sal","🛖 Casas do Sal")</f>
        <v>🛖 Casas do Sal</v>
      </c>
      <c r="J64" s="305" t="s">
        <v>12791</v>
      </c>
    </row>
    <row r="65" spans="1:10" ht="110" customHeight="1" x14ac:dyDescent="0.35">
      <c r="A65" s="338">
        <v>61</v>
      </c>
      <c r="B65" s="239" t="s">
        <v>12792</v>
      </c>
      <c r="C65" s="240" t="s">
        <v>12595</v>
      </c>
      <c r="D65" s="239" t="s">
        <v>853</v>
      </c>
      <c r="E65" s="239" t="s">
        <v>12793</v>
      </c>
      <c r="F65" s="239" t="s">
        <v>12596</v>
      </c>
      <c r="G65" s="239" t="s">
        <v>12608</v>
      </c>
      <c r="H65" s="239">
        <v>110</v>
      </c>
      <c r="I65" s="604" t="str">
        <f>HYPERLINK("https://maps.google.com/?q=Cerro%20da%20Fontinha%20S%C3%A3o%20Teot%C3%B3nio","🛖 Cerro da Fontinha")</f>
        <v>🛖 Cerro da Fontinha</v>
      </c>
      <c r="J65" s="304" t="s">
        <v>12794</v>
      </c>
    </row>
    <row r="66" spans="1:10" ht="110" customHeight="1" x14ac:dyDescent="0.35">
      <c r="A66" s="336">
        <v>62</v>
      </c>
      <c r="B66" s="242" t="s">
        <v>12795</v>
      </c>
      <c r="C66" s="243" t="s">
        <v>12759</v>
      </c>
      <c r="D66" s="242" t="s">
        <v>853</v>
      </c>
      <c r="E66" s="242" t="s">
        <v>12796</v>
      </c>
      <c r="F66" s="242" t="s">
        <v>12596</v>
      </c>
      <c r="G66" s="242" t="s">
        <v>12629</v>
      </c>
      <c r="H66" s="242">
        <v>264</v>
      </c>
      <c r="I66" s="605" t="str">
        <f>HYPERLINK("https://maps.google.com/?q=Cucumbi%20Santa%20Susana","🛖 Cucumbi")</f>
        <v>🛖 Cucumbi</v>
      </c>
      <c r="J66" s="305" t="s">
        <v>12797</v>
      </c>
    </row>
    <row r="67" spans="1:10" ht="110" customHeight="1" x14ac:dyDescent="0.35">
      <c r="A67" s="338">
        <v>63</v>
      </c>
      <c r="B67" s="239" t="s">
        <v>12798</v>
      </c>
      <c r="C67" s="240" t="s">
        <v>12644</v>
      </c>
      <c r="D67" s="239" t="s">
        <v>853</v>
      </c>
      <c r="E67" s="239" t="s">
        <v>2143</v>
      </c>
      <c r="F67" s="239" t="s">
        <v>12596</v>
      </c>
      <c r="G67" s="239" t="s">
        <v>12641</v>
      </c>
      <c r="H67" s="239">
        <v>275</v>
      </c>
      <c r="I67" s="604" t="str">
        <f>HYPERLINK("https://maps.google.com/?q=Espa%C3%A7o%20Fataca%20Odemira","🛖 Espaço Fataca")</f>
        <v>🛖 Espaço Fataca</v>
      </c>
      <c r="J67" s="304" t="s">
        <v>12799</v>
      </c>
    </row>
    <row r="68" spans="1:10" ht="110" customHeight="1" x14ac:dyDescent="0.35">
      <c r="A68" s="336">
        <v>64</v>
      </c>
      <c r="B68" s="242" t="s">
        <v>9732</v>
      </c>
      <c r="C68" s="243" t="s">
        <v>12622</v>
      </c>
      <c r="D68" s="242" t="s">
        <v>853</v>
      </c>
      <c r="E68" s="242" t="s">
        <v>12800</v>
      </c>
      <c r="F68" s="242" t="s">
        <v>12596</v>
      </c>
      <c r="G68" s="242" t="s">
        <v>12636</v>
      </c>
      <c r="H68" s="242">
        <v>360</v>
      </c>
      <c r="I68" s="605" t="str">
        <f>HYPERLINK("https://maps.google.com/?q=Herdade%20da%20Malhadinha%20Nova%20Albernoa","🛖 Herdade da Malhadinha Nova")</f>
        <v>🛖 Herdade da Malhadinha Nova</v>
      </c>
      <c r="J68" s="305" t="s">
        <v>12801</v>
      </c>
    </row>
    <row r="69" spans="1:10" ht="110" customHeight="1" x14ac:dyDescent="0.35">
      <c r="A69" s="338">
        <v>65</v>
      </c>
      <c r="B69" s="239" t="s">
        <v>12802</v>
      </c>
      <c r="C69" s="240" t="s">
        <v>12627</v>
      </c>
      <c r="D69" s="239" t="s">
        <v>853</v>
      </c>
      <c r="E69" s="239" t="s">
        <v>6416</v>
      </c>
      <c r="F69" s="239" t="s">
        <v>12596</v>
      </c>
      <c r="G69" s="239" t="s">
        <v>12803</v>
      </c>
      <c r="H69" s="239">
        <v>123</v>
      </c>
      <c r="I69" s="604" t="str">
        <f>HYPERLINK("https://maps.google.com/?q=Herdade%20da%20Matinha%20Cercal%20do%20Alentejo","🛖 Herdade da Matinha")</f>
        <v>🛖 Herdade da Matinha</v>
      </c>
      <c r="J69" s="304" t="s">
        <v>12804</v>
      </c>
    </row>
    <row r="70" spans="1:10" ht="110" customHeight="1" x14ac:dyDescent="0.35">
      <c r="A70" s="336">
        <v>66</v>
      </c>
      <c r="B70" s="242" t="s">
        <v>12805</v>
      </c>
      <c r="C70" s="243" t="s">
        <v>12627</v>
      </c>
      <c r="D70" s="242" t="s">
        <v>853</v>
      </c>
      <c r="E70" s="242" t="s">
        <v>6161</v>
      </c>
      <c r="F70" s="242" t="s">
        <v>12596</v>
      </c>
      <c r="G70" s="242" t="s">
        <v>12705</v>
      </c>
      <c r="H70" s="242">
        <v>110</v>
      </c>
      <c r="I70" s="605" t="str">
        <f>HYPERLINK("https://maps.google.com/?q=Herdade%20das%20Barradas%20da%20Serra%20Gr%C3%A2ndola","🛖 Herdade das Barradas da Serr")</f>
        <v>🛖 Herdade das Barradas da Serr</v>
      </c>
      <c r="J70" s="305" t="s">
        <v>12806</v>
      </c>
    </row>
    <row r="71" spans="1:10" ht="110" customHeight="1" x14ac:dyDescent="0.35">
      <c r="A71" s="338">
        <v>67</v>
      </c>
      <c r="B71" s="239" t="s">
        <v>12807</v>
      </c>
      <c r="C71" s="240" t="s">
        <v>12614</v>
      </c>
      <c r="D71" s="239" t="s">
        <v>853</v>
      </c>
      <c r="E71" s="239" t="s">
        <v>6416</v>
      </c>
      <c r="F71" s="239" t="s">
        <v>12722</v>
      </c>
      <c r="G71" s="239" t="s">
        <v>12615</v>
      </c>
      <c r="H71" s="239">
        <v>130</v>
      </c>
      <c r="I71" s="604" t="str">
        <f>HYPERLINK("https://maps.google.com/?q=Herdade%20do%20Reguenguinho%20Cercal%20do%20Alentejo","🛖 Herdade do Reguenguinho")</f>
        <v>🛖 Herdade do Reguenguinho</v>
      </c>
      <c r="J71" s="304" t="s">
        <v>12808</v>
      </c>
    </row>
    <row r="72" spans="1:10" ht="110" customHeight="1" x14ac:dyDescent="0.35">
      <c r="A72" s="336">
        <v>68</v>
      </c>
      <c r="B72" s="242" t="s">
        <v>12809</v>
      </c>
      <c r="C72" s="243" t="s">
        <v>12622</v>
      </c>
      <c r="D72" s="242" t="s">
        <v>853</v>
      </c>
      <c r="E72" s="242" t="s">
        <v>959</v>
      </c>
      <c r="F72" s="242" t="s">
        <v>12722</v>
      </c>
      <c r="G72" s="242" t="s">
        <v>12705</v>
      </c>
      <c r="H72" s="242">
        <v>136</v>
      </c>
      <c r="I72" s="605" t="str">
        <f>HYPERLINK("https://maps.google.com/?q=Herdade%20do%20Touril%20Zambujeira%20do%20Mar","🛖 Herdade do Touril")</f>
        <v>🛖 Herdade do Touril</v>
      </c>
      <c r="J72" s="305" t="s">
        <v>12810</v>
      </c>
    </row>
    <row r="73" spans="1:10" ht="110" customHeight="1" x14ac:dyDescent="0.35">
      <c r="A73" s="338">
        <v>69</v>
      </c>
      <c r="B73" s="239" t="s">
        <v>12811</v>
      </c>
      <c r="C73" s="240" t="s">
        <v>12622</v>
      </c>
      <c r="D73" s="239" t="s">
        <v>853</v>
      </c>
      <c r="E73" s="239" t="s">
        <v>12812</v>
      </c>
      <c r="F73" s="239" t="s">
        <v>12596</v>
      </c>
      <c r="G73" s="239" t="s">
        <v>12725</v>
      </c>
      <c r="H73" s="239">
        <v>110</v>
      </c>
      <c r="I73" s="604" t="str">
        <f>HYPERLINK("https://maps.google.com/?q=Herdade%20Ribeira%20de%20Borba%20Vila%20Vi%C3%A7osa","🛖 Herdade Ribeira de Borba")</f>
        <v>🛖 Herdade Ribeira de Borba</v>
      </c>
      <c r="J73" s="304" t="s">
        <v>12813</v>
      </c>
    </row>
    <row r="74" spans="1:10" ht="110" customHeight="1" x14ac:dyDescent="0.35">
      <c r="A74" s="336">
        <v>70</v>
      </c>
      <c r="B74" s="242" t="s">
        <v>12814</v>
      </c>
      <c r="C74" s="243" t="s">
        <v>12644</v>
      </c>
      <c r="D74" s="242" t="s">
        <v>853</v>
      </c>
      <c r="E74" s="242" t="s">
        <v>7808</v>
      </c>
      <c r="F74" s="242" t="s">
        <v>12596</v>
      </c>
      <c r="G74" s="242" t="s">
        <v>12641</v>
      </c>
      <c r="H74" s="242">
        <v>280</v>
      </c>
      <c r="I74" s="605" t="str">
        <f>HYPERLINK("https://maps.google.com/?q=Horta%20Redonda%20Estremoz","🛖 Horta Redonda")</f>
        <v>🛖 Horta Redonda</v>
      </c>
      <c r="J74" s="305" t="s">
        <v>12815</v>
      </c>
    </row>
    <row r="75" spans="1:10" ht="110" customHeight="1" x14ac:dyDescent="0.35">
      <c r="A75" s="338">
        <v>71</v>
      </c>
      <c r="B75" s="239" t="s">
        <v>12816</v>
      </c>
      <c r="C75" s="240" t="s">
        <v>12817</v>
      </c>
      <c r="D75" s="239" t="s">
        <v>853</v>
      </c>
      <c r="E75" s="239" t="s">
        <v>7090</v>
      </c>
      <c r="F75" s="239" t="s">
        <v>12596</v>
      </c>
      <c r="G75" s="239" t="s">
        <v>12818</v>
      </c>
      <c r="H75" s="239">
        <v>110</v>
      </c>
      <c r="I75" s="604" t="str">
        <f>HYPERLINK("https://maps.google.com/?q=Hotel%20Convento%20de%20S%C3%A3o%20Paulo%20Redondo","🛖 Hotel Convento de São Paulo")</f>
        <v>🛖 Hotel Convento de São Paulo</v>
      </c>
      <c r="J75" s="304" t="s">
        <v>12819</v>
      </c>
    </row>
    <row r="76" spans="1:10" ht="110" customHeight="1" x14ac:dyDescent="0.35">
      <c r="A76" s="336">
        <v>72</v>
      </c>
      <c r="B76" s="242" t="s">
        <v>12820</v>
      </c>
      <c r="C76" s="243" t="s">
        <v>12821</v>
      </c>
      <c r="D76" s="242" t="s">
        <v>853</v>
      </c>
      <c r="E76" s="242" t="s">
        <v>1412</v>
      </c>
      <c r="F76" s="242" t="s">
        <v>12668</v>
      </c>
      <c r="G76" s="242" t="s">
        <v>12679</v>
      </c>
      <c r="H76" s="242">
        <v>145</v>
      </c>
      <c r="I76" s="605" t="str">
        <f>HYPERLINK("https://maps.google.com/?q=Imani%20Country%20House%20%C3%89vora","🛖 Imani Country House")</f>
        <v>🛖 Imani Country House</v>
      </c>
      <c r="J76" s="305" t="s">
        <v>12822</v>
      </c>
    </row>
    <row r="77" spans="1:10" ht="110" customHeight="1" x14ac:dyDescent="0.35">
      <c r="A77" s="338">
        <v>73</v>
      </c>
      <c r="B77" s="239" t="s">
        <v>12823</v>
      </c>
      <c r="C77" s="240" t="s">
        <v>12644</v>
      </c>
      <c r="D77" s="239" t="s">
        <v>853</v>
      </c>
      <c r="E77" s="239" t="s">
        <v>12824</v>
      </c>
      <c r="F77" s="239" t="s">
        <v>12596</v>
      </c>
      <c r="G77" s="239" t="s">
        <v>12767</v>
      </c>
      <c r="H77" s="239" t="s">
        <v>3096</v>
      </c>
      <c r="I77" s="604" t="str">
        <f>HYPERLINK("https://maps.google.com/?q=Monte%20Azaruja%20%C3%89voramonte","🛖 Monte Azaruja")</f>
        <v>🛖 Monte Azaruja</v>
      </c>
      <c r="J77" s="304" t="s">
        <v>12825</v>
      </c>
    </row>
    <row r="78" spans="1:10" ht="110" customHeight="1" x14ac:dyDescent="0.35">
      <c r="A78" s="336">
        <v>74</v>
      </c>
      <c r="B78" s="242" t="s">
        <v>12826</v>
      </c>
      <c r="C78" s="243" t="s">
        <v>12827</v>
      </c>
      <c r="D78" s="242" t="s">
        <v>853</v>
      </c>
      <c r="E78" s="242" t="s">
        <v>12828</v>
      </c>
      <c r="F78" s="242" t="s">
        <v>12596</v>
      </c>
      <c r="G78" s="242" t="s">
        <v>12829</v>
      </c>
      <c r="H78" s="242">
        <v>285</v>
      </c>
      <c r="I78" s="605" t="str">
        <f>HYPERLINK("https://maps.google.com/?q=Monte%20da%20bela%20Raposa%20Pavia","🛖 Monte da bela Raposa")</f>
        <v>🛖 Monte da bela Raposa</v>
      </c>
      <c r="J78" s="305" t="s">
        <v>12830</v>
      </c>
    </row>
    <row r="79" spans="1:10" ht="110" customHeight="1" x14ac:dyDescent="0.35">
      <c r="A79" s="338">
        <v>75</v>
      </c>
      <c r="B79" s="239" t="s">
        <v>12831</v>
      </c>
      <c r="C79" s="240" t="s">
        <v>12644</v>
      </c>
      <c r="D79" s="239" t="s">
        <v>853</v>
      </c>
      <c r="E79" s="239" t="s">
        <v>6161</v>
      </c>
      <c r="F79" s="239" t="s">
        <v>12596</v>
      </c>
      <c r="G79" s="239" t="s">
        <v>12762</v>
      </c>
      <c r="H79" s="239">
        <v>750</v>
      </c>
      <c r="I79" s="604" t="str">
        <f>HYPERLINK("https://maps.google.com/?q=Monte%20da%20Casa%20do%20Jo%C3%A3o%20Gr%C3%A2ndola","🛖 Monte da Casa do João")</f>
        <v>🛖 Monte da Casa do João</v>
      </c>
      <c r="J79" s="304" t="s">
        <v>12832</v>
      </c>
    </row>
    <row r="80" spans="1:10" ht="110" customHeight="1" x14ac:dyDescent="0.35">
      <c r="A80" s="336">
        <v>76</v>
      </c>
      <c r="B80" s="242" t="s">
        <v>12833</v>
      </c>
      <c r="C80" s="243" t="s">
        <v>12759</v>
      </c>
      <c r="D80" s="242" t="s">
        <v>853</v>
      </c>
      <c r="E80" s="242" t="s">
        <v>6161</v>
      </c>
      <c r="F80" s="242" t="s">
        <v>12596</v>
      </c>
      <c r="G80" s="242" t="s">
        <v>12619</v>
      </c>
      <c r="H80" s="242">
        <v>180</v>
      </c>
      <c r="I80" s="605" t="str">
        <f>HYPERLINK("https://maps.google.com/?q=Monte%20das%20Casolas%20Gr%C3%A2ndola","🛖 Monte das Casolas")</f>
        <v>🛖 Monte das Casolas</v>
      </c>
      <c r="J80" s="305" t="s">
        <v>12834</v>
      </c>
    </row>
    <row r="81" spans="1:10" ht="110" customHeight="1" x14ac:dyDescent="0.35">
      <c r="A81" s="338">
        <v>77</v>
      </c>
      <c r="B81" s="239" t="s">
        <v>12835</v>
      </c>
      <c r="C81" s="240" t="s">
        <v>12622</v>
      </c>
      <c r="D81" s="239" t="s">
        <v>853</v>
      </c>
      <c r="E81" s="239" t="s">
        <v>12836</v>
      </c>
      <c r="F81" s="239" t="s">
        <v>12596</v>
      </c>
      <c r="G81" s="239" t="s">
        <v>12741</v>
      </c>
      <c r="H81" s="239">
        <v>100</v>
      </c>
      <c r="I81" s="604" t="str">
        <f>HYPERLINK("https://maps.google.com/?q=Monte%20do%20Cardal%20Odeceixe","🛖 Monte do Cardal")</f>
        <v>🛖 Monte do Cardal</v>
      </c>
      <c r="J81" s="304" t="s">
        <v>12837</v>
      </c>
    </row>
    <row r="82" spans="1:10" ht="110" customHeight="1" x14ac:dyDescent="0.35">
      <c r="A82" s="336">
        <v>78</v>
      </c>
      <c r="B82" s="242" t="s">
        <v>12838</v>
      </c>
      <c r="C82" s="243" t="s">
        <v>12644</v>
      </c>
      <c r="D82" s="242" t="s">
        <v>853</v>
      </c>
      <c r="E82" s="242" t="s">
        <v>7458</v>
      </c>
      <c r="F82" s="242" t="s">
        <v>12596</v>
      </c>
      <c r="G82" s="242" t="s">
        <v>12762</v>
      </c>
      <c r="H82" s="242">
        <v>350</v>
      </c>
      <c r="I82" s="605" t="str">
        <f>HYPERLINK("https://maps.google.com/?q=Monte%20do%20Corti%C3%A7o%20Santana%20do%20Campo%20Arraiolos","🛖 Monte do Cortiço Santana do ")</f>
        <v xml:space="preserve">🛖 Monte do Cortiço Santana do </v>
      </c>
      <c r="J82" s="305" t="s">
        <v>12839</v>
      </c>
    </row>
    <row r="83" spans="1:10" ht="110" customHeight="1" x14ac:dyDescent="0.35">
      <c r="A83" s="338">
        <v>79</v>
      </c>
      <c r="B83" s="239" t="s">
        <v>12840</v>
      </c>
      <c r="C83" s="240" t="s">
        <v>12618</v>
      </c>
      <c r="D83" s="239" t="s">
        <v>853</v>
      </c>
      <c r="E83" s="239" t="s">
        <v>5516</v>
      </c>
      <c r="F83" s="239" t="s">
        <v>12596</v>
      </c>
      <c r="G83" s="239" t="s">
        <v>12683</v>
      </c>
      <c r="H83" s="239">
        <v>150</v>
      </c>
      <c r="I83" s="604" t="str">
        <f>HYPERLINK("https://maps.google.com/?q=Monte%20do%20Olival%20Alc%C3%A1cer%20do%20Sal","🛖 Monte do Olival")</f>
        <v>🛖 Monte do Olival</v>
      </c>
      <c r="J83" s="304" t="s">
        <v>12841</v>
      </c>
    </row>
    <row r="84" spans="1:10" ht="110" customHeight="1" x14ac:dyDescent="0.35">
      <c r="A84" s="336">
        <v>80</v>
      </c>
      <c r="B84" s="242" t="s">
        <v>12842</v>
      </c>
      <c r="C84" s="243" t="s">
        <v>12827</v>
      </c>
      <c r="D84" s="242" t="s">
        <v>853</v>
      </c>
      <c r="E84" s="242" t="s">
        <v>6102</v>
      </c>
      <c r="F84" s="242" t="s">
        <v>12596</v>
      </c>
      <c r="G84" s="242" t="s">
        <v>12679</v>
      </c>
      <c r="H84" s="242">
        <v>70</v>
      </c>
      <c r="I84" s="605" t="str">
        <f>HYPERLINK("https://maps.google.com/?q=Monte%20Falperras%20Mour%C3%A3o","🛖 Monte Falperras")</f>
        <v>🛖 Monte Falperras</v>
      </c>
      <c r="J84" s="305" t="s">
        <v>12843</v>
      </c>
    </row>
    <row r="85" spans="1:10" ht="110" customHeight="1" x14ac:dyDescent="0.35">
      <c r="A85" s="338">
        <v>81</v>
      </c>
      <c r="B85" s="239" t="s">
        <v>12844</v>
      </c>
      <c r="C85" s="240" t="s">
        <v>12627</v>
      </c>
      <c r="D85" s="239" t="s">
        <v>853</v>
      </c>
      <c r="E85" s="239" t="s">
        <v>7458</v>
      </c>
      <c r="F85" s="239" t="s">
        <v>12596</v>
      </c>
      <c r="G85" s="239" t="s">
        <v>12741</v>
      </c>
      <c r="H85" s="239">
        <v>220</v>
      </c>
      <c r="I85" s="604" t="str">
        <f>HYPERLINK("https://maps.google.com/?q=Monte%20Velho%20Equo-Resort%20Arraiolos","🛖 Monte Velho Equo-Resort")</f>
        <v>🛖 Monte Velho Equo-Resort</v>
      </c>
      <c r="J85" s="304" t="s">
        <v>12845</v>
      </c>
    </row>
    <row r="86" spans="1:10" ht="110" customHeight="1" x14ac:dyDescent="0.35">
      <c r="A86" s="336">
        <v>82</v>
      </c>
      <c r="B86" s="242" t="s">
        <v>12846</v>
      </c>
      <c r="C86" s="243" t="s">
        <v>12622</v>
      </c>
      <c r="D86" s="242" t="s">
        <v>853</v>
      </c>
      <c r="E86" s="242" t="s">
        <v>12847</v>
      </c>
      <c r="F86" s="242" t="s">
        <v>12596</v>
      </c>
      <c r="G86" s="242" t="s">
        <v>12664</v>
      </c>
      <c r="H86" s="242">
        <v>148</v>
      </c>
      <c r="I86" s="605" t="str">
        <f>HYPERLINK("https://maps.google.com/?q=P%C3%A9%20no%20Monte%20S%C3%A3o%20Teot%C3%B3rio","🛖 Pé no Monte")</f>
        <v>🛖 Pé no Monte</v>
      </c>
      <c r="J86" s="305" t="s">
        <v>12848</v>
      </c>
    </row>
    <row r="87" spans="1:10" ht="110" customHeight="1" x14ac:dyDescent="0.35">
      <c r="A87" s="338">
        <v>83</v>
      </c>
      <c r="B87" s="239" t="s">
        <v>12849</v>
      </c>
      <c r="C87" s="240" t="s">
        <v>12618</v>
      </c>
      <c r="D87" s="239" t="s">
        <v>853</v>
      </c>
      <c r="E87" s="239" t="s">
        <v>12847</v>
      </c>
      <c r="F87" s="239" t="s">
        <v>12596</v>
      </c>
      <c r="G87" s="239" t="s">
        <v>12608</v>
      </c>
      <c r="H87" s="239">
        <v>75</v>
      </c>
      <c r="I87" s="604" t="str">
        <f>HYPERLINK("https://maps.google.com/?q=Quinta%20das%20Beldroegas%20-%20Casas%20de%20Campo%20S%C3%A3o%20Teot%C3%B3rio","🛖 Quinta das Beldroegas - Casa")</f>
        <v>🛖 Quinta das Beldroegas - Casa</v>
      </c>
      <c r="J87" s="304" t="s">
        <v>12850</v>
      </c>
    </row>
    <row r="88" spans="1:10" ht="110" customHeight="1" x14ac:dyDescent="0.35">
      <c r="A88" s="336">
        <v>84</v>
      </c>
      <c r="B88" s="242" t="s">
        <v>12851</v>
      </c>
      <c r="C88" s="243" t="s">
        <v>12627</v>
      </c>
      <c r="D88" s="242" t="s">
        <v>853</v>
      </c>
      <c r="E88" s="242" t="s">
        <v>7964</v>
      </c>
      <c r="F88" s="242" t="s">
        <v>12596</v>
      </c>
      <c r="G88" s="242" t="s">
        <v>12615</v>
      </c>
      <c r="H88" s="242">
        <v>89</v>
      </c>
      <c r="I88" s="605" t="str">
        <f>HYPERLINK("https://maps.google.com/?q=Quinta%20Das%20Lavandas%20Castelo%20de%20Vide","🛖 Quinta Das Lavandas")</f>
        <v>🛖 Quinta Das Lavandas</v>
      </c>
      <c r="J88" s="305" t="s">
        <v>12852</v>
      </c>
    </row>
    <row r="89" spans="1:10" ht="110" customHeight="1" x14ac:dyDescent="0.35">
      <c r="A89" s="338">
        <v>85</v>
      </c>
      <c r="B89" s="239" t="s">
        <v>9747</v>
      </c>
      <c r="C89" s="240" t="s">
        <v>12627</v>
      </c>
      <c r="D89" s="239" t="s">
        <v>853</v>
      </c>
      <c r="E89" s="239" t="s">
        <v>12853</v>
      </c>
      <c r="F89" s="239" t="s">
        <v>12854</v>
      </c>
      <c r="G89" s="239" t="s">
        <v>12629</v>
      </c>
      <c r="H89" s="239">
        <v>155</v>
      </c>
      <c r="I89" s="604" t="str">
        <f>HYPERLINK("https://maps.google.com/?q=Quinta%20do%20Barranco%20da%20Estrada%20Santa%20Clara%20a%20Velha","🛖 Quinta do Barranco da Estrad")</f>
        <v>🛖 Quinta do Barranco da Estrad</v>
      </c>
      <c r="J89" s="304" t="s">
        <v>12855</v>
      </c>
    </row>
    <row r="90" spans="1:10" ht="110" customHeight="1" x14ac:dyDescent="0.35">
      <c r="A90" s="336">
        <v>86</v>
      </c>
      <c r="B90" s="242" t="s">
        <v>12856</v>
      </c>
      <c r="C90" s="243" t="s">
        <v>12622</v>
      </c>
      <c r="D90" s="242" t="s">
        <v>853</v>
      </c>
      <c r="E90" s="242" t="s">
        <v>9972</v>
      </c>
      <c r="F90" s="242" t="s">
        <v>12596</v>
      </c>
      <c r="G90" s="242" t="s">
        <v>12857</v>
      </c>
      <c r="H90" s="242">
        <v>336</v>
      </c>
      <c r="I90" s="605" t="str">
        <f>HYPERLINK("https://maps.google.com/?q=S%C3%A3o%20Louren%C3%A7o%20do%20Barrocal%20Monsaraz","🛖 São Lourenço do Barrocal")</f>
        <v>🛖 São Lourenço do Barrocal</v>
      </c>
      <c r="J90" s="305" t="s">
        <v>12858</v>
      </c>
    </row>
    <row r="91" spans="1:10" ht="110" customHeight="1" x14ac:dyDescent="0.35">
      <c r="A91" s="338">
        <v>87</v>
      </c>
      <c r="B91" s="239" t="s">
        <v>12859</v>
      </c>
      <c r="C91" s="240" t="s">
        <v>12622</v>
      </c>
      <c r="D91" s="239" t="s">
        <v>853</v>
      </c>
      <c r="E91" s="239" t="s">
        <v>11341</v>
      </c>
      <c r="F91" s="239" t="s">
        <v>12722</v>
      </c>
      <c r="G91" s="239" t="s">
        <v>12629</v>
      </c>
      <c r="H91" s="239">
        <v>350</v>
      </c>
      <c r="I91" s="604" t="str">
        <f>HYPERLINK("https://maps.google.com/?q=Spatia%20Comporta%20Resort%20Comporta","🛖 Spatia Comporta Resort")</f>
        <v>🛖 Spatia Comporta Resort</v>
      </c>
      <c r="J91" s="304" t="s">
        <v>12860</v>
      </c>
    </row>
    <row r="92" spans="1:10" ht="110" customHeight="1" x14ac:dyDescent="0.35">
      <c r="A92" s="336">
        <v>88</v>
      </c>
      <c r="B92" s="242" t="s">
        <v>12861</v>
      </c>
      <c r="C92" s="243" t="s">
        <v>12644</v>
      </c>
      <c r="D92" s="242" t="s">
        <v>853</v>
      </c>
      <c r="E92" s="242" t="s">
        <v>6161</v>
      </c>
      <c r="F92" s="242" t="s">
        <v>12708</v>
      </c>
      <c r="G92" s="242" t="s">
        <v>12862</v>
      </c>
      <c r="H92" s="242">
        <v>445</v>
      </c>
      <c r="I92" s="605" t="str">
        <f>HYPERLINK("https://maps.google.com/?q=The%20One%20Country%20House%20Gr%C3%A2ndola","🛖 The One Country House")</f>
        <v>🛖 The One Country House</v>
      </c>
      <c r="J92" s="305" t="s">
        <v>12863</v>
      </c>
    </row>
    <row r="93" spans="1:10" ht="110" customHeight="1" x14ac:dyDescent="0.35">
      <c r="A93" s="338">
        <v>89</v>
      </c>
      <c r="B93" s="239" t="s">
        <v>12864</v>
      </c>
      <c r="C93" s="240" t="s">
        <v>12627</v>
      </c>
      <c r="D93" s="239" t="s">
        <v>853</v>
      </c>
      <c r="E93" s="239" t="s">
        <v>9955</v>
      </c>
      <c r="F93" s="239" t="s">
        <v>12596</v>
      </c>
      <c r="G93" s="239" t="s">
        <v>12629</v>
      </c>
      <c r="H93" s="239">
        <v>160</v>
      </c>
      <c r="I93" s="604" t="str">
        <f>HYPERLINK("https://maps.google.com/?q=Tr%C3%AAs%20Marias%20Vila%20Nova%20de%20Milfontes","🛖 Três Marias")</f>
        <v>🛖 Três Marias</v>
      </c>
      <c r="J93" s="304" t="s">
        <v>12865</v>
      </c>
    </row>
    <row r="94" spans="1:10" ht="110" customHeight="1" x14ac:dyDescent="0.35">
      <c r="A94" s="336">
        <v>90</v>
      </c>
      <c r="B94" s="242" t="s">
        <v>12866</v>
      </c>
      <c r="C94" s="243" t="s">
        <v>12627</v>
      </c>
      <c r="D94" s="242" t="s">
        <v>853</v>
      </c>
      <c r="E94" s="242" t="s">
        <v>12867</v>
      </c>
      <c r="F94" s="242" t="s">
        <v>12854</v>
      </c>
      <c r="G94" s="242" t="s">
        <v>12712</v>
      </c>
      <c r="H94" s="242">
        <v>105</v>
      </c>
      <c r="I94" s="605" t="str">
        <f>HYPERLINK("https://maps.google.com/?q=Vale%20do%20Gaio%20Hotel%20Torr%C3%A3o","🛖 Vale do Gaio Hotel")</f>
        <v>🛖 Vale do Gaio Hotel</v>
      </c>
      <c r="J94" s="305" t="s">
        <v>12868</v>
      </c>
    </row>
    <row r="95" spans="1:10" ht="110" customHeight="1" x14ac:dyDescent="0.35">
      <c r="A95" s="338">
        <v>91</v>
      </c>
      <c r="B95" s="239" t="s">
        <v>12869</v>
      </c>
      <c r="C95" s="240" t="s">
        <v>12690</v>
      </c>
      <c r="D95" s="239" t="s">
        <v>853</v>
      </c>
      <c r="E95" s="239" t="s">
        <v>2528</v>
      </c>
      <c r="F95" s="239" t="s">
        <v>12596</v>
      </c>
      <c r="G95" s="239" t="s">
        <v>12619</v>
      </c>
      <c r="H95" s="239">
        <v>212</v>
      </c>
      <c r="I95" s="604" t="str">
        <f>HYPERLINK("https://maps.google.com/?q=Vigias%20Eternal%20Landscapes%20Marv%C3%A3o","🛖 Vigias Eternal Landscapes")</f>
        <v>🛖 Vigias Eternal Landscapes</v>
      </c>
      <c r="J95" s="304" t="s">
        <v>12870</v>
      </c>
    </row>
    <row r="96" spans="1:10" ht="110" customHeight="1" x14ac:dyDescent="0.35">
      <c r="A96" s="336">
        <v>92</v>
      </c>
      <c r="B96" s="242" t="s">
        <v>12871</v>
      </c>
      <c r="C96" s="243" t="s">
        <v>12759</v>
      </c>
      <c r="D96" s="242" t="s">
        <v>853</v>
      </c>
      <c r="E96" s="242" t="s">
        <v>1412</v>
      </c>
      <c r="F96" s="242" t="s">
        <v>12596</v>
      </c>
      <c r="G96" s="242" t="s">
        <v>12615</v>
      </c>
      <c r="H96" s="242">
        <v>150</v>
      </c>
      <c r="I96" s="605" t="str">
        <f>HYPERLINK("https://maps.google.com/?q=Casa%20do%20Governador%20%C3%89vora","🛖 Casa do Governador")</f>
        <v>🛖 Casa do Governador</v>
      </c>
      <c r="J96" s="305" t="s">
        <v>12872</v>
      </c>
    </row>
    <row r="97" spans="1:10" ht="110" customHeight="1" x14ac:dyDescent="0.35">
      <c r="A97" s="338">
        <v>93</v>
      </c>
      <c r="B97" s="239" t="s">
        <v>12873</v>
      </c>
      <c r="C97" s="240" t="s">
        <v>12614</v>
      </c>
      <c r="D97" s="239" t="s">
        <v>853</v>
      </c>
      <c r="E97" s="239" t="s">
        <v>9947</v>
      </c>
      <c r="F97" s="239" t="s">
        <v>12722</v>
      </c>
      <c r="G97" s="239" t="s">
        <v>12741</v>
      </c>
      <c r="H97" s="239">
        <v>153</v>
      </c>
      <c r="I97" s="604" t="str">
        <f>HYPERLINK("https://maps.google.com/?q=Turismo%20Rural%20Monte%20Ponte%20Pedra%20Melides","🛖 Turismo Rural Monte Ponte Pe")</f>
        <v>🛖 Turismo Rural Monte Ponte Pe</v>
      </c>
      <c r="J97" s="304" t="s">
        <v>12874</v>
      </c>
    </row>
    <row r="98" spans="1:10" ht="110" customHeight="1" x14ac:dyDescent="0.35">
      <c r="A98" s="336">
        <v>94</v>
      </c>
      <c r="B98" s="242" t="s">
        <v>12875</v>
      </c>
      <c r="C98" s="243" t="s">
        <v>12876</v>
      </c>
      <c r="D98" s="242" t="s">
        <v>767</v>
      </c>
      <c r="E98" s="242" t="s">
        <v>9985</v>
      </c>
      <c r="F98" s="242" t="s">
        <v>12722</v>
      </c>
      <c r="G98" s="242" t="s">
        <v>12877</v>
      </c>
      <c r="H98" s="242">
        <v>110</v>
      </c>
      <c r="I98" s="605" t="str">
        <f>HYPERLINK("https://maps.google.com/?q=Aldeia%20da%20Pedralva%20%E2%80%93%20Nature%20%26%20Village%20Experience%20Vila%20do%20Bispo","🛖 Aldeia da Pedralva – Nature ")</f>
        <v xml:space="preserve">🛖 Aldeia da Pedralva – Nature </v>
      </c>
      <c r="J98" s="305" t="s">
        <v>12878</v>
      </c>
    </row>
    <row r="99" spans="1:10" ht="110" customHeight="1" x14ac:dyDescent="0.35">
      <c r="A99" s="338">
        <v>95</v>
      </c>
      <c r="B99" s="239" t="s">
        <v>12879</v>
      </c>
      <c r="C99" s="240" t="s">
        <v>12644</v>
      </c>
      <c r="D99" s="239" t="s">
        <v>767</v>
      </c>
      <c r="E99" s="239" t="s">
        <v>12880</v>
      </c>
      <c r="F99" s="239" t="s">
        <v>12596</v>
      </c>
      <c r="G99" s="239" t="s">
        <v>12641</v>
      </c>
      <c r="H99" s="239">
        <v>255</v>
      </c>
      <c r="I99" s="604" t="str">
        <f>HYPERLINK("https://maps.google.com/?q=Casa%20Agostos%20Santa%20B%C3%A1rbara%20de%20Nexe","🛖 Casa Agostos")</f>
        <v>🛖 Casa Agostos</v>
      </c>
      <c r="J99" s="304" t="s">
        <v>12881</v>
      </c>
    </row>
    <row r="100" spans="1:10" ht="110" customHeight="1" x14ac:dyDescent="0.35">
      <c r="A100" s="336">
        <v>96</v>
      </c>
      <c r="B100" s="242" t="s">
        <v>12882</v>
      </c>
      <c r="C100" s="243" t="s">
        <v>12644</v>
      </c>
      <c r="D100" s="242" t="s">
        <v>767</v>
      </c>
      <c r="E100" s="242" t="s">
        <v>12883</v>
      </c>
      <c r="F100" s="242" t="s">
        <v>12623</v>
      </c>
      <c r="G100" s="242" t="s">
        <v>12884</v>
      </c>
      <c r="H100" s="242">
        <v>450</v>
      </c>
      <c r="I100" s="605" t="str">
        <f>HYPERLINK("https://maps.google.com/?q=Casa%20Cerro%20da%20Vigia%20Carrapateira","🛖 Casa Cerro da Vigia")</f>
        <v>🛖 Casa Cerro da Vigia</v>
      </c>
      <c r="J100" s="305" t="s">
        <v>12885</v>
      </c>
    </row>
    <row r="101" spans="1:10" ht="110" customHeight="1" x14ac:dyDescent="0.35">
      <c r="A101" s="338">
        <v>97</v>
      </c>
      <c r="B101" s="239" t="s">
        <v>12886</v>
      </c>
      <c r="C101" s="240" t="s">
        <v>12887</v>
      </c>
      <c r="D101" s="239" t="s">
        <v>767</v>
      </c>
      <c r="E101" s="239" t="s">
        <v>12888</v>
      </c>
      <c r="F101" s="239" t="s">
        <v>12623</v>
      </c>
      <c r="G101" s="239" t="s">
        <v>12884</v>
      </c>
      <c r="H101" s="239">
        <v>571</v>
      </c>
      <c r="I101" s="604" t="str">
        <f>HYPERLINK("https://maps.google.com/?q=Casa%20Ciconia%20Fuseta","🛖 Casa Ciconia")</f>
        <v>🛖 Casa Ciconia</v>
      </c>
      <c r="J101" s="304" t="s">
        <v>12889</v>
      </c>
    </row>
    <row r="102" spans="1:10" ht="110" customHeight="1" x14ac:dyDescent="0.35">
      <c r="A102" s="336">
        <v>98</v>
      </c>
      <c r="B102" s="242" t="s">
        <v>12890</v>
      </c>
      <c r="C102" s="243" t="s">
        <v>12644</v>
      </c>
      <c r="D102" s="242" t="s">
        <v>767</v>
      </c>
      <c r="E102" s="242" t="s">
        <v>2172</v>
      </c>
      <c r="F102" s="242" t="s">
        <v>12596</v>
      </c>
      <c r="G102" s="242" t="s">
        <v>12891</v>
      </c>
      <c r="H102" s="242">
        <v>120</v>
      </c>
      <c r="I102" s="605" t="str">
        <f>HYPERLINK("https://maps.google.com/?q=Casa%20em%20Loul%C3%A9%20Loul%C3%A9","🛖 Casa em Loulé")</f>
        <v>🛖 Casa em Loulé</v>
      </c>
      <c r="J102" s="305" t="s">
        <v>12892</v>
      </c>
    </row>
    <row r="103" spans="1:10" ht="110" customHeight="1" x14ac:dyDescent="0.35">
      <c r="A103" s="338">
        <v>99</v>
      </c>
      <c r="B103" s="239" t="s">
        <v>12893</v>
      </c>
      <c r="C103" s="240" t="s">
        <v>12614</v>
      </c>
      <c r="D103" s="239" t="s">
        <v>767</v>
      </c>
      <c r="E103" s="239" t="s">
        <v>12883</v>
      </c>
      <c r="F103" s="239" t="s">
        <v>12596</v>
      </c>
      <c r="G103" s="239" t="s">
        <v>12705</v>
      </c>
      <c r="H103" s="239">
        <v>99</v>
      </c>
      <c r="I103" s="604" t="str">
        <f>HYPERLINK("https://maps.google.com/?q=Casa%20Fajara%20Carrapateira","🛖 Casa Fajara")</f>
        <v>🛖 Casa Fajara</v>
      </c>
      <c r="J103" s="304" t="s">
        <v>12894</v>
      </c>
    </row>
    <row r="104" spans="1:10" ht="110" customHeight="1" x14ac:dyDescent="0.35">
      <c r="A104" s="336">
        <v>100</v>
      </c>
      <c r="B104" s="242" t="s">
        <v>12895</v>
      </c>
      <c r="C104" s="243" t="s">
        <v>12644</v>
      </c>
      <c r="D104" s="242" t="s">
        <v>767</v>
      </c>
      <c r="E104" s="242" t="s">
        <v>12896</v>
      </c>
      <c r="F104" s="242" t="s">
        <v>12596</v>
      </c>
      <c r="G104" s="242" t="s">
        <v>12641</v>
      </c>
      <c r="H104" s="242">
        <v>284</v>
      </c>
      <c r="I104" s="605" t="str">
        <f>HYPERLINK("https://maps.google.com/?q=Casa%20LUUM%20Agostos","🛖 Casa LUUM")</f>
        <v>🛖 Casa LUUM</v>
      </c>
      <c r="J104" s="305" t="s">
        <v>12897</v>
      </c>
    </row>
    <row r="105" spans="1:10" ht="110" customHeight="1" x14ac:dyDescent="0.35">
      <c r="A105" s="338">
        <v>101</v>
      </c>
      <c r="B105" s="239" t="s">
        <v>12898</v>
      </c>
      <c r="C105" s="240" t="s">
        <v>12614</v>
      </c>
      <c r="D105" s="239" t="s">
        <v>767</v>
      </c>
      <c r="E105" s="239" t="s">
        <v>5527</v>
      </c>
      <c r="F105" s="239" t="s">
        <v>12596</v>
      </c>
      <c r="G105" s="239" t="s">
        <v>12615</v>
      </c>
      <c r="H105" s="239">
        <v>224</v>
      </c>
      <c r="I105" s="604" t="str">
        <f>HYPERLINK("https://maps.google.com/?q=Casa%20Modesta%20Olh%C3%A3o","🛖 Casa Modesta")</f>
        <v>🛖 Casa Modesta</v>
      </c>
      <c r="J105" s="304" t="s">
        <v>12899</v>
      </c>
    </row>
    <row r="106" spans="1:10" ht="110" customHeight="1" x14ac:dyDescent="0.35">
      <c r="A106" s="336">
        <v>102</v>
      </c>
      <c r="B106" s="242" t="s">
        <v>12900</v>
      </c>
      <c r="C106" s="243" t="s">
        <v>12644</v>
      </c>
      <c r="D106" s="242" t="s">
        <v>767</v>
      </c>
      <c r="E106" s="242" t="s">
        <v>12880</v>
      </c>
      <c r="F106" s="242" t="s">
        <v>1440</v>
      </c>
      <c r="G106" s="242" t="s">
        <v>12884</v>
      </c>
      <c r="H106" s="242">
        <v>263</v>
      </c>
      <c r="I106" s="605" t="str">
        <f>HYPERLINK("https://maps.google.com/?q=Casa%20Santa%20Barbara%2025%20Santa%20B%C3%A1rbara%20de%20Nexe","🛖 Casa Santa Barbara 25")</f>
        <v>🛖 Casa Santa Barbara 25</v>
      </c>
      <c r="J106" s="305" t="s">
        <v>12901</v>
      </c>
    </row>
    <row r="107" spans="1:10" ht="110" customHeight="1" x14ac:dyDescent="0.35">
      <c r="A107" s="338">
        <v>103</v>
      </c>
      <c r="B107" s="239" t="s">
        <v>12902</v>
      </c>
      <c r="C107" s="240" t="s">
        <v>12622</v>
      </c>
      <c r="D107" s="239" t="s">
        <v>767</v>
      </c>
      <c r="E107" s="239" t="s">
        <v>12903</v>
      </c>
      <c r="F107" s="239" t="s">
        <v>12596</v>
      </c>
      <c r="G107" s="239" t="s">
        <v>12728</v>
      </c>
      <c r="H107" s="239">
        <v>225</v>
      </c>
      <c r="I107" s="604" t="str">
        <f>HYPERLINK("https://maps.google.com/?q=Casas%20da%20Quinta%20de%20Cima%20Vila%20Nova%20de%20Cacela","🛖 Casas da Quinta de Cima")</f>
        <v>🛖 Casas da Quinta de Cima</v>
      </c>
      <c r="J107" s="304" t="s">
        <v>12904</v>
      </c>
    </row>
    <row r="108" spans="1:10" ht="110" customHeight="1" x14ac:dyDescent="0.35">
      <c r="A108" s="336">
        <v>104</v>
      </c>
      <c r="B108" s="242" t="s">
        <v>12905</v>
      </c>
      <c r="C108" s="243" t="s">
        <v>12786</v>
      </c>
      <c r="D108" s="242" t="s">
        <v>767</v>
      </c>
      <c r="E108" s="242" t="s">
        <v>12906</v>
      </c>
      <c r="F108" s="242" t="s">
        <v>12596</v>
      </c>
      <c r="G108" s="242" t="s">
        <v>12641</v>
      </c>
      <c r="H108" s="242">
        <v>378</v>
      </c>
      <c r="I108" s="605" t="str">
        <f>HYPERLINK("https://maps.google.com/?q=Generous%20Villa%20Vale%20de%20Carrapateira%20-%20Bordeira","🛖 Generous Villa")</f>
        <v>🛖 Generous Villa</v>
      </c>
      <c r="J108" s="305" t="s">
        <v>12907</v>
      </c>
    </row>
    <row r="109" spans="1:10" ht="110" customHeight="1" x14ac:dyDescent="0.35">
      <c r="A109" s="338">
        <v>105</v>
      </c>
      <c r="B109" s="239" t="s">
        <v>12908</v>
      </c>
      <c r="C109" s="240" t="s">
        <v>12690</v>
      </c>
      <c r="D109" s="239" t="s">
        <v>767</v>
      </c>
      <c r="E109" s="239" t="s">
        <v>2168</v>
      </c>
      <c r="F109" s="239" t="s">
        <v>12596</v>
      </c>
      <c r="G109" s="239" t="s">
        <v>12762</v>
      </c>
      <c r="H109" s="239">
        <v>465</v>
      </c>
      <c r="I109" s="604" t="str">
        <f>HYPERLINK("https://maps.google.com/?q=House%20Cork%205%20S%C3%A3o%20Br%C3%A1s%20de%20Alportel","🛖 House Cork 5")</f>
        <v>🛖 House Cork 5</v>
      </c>
      <c r="J109" s="304" t="s">
        <v>12909</v>
      </c>
    </row>
    <row r="110" spans="1:10" ht="110" customHeight="1" x14ac:dyDescent="0.35">
      <c r="A110" s="336">
        <v>106</v>
      </c>
      <c r="B110" s="242" t="s">
        <v>12910</v>
      </c>
      <c r="C110" s="243" t="s">
        <v>12876</v>
      </c>
      <c r="D110" s="242" t="s">
        <v>767</v>
      </c>
      <c r="E110" s="242" t="s">
        <v>12883</v>
      </c>
      <c r="F110" s="242" t="s">
        <v>12596</v>
      </c>
      <c r="G110" s="242" t="s">
        <v>12911</v>
      </c>
      <c r="H110" s="242">
        <v>120</v>
      </c>
      <c r="I110" s="605" t="str">
        <f>HYPERLINK("https://maps.google.com/?q=Monte%20da%20Vilarinha%20Carrapateira","🛖 Monte da Vilarinha")</f>
        <v>🛖 Monte da Vilarinha</v>
      </c>
      <c r="J110" s="305" t="s">
        <v>12912</v>
      </c>
    </row>
    <row r="111" spans="1:10" ht="110" customHeight="1" x14ac:dyDescent="0.35">
      <c r="A111" s="338">
        <v>107</v>
      </c>
      <c r="B111" s="239" t="s">
        <v>12913</v>
      </c>
      <c r="C111" s="240" t="s">
        <v>12759</v>
      </c>
      <c r="D111" s="239" t="s">
        <v>767</v>
      </c>
      <c r="E111" s="239" t="s">
        <v>2194</v>
      </c>
      <c r="F111" s="239" t="s">
        <v>12596</v>
      </c>
      <c r="G111" s="239" t="s">
        <v>12611</v>
      </c>
      <c r="H111" s="239">
        <v>174</v>
      </c>
      <c r="I111" s="604" t="str">
        <f>HYPERLINK("https://maps.google.com/?q=Muxima%20-%20Montes%20Ferreiros%20Aljezur","🛖 Muxima - Montes Ferreiros")</f>
        <v>🛖 Muxima - Montes Ferreiros</v>
      </c>
      <c r="J111" s="304" t="s">
        <v>12914</v>
      </c>
    </row>
    <row r="112" spans="1:10" ht="110" customHeight="1" x14ac:dyDescent="0.35">
      <c r="A112" s="336">
        <v>108</v>
      </c>
      <c r="B112" s="242" t="s">
        <v>12915</v>
      </c>
      <c r="C112" s="243" t="s">
        <v>12644</v>
      </c>
      <c r="D112" s="242" t="s">
        <v>767</v>
      </c>
      <c r="E112" s="242" t="s">
        <v>2205</v>
      </c>
      <c r="F112" s="242" t="s">
        <v>12596</v>
      </c>
      <c r="G112" s="242" t="s">
        <v>12916</v>
      </c>
      <c r="H112" s="242">
        <v>946</v>
      </c>
      <c r="I112" s="605" t="str">
        <f>HYPERLINK("https://maps.google.com/?q=Quinta%20da%20Donalda%20Portim%C3%A3o","🛖 Quinta da Donalda")</f>
        <v>🛖 Quinta da Donalda</v>
      </c>
      <c r="J112" s="305" t="s">
        <v>12917</v>
      </c>
    </row>
    <row r="113" spans="1:10" ht="110" customHeight="1" x14ac:dyDescent="0.35">
      <c r="A113" s="338">
        <v>109</v>
      </c>
      <c r="B113" s="239" t="s">
        <v>12918</v>
      </c>
      <c r="C113" s="240" t="s">
        <v>12622</v>
      </c>
      <c r="D113" s="239" t="s">
        <v>767</v>
      </c>
      <c r="E113" s="239" t="s">
        <v>12919</v>
      </c>
      <c r="F113" s="239" t="s">
        <v>12596</v>
      </c>
      <c r="G113" s="239" t="s">
        <v>12725</v>
      </c>
      <c r="H113" s="239">
        <v>86</v>
      </c>
      <c r="I113" s="604" t="str">
        <f>HYPERLINK("https://maps.google.com/?q=Quinta%20do%20Freixo%20Benafim","🛖 Quinta do Freixo")</f>
        <v>🛖 Quinta do Freixo</v>
      </c>
      <c r="J113" s="304" t="s">
        <v>12920</v>
      </c>
    </row>
    <row r="114" spans="1:10" ht="110" customHeight="1" x14ac:dyDescent="0.35">
      <c r="A114" s="336">
        <v>110</v>
      </c>
      <c r="B114" s="242" t="s">
        <v>12921</v>
      </c>
      <c r="C114" s="243" t="s">
        <v>12644</v>
      </c>
      <c r="D114" s="242" t="s">
        <v>767</v>
      </c>
      <c r="E114" s="242" t="s">
        <v>2180</v>
      </c>
      <c r="F114" s="242" t="s">
        <v>12596</v>
      </c>
      <c r="G114" s="242" t="s">
        <v>12884</v>
      </c>
      <c r="H114" s="242">
        <v>292</v>
      </c>
      <c r="I114" s="605" t="str">
        <f>HYPERLINK("https://maps.google.com/?q=Silves%20Villa%20Silves","🛖 Silves Villa")</f>
        <v>🛖 Silves Villa</v>
      </c>
      <c r="J114" s="305" t="s">
        <v>12922</v>
      </c>
    </row>
    <row r="115" spans="1:10" ht="110" customHeight="1" x14ac:dyDescent="0.35">
      <c r="A115" s="338">
        <v>111</v>
      </c>
      <c r="B115" s="239" t="s">
        <v>12923</v>
      </c>
      <c r="C115" s="240" t="s">
        <v>12639</v>
      </c>
      <c r="D115" s="239" t="s">
        <v>767</v>
      </c>
      <c r="E115" s="239" t="s">
        <v>6440</v>
      </c>
      <c r="F115" s="239" t="s">
        <v>12596</v>
      </c>
      <c r="G115" s="239" t="s">
        <v>12891</v>
      </c>
      <c r="H115" s="239">
        <v>210</v>
      </c>
      <c r="I115" s="604" t="str">
        <f>HYPERLINK("https://maps.google.com/?q=The%20Cottage%2032%20Ferragudo","🛖 The Cottage 32")</f>
        <v>🛖 The Cottage 32</v>
      </c>
      <c r="J115" s="304" t="s">
        <v>12924</v>
      </c>
    </row>
    <row r="116" spans="1:10" ht="110" customHeight="1" x14ac:dyDescent="0.35">
      <c r="A116" s="336">
        <v>112</v>
      </c>
      <c r="B116" s="242" t="s">
        <v>12925</v>
      </c>
      <c r="C116" s="243" t="s">
        <v>12690</v>
      </c>
      <c r="D116" s="242" t="s">
        <v>767</v>
      </c>
      <c r="E116" s="242" t="s">
        <v>2164</v>
      </c>
      <c r="F116" s="242" t="s">
        <v>12596</v>
      </c>
      <c r="G116" s="242" t="s">
        <v>12891</v>
      </c>
      <c r="H116" s="242">
        <v>142</v>
      </c>
      <c r="I116" s="605" t="str">
        <f>HYPERLINK("https://maps.google.com/?q=The%20Granite%20House%20Monchique","🛖 The Granite House")</f>
        <v>🛖 The Granite House</v>
      </c>
      <c r="J116" s="305" t="s">
        <v>12926</v>
      </c>
    </row>
    <row r="117" spans="1:10" ht="110" customHeight="1" x14ac:dyDescent="0.35">
      <c r="A117" s="338">
        <v>113</v>
      </c>
      <c r="B117" s="239" t="s">
        <v>12927</v>
      </c>
      <c r="C117" s="240" t="s">
        <v>12644</v>
      </c>
      <c r="D117" s="239" t="s">
        <v>767</v>
      </c>
      <c r="E117" s="239" t="s">
        <v>2164</v>
      </c>
      <c r="F117" s="239" t="s">
        <v>12596</v>
      </c>
      <c r="G117" s="239" t="s">
        <v>12641</v>
      </c>
      <c r="H117" s="239">
        <v>200</v>
      </c>
      <c r="I117" s="604" t="str">
        <f>HYPERLINK("https://maps.google.com/?q=The%20Yellow%20House%20Monchique","🛖 The Yellow House")</f>
        <v>🛖 The Yellow House</v>
      </c>
      <c r="J117" s="304" t="s">
        <v>12928</v>
      </c>
    </row>
    <row r="118" spans="1:10" ht="110" customHeight="1" x14ac:dyDescent="0.35">
      <c r="A118" s="336">
        <v>114</v>
      </c>
      <c r="B118" s="242" t="s">
        <v>12929</v>
      </c>
      <c r="C118" s="243" t="s">
        <v>12821</v>
      </c>
      <c r="D118" s="242" t="s">
        <v>767</v>
      </c>
      <c r="E118" s="242" t="s">
        <v>12930</v>
      </c>
      <c r="F118" s="242" t="s">
        <v>12722</v>
      </c>
      <c r="G118" s="242" t="s">
        <v>12725</v>
      </c>
      <c r="H118" s="242">
        <v>166</v>
      </c>
      <c r="I118" s="605" t="str">
        <f>HYPERLINK("https://maps.google.com/?q=Vila%20Valverde%20Luz%20-%20Lagos","🛖 Vila Valverde")</f>
        <v>🛖 Vila Valverde</v>
      </c>
      <c r="J118" s="305" t="s">
        <v>12931</v>
      </c>
    </row>
    <row r="119" spans="1:10" ht="110" customHeight="1" x14ac:dyDescent="0.35">
      <c r="A119" s="338">
        <v>115</v>
      </c>
      <c r="B119" s="239" t="s">
        <v>12932</v>
      </c>
      <c r="C119" s="240" t="s">
        <v>12759</v>
      </c>
      <c r="D119" s="239" t="s">
        <v>767</v>
      </c>
      <c r="E119" s="239" t="s">
        <v>9985</v>
      </c>
      <c r="F119" s="239" t="s">
        <v>1440</v>
      </c>
      <c r="G119" s="239" t="s">
        <v>12679</v>
      </c>
      <c r="H119" s="239">
        <v>119</v>
      </c>
      <c r="I119" s="604" t="str">
        <f>HYPERLINK("https://maps.google.com/?q=Pure%20Fonte%20Velha%20Bed%20and%20Breakfast%20Vila%20do%20Bispo","🛖 Pure Fonte Velha Bed and Bre")</f>
        <v>🛖 Pure Fonte Velha Bed and Bre</v>
      </c>
      <c r="J119" s="304" t="s">
        <v>12933</v>
      </c>
    </row>
    <row r="120" spans="1:10" ht="110" customHeight="1" x14ac:dyDescent="0.35">
      <c r="A120" s="336">
        <v>116</v>
      </c>
      <c r="B120" s="242" t="s">
        <v>6985</v>
      </c>
      <c r="C120" s="243" t="s">
        <v>12821</v>
      </c>
      <c r="D120" s="242" t="s">
        <v>836</v>
      </c>
      <c r="E120" s="242" t="s">
        <v>5497</v>
      </c>
      <c r="F120" s="242" t="s">
        <v>12934</v>
      </c>
      <c r="G120" s="242" t="s">
        <v>12935</v>
      </c>
      <c r="H120" s="242">
        <v>120</v>
      </c>
      <c r="I120" s="605" t="str">
        <f>HYPERLINK("https://maps.google.com/?q=Quinta%20das%20L%C3%A1grimas%20Coimbra","🛖 Quinta das Lágrimas")</f>
        <v>🛖 Quinta das Lágrimas</v>
      </c>
      <c r="J120" s="305" t="s">
        <v>12936</v>
      </c>
    </row>
    <row r="121" spans="1:10" ht="110" customHeight="1" x14ac:dyDescent="0.35">
      <c r="A121" s="338">
        <v>117</v>
      </c>
      <c r="B121" s="239" t="s">
        <v>12937</v>
      </c>
      <c r="C121" s="240" t="s">
        <v>12938</v>
      </c>
      <c r="D121" s="239" t="s">
        <v>836</v>
      </c>
      <c r="E121" s="239" t="s">
        <v>12939</v>
      </c>
      <c r="F121" s="239" t="s">
        <v>1114</v>
      </c>
      <c r="G121" s="239" t="s">
        <v>12940</v>
      </c>
      <c r="H121" s="239">
        <v>85</v>
      </c>
      <c r="I121" s="604" t="str">
        <f>HYPERLINK("https://maps.google.com/?q=Solar%20dos%20Mouros%20Coimbra%20Alta","🛖 Solar dos Mouros")</f>
        <v>🛖 Solar dos Mouros</v>
      </c>
      <c r="J121" s="304" t="s">
        <v>12941</v>
      </c>
    </row>
    <row r="122" spans="1:10" ht="110" customHeight="1" x14ac:dyDescent="0.35">
      <c r="A122" s="336">
        <v>118</v>
      </c>
      <c r="B122" s="242" t="s">
        <v>12942</v>
      </c>
      <c r="C122" s="243" t="s">
        <v>12635</v>
      </c>
      <c r="D122" s="242" t="s">
        <v>836</v>
      </c>
      <c r="E122" s="242" t="s">
        <v>12943</v>
      </c>
      <c r="F122" s="242" t="s">
        <v>12944</v>
      </c>
      <c r="G122" s="242" t="s">
        <v>12945</v>
      </c>
      <c r="H122" s="242">
        <v>180</v>
      </c>
      <c r="I122" s="605" t="str">
        <f>HYPERLINK("https://maps.google.com/?q=Bu%C3%A7aco%20Palace%20Hotel%20Bu%C3%A7aco%2C%20Mealhada","🛖 Buçaco Palace Hotel")</f>
        <v>🛖 Buçaco Palace Hotel</v>
      </c>
      <c r="J122" s="305" t="s">
        <v>12946</v>
      </c>
    </row>
    <row r="123" spans="1:10" ht="110" customHeight="1" x14ac:dyDescent="0.35">
      <c r="A123" s="338">
        <v>119</v>
      </c>
      <c r="B123" s="239" t="s">
        <v>12947</v>
      </c>
      <c r="C123" s="240" t="s">
        <v>12627</v>
      </c>
      <c r="D123" s="239" t="s">
        <v>836</v>
      </c>
      <c r="E123" s="239" t="s">
        <v>6509</v>
      </c>
      <c r="F123" s="239" t="s">
        <v>1457</v>
      </c>
      <c r="G123" s="239">
        <v>149</v>
      </c>
      <c r="H123" s="239">
        <v>65</v>
      </c>
      <c r="I123" s="604" t="str">
        <f>HYPERLINK("https://maps.google.com/?q=Inatel%20Luso%20Luso%2C%20Mealhada","🛖 Inatel Luso")</f>
        <v>🛖 Inatel Luso</v>
      </c>
      <c r="J123" s="304" t="s">
        <v>12948</v>
      </c>
    </row>
    <row r="124" spans="1:10" ht="110" customHeight="1" x14ac:dyDescent="0.35">
      <c r="A124" s="336">
        <v>120</v>
      </c>
      <c r="B124" s="242" t="s">
        <v>9600</v>
      </c>
      <c r="C124" s="243" t="s">
        <v>12821</v>
      </c>
      <c r="D124" s="242" t="s">
        <v>836</v>
      </c>
      <c r="E124" s="242" t="s">
        <v>12707</v>
      </c>
      <c r="F124" s="242" t="s">
        <v>12708</v>
      </c>
      <c r="G124" s="242">
        <v>17</v>
      </c>
      <c r="H124" s="242">
        <v>95</v>
      </c>
      <c r="I124" s="605" t="str">
        <f>HYPERLINK("https://maps.google.com/?q=Casa%20das%20Penhas%20Douradas%20Manteigas%2C%20Serra%20da%20Estrela","🛖 Casa das Penhas Douradas")</f>
        <v>🛖 Casa das Penhas Douradas</v>
      </c>
      <c r="J124" s="305" t="s">
        <v>12710</v>
      </c>
    </row>
    <row r="125" spans="1:10" ht="110" customHeight="1" x14ac:dyDescent="0.35">
      <c r="A125" s="338">
        <v>121</v>
      </c>
      <c r="B125" s="239" t="s">
        <v>12949</v>
      </c>
      <c r="C125" s="240" t="s">
        <v>12938</v>
      </c>
      <c r="D125" s="239" t="s">
        <v>836</v>
      </c>
      <c r="E125" s="239" t="s">
        <v>11115</v>
      </c>
      <c r="F125" s="239" t="s">
        <v>1440</v>
      </c>
      <c r="G125" s="239" t="s">
        <v>12950</v>
      </c>
      <c r="H125" s="239">
        <v>70</v>
      </c>
      <c r="I125" s="604" t="str">
        <f>HYPERLINK("https://maps.google.com/?q=Beira-Serra%20Aldeias%20do%20Xisto","🛖 Beira-Serra")</f>
        <v>🛖 Beira-Serra</v>
      </c>
      <c r="J125" s="304" t="s">
        <v>12951</v>
      </c>
    </row>
    <row r="126" spans="1:10" ht="110" customHeight="1" x14ac:dyDescent="0.35">
      <c r="A126" s="336">
        <v>122</v>
      </c>
      <c r="B126" s="242" t="s">
        <v>12952</v>
      </c>
      <c r="C126" s="243" t="s">
        <v>12627</v>
      </c>
      <c r="D126" s="242" t="s">
        <v>836</v>
      </c>
      <c r="E126" s="242" t="s">
        <v>8446</v>
      </c>
      <c r="F126" s="242" t="s">
        <v>11082</v>
      </c>
      <c r="G126" s="242" t="s">
        <v>12629</v>
      </c>
      <c r="H126" s="242">
        <v>80</v>
      </c>
      <c r="I126" s="605" t="str">
        <f>HYPERLINK("https://maps.google.com/?q=Quinta%20do%20Rio%20D%C3%A3o%20Santa%20Comba%20D%C3%A3o","🛖 Quinta do Rio Dão")</f>
        <v>🛖 Quinta do Rio Dão</v>
      </c>
      <c r="J126" s="305" t="s">
        <v>12953</v>
      </c>
    </row>
    <row r="127" spans="1:10" ht="110" customHeight="1" x14ac:dyDescent="0.35">
      <c r="A127" s="338">
        <v>123</v>
      </c>
      <c r="B127" s="239" t="s">
        <v>12954</v>
      </c>
      <c r="C127" s="240" t="s">
        <v>12627</v>
      </c>
      <c r="D127" s="239" t="s">
        <v>836</v>
      </c>
      <c r="E127" s="239" t="s">
        <v>950</v>
      </c>
      <c r="F127" s="239" t="s">
        <v>1114</v>
      </c>
      <c r="G127" s="239" t="s">
        <v>12955</v>
      </c>
      <c r="H127" s="239">
        <v>100</v>
      </c>
      <c r="I127" s="604" t="str">
        <f>HYPERLINK("https://maps.google.com/?q=Pousada%20de%20Viseu%20%E2%80%94%20Gr%C3%A3o%20Vasco%20Viseu","🛖 Pousada de Viseu — Grão Vasc")</f>
        <v>🛖 Pousada de Viseu — Grão Vasc</v>
      </c>
      <c r="J127" s="304" t="s">
        <v>12956</v>
      </c>
    </row>
    <row r="128" spans="1:10" ht="110" customHeight="1" x14ac:dyDescent="0.35">
      <c r="A128" s="336">
        <v>124</v>
      </c>
      <c r="B128" s="242" t="s">
        <v>12957</v>
      </c>
      <c r="C128" s="243" t="s">
        <v>12786</v>
      </c>
      <c r="D128" s="242" t="s">
        <v>836</v>
      </c>
      <c r="E128" s="242" t="s">
        <v>12958</v>
      </c>
      <c r="F128" s="242" t="s">
        <v>12708</v>
      </c>
      <c r="G128" s="242" t="s">
        <v>12829</v>
      </c>
      <c r="H128" s="242">
        <v>65</v>
      </c>
      <c r="I128" s="605" t="str">
        <f>HYPERLINK("https://maps.google.com/?q=Quinta%20de%20Sao%20Lourenco%20Gouveia%2C%20Serra%20da%20Estrela","🛖 Quinta de Sao Lourenco")</f>
        <v>🛖 Quinta de Sao Lourenco</v>
      </c>
      <c r="J128" s="305" t="s">
        <v>12959</v>
      </c>
    </row>
    <row r="129" spans="1:10" ht="110" customHeight="1" x14ac:dyDescent="0.35">
      <c r="A129" s="338">
        <v>125</v>
      </c>
      <c r="B129" s="239" t="s">
        <v>12960</v>
      </c>
      <c r="C129" s="240" t="s">
        <v>12821</v>
      </c>
      <c r="D129" s="239" t="s">
        <v>836</v>
      </c>
      <c r="E129" s="239" t="s">
        <v>5644</v>
      </c>
      <c r="F129" s="239" t="s">
        <v>12961</v>
      </c>
      <c r="G129" s="239" t="s">
        <v>12803</v>
      </c>
      <c r="H129" s="239">
        <v>110</v>
      </c>
      <c r="I129" s="604" t="str">
        <f>HYPERLINK("https://maps.google.com/?q=Convento%20de%20Alcoba%C3%A7a%20Alcoba%C3%A7a","🛖 Convento de Alcobaça")</f>
        <v>🛖 Convento de Alcobaça</v>
      </c>
      <c r="J129" s="304" t="s">
        <v>12962</v>
      </c>
    </row>
    <row r="130" spans="1:10" ht="110" customHeight="1" x14ac:dyDescent="0.35">
      <c r="A130" s="336">
        <v>126</v>
      </c>
      <c r="B130" s="242" t="s">
        <v>12963</v>
      </c>
      <c r="C130" s="243" t="s">
        <v>12627</v>
      </c>
      <c r="D130" s="242" t="s">
        <v>836</v>
      </c>
      <c r="E130" s="242" t="s">
        <v>12964</v>
      </c>
      <c r="F130" s="242" t="s">
        <v>12708</v>
      </c>
      <c r="G130" s="242" t="s">
        <v>12965</v>
      </c>
      <c r="H130" s="242">
        <v>85</v>
      </c>
      <c r="I130" s="605" t="str">
        <f>HYPERLINK("https://maps.google.com/?q=Eco-Resort%20Gardunha%20Fund%C3%A3o%2C%20Serra%20da%20Gardunha","🛖 Eco-Resort Gardunha")</f>
        <v>🛖 Eco-Resort Gardunha</v>
      </c>
      <c r="J130" s="305" t="s">
        <v>12966</v>
      </c>
    </row>
    <row r="131" spans="1:10" ht="110" customHeight="1" x14ac:dyDescent="0.35">
      <c r="A131" s="338">
        <v>127</v>
      </c>
      <c r="B131" s="239" t="s">
        <v>12967</v>
      </c>
      <c r="C131" s="240" t="s">
        <v>12938</v>
      </c>
      <c r="D131" s="239" t="s">
        <v>836</v>
      </c>
      <c r="E131" s="239" t="s">
        <v>2054</v>
      </c>
      <c r="F131" s="239" t="s">
        <v>11082</v>
      </c>
      <c r="G131" s="239" t="s">
        <v>12968</v>
      </c>
      <c r="H131" s="239">
        <v>60</v>
      </c>
      <c r="I131" s="604" t="str">
        <f>HYPERLINK("https://maps.google.com/?q=Quinta%20da%20Baroca%20Oliveira%20do%20Hospital","🛖 Quinta da Baroca")</f>
        <v>🛖 Quinta da Baroca</v>
      </c>
      <c r="J131" s="304" t="s">
        <v>12969</v>
      </c>
    </row>
    <row r="132" spans="1:10" ht="110" customHeight="1" x14ac:dyDescent="0.35">
      <c r="A132" s="336">
        <v>128</v>
      </c>
      <c r="B132" s="242" t="s">
        <v>12970</v>
      </c>
      <c r="C132" s="243" t="s">
        <v>12971</v>
      </c>
      <c r="D132" s="242" t="s">
        <v>836</v>
      </c>
      <c r="E132" s="242" t="s">
        <v>10507</v>
      </c>
      <c r="F132" s="242" t="s">
        <v>1114</v>
      </c>
      <c r="G132" s="242" t="s">
        <v>12829</v>
      </c>
      <c r="H132" s="242">
        <v>50</v>
      </c>
      <c r="I132" s="605" t="str">
        <f>HYPERLINK("https://maps.google.com/?q=Casa%20Mestre%20Jos%C3%A9%20Adelino%20Amarante%20Figueira%20de%20Castelo%20Rodrigo","🛖 Casa Mestre José Adelino Ama")</f>
        <v>🛖 Casa Mestre José Adelino Ama</v>
      </c>
      <c r="J132" s="305" t="s">
        <v>12972</v>
      </c>
    </row>
    <row r="133" spans="1:10" ht="110" customHeight="1" x14ac:dyDescent="0.35">
      <c r="A133" s="338">
        <v>129</v>
      </c>
      <c r="B133" s="239" t="s">
        <v>12973</v>
      </c>
      <c r="C133" s="240" t="s">
        <v>12627</v>
      </c>
      <c r="D133" s="239" t="s">
        <v>836</v>
      </c>
      <c r="E133" s="239" t="s">
        <v>8527</v>
      </c>
      <c r="F133" s="239" t="s">
        <v>12974</v>
      </c>
      <c r="G133" s="239" t="s">
        <v>12975</v>
      </c>
      <c r="H133" s="239">
        <v>95</v>
      </c>
      <c r="I133" s="604" t="str">
        <f>HYPERLINK("https://maps.google.com/?q=Montebelo%20Aguieira%20Lake%20Resort%20Mort%C3%A1gua","🛖 Montebelo Aguieira Lake Reso")</f>
        <v>🛖 Montebelo Aguieira Lake Reso</v>
      </c>
      <c r="J133" s="304" t="s">
        <v>12976</v>
      </c>
    </row>
    <row r="134" spans="1:10" ht="110" customHeight="1" x14ac:dyDescent="0.35">
      <c r="A134" s="336">
        <v>130</v>
      </c>
      <c r="B134" s="242" t="s">
        <v>12977</v>
      </c>
      <c r="C134" s="243" t="s">
        <v>12938</v>
      </c>
      <c r="D134" s="242" t="s">
        <v>836</v>
      </c>
      <c r="E134" s="242" t="s">
        <v>8522</v>
      </c>
      <c r="F134" s="242" t="s">
        <v>1440</v>
      </c>
      <c r="G134" s="242" t="s">
        <v>12978</v>
      </c>
      <c r="H134" s="242">
        <v>55</v>
      </c>
      <c r="I134" s="605" t="str">
        <f>HYPERLINK("https://maps.google.com/?q=Aldeia%20dos%20Carqueijais%20Pampilhosa%20da%20Serra","🛖 Aldeia dos Carqueijais")</f>
        <v>🛖 Aldeia dos Carqueijais</v>
      </c>
      <c r="J134" s="305" t="s">
        <v>12979</v>
      </c>
    </row>
    <row r="135" spans="1:10" ht="110" customHeight="1" x14ac:dyDescent="0.35">
      <c r="A135" s="338">
        <v>131</v>
      </c>
      <c r="B135" s="239" t="s">
        <v>12980</v>
      </c>
      <c r="C135" s="240" t="s">
        <v>12817</v>
      </c>
      <c r="D135" s="239" t="s">
        <v>836</v>
      </c>
      <c r="E135" s="239" t="s">
        <v>933</v>
      </c>
      <c r="F135" s="239" t="s">
        <v>1114</v>
      </c>
      <c r="G135" s="239" t="s">
        <v>12829</v>
      </c>
      <c r="H135" s="239">
        <v>75</v>
      </c>
      <c r="I135" s="604" t="str">
        <f>HYPERLINK("https://maps.google.com/?q=Solar%20de%20Alarc%C3%A3o%20Idanha-a-Nova","🛖 Solar de Alarcão")</f>
        <v>🛖 Solar de Alarcão</v>
      </c>
      <c r="J135" s="304" t="s">
        <v>12981</v>
      </c>
    </row>
    <row r="136" spans="1:10" ht="110" customHeight="1" x14ac:dyDescent="0.35">
      <c r="A136" s="336">
        <v>132</v>
      </c>
      <c r="B136" s="242" t="s">
        <v>12982</v>
      </c>
      <c r="C136" s="243" t="s">
        <v>12786</v>
      </c>
      <c r="D136" s="242" t="s">
        <v>836</v>
      </c>
      <c r="E136" s="242" t="s">
        <v>2082</v>
      </c>
      <c r="F136" s="242" t="s">
        <v>12596</v>
      </c>
      <c r="G136" s="242" t="s">
        <v>12624</v>
      </c>
      <c r="H136" s="242">
        <v>60</v>
      </c>
      <c r="I136" s="605" t="str">
        <f>HYPERLINK("https://maps.google.com/?q=Quinta%20da%20Mata%20Tondela","🛖 Quinta da Mata")</f>
        <v>🛖 Quinta da Mata</v>
      </c>
      <c r="J136" s="305" t="s">
        <v>12983</v>
      </c>
    </row>
    <row r="137" spans="1:10" ht="110" customHeight="1" x14ac:dyDescent="0.35">
      <c r="A137" s="338">
        <v>133</v>
      </c>
      <c r="B137" s="239" t="s">
        <v>12984</v>
      </c>
      <c r="C137" s="240" t="s">
        <v>12938</v>
      </c>
      <c r="D137" s="239" t="s">
        <v>836</v>
      </c>
      <c r="E137" s="239" t="s">
        <v>5488</v>
      </c>
      <c r="F137" s="239" t="s">
        <v>12708</v>
      </c>
      <c r="G137" s="239" t="s">
        <v>12985</v>
      </c>
      <c r="H137" s="239">
        <v>70</v>
      </c>
      <c r="I137" s="604" t="str">
        <f>HYPERLINK("https://maps.google.com/?q=Ecolodge%20Serra%20da%20Lous%C3%A3%20Lous%C3%A3","🛖 Ecolodge Serra da Lousã")</f>
        <v>🛖 Ecolodge Serra da Lousã</v>
      </c>
      <c r="J137" s="304" t="s">
        <v>12986</v>
      </c>
    </row>
    <row r="139" spans="1:10" x14ac:dyDescent="0.35">
      <c r="A139" s="1353" t="s">
        <v>12987</v>
      </c>
      <c r="B139" s="1354"/>
      <c r="C139" s="1354"/>
      <c r="D139" s="1354"/>
      <c r="E139" s="1354"/>
      <c r="F139" s="1354"/>
      <c r="G139" s="1354"/>
      <c r="H139" s="1354"/>
      <c r="I139" s="1354"/>
    </row>
  </sheetData>
  <mergeCells count="4">
    <mergeCell ref="A1:I1"/>
    <mergeCell ref="A4:I4"/>
    <mergeCell ref="A139:I139"/>
    <mergeCell ref="A2:I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7"/>
  <sheetViews>
    <sheetView workbookViewId="0">
      <pane ySplit="3" topLeftCell="A4" activePane="bottomLeft" state="frozen"/>
      <selection pane="bottomLeft" activeCell="D6" sqref="D6"/>
    </sheetView>
  </sheetViews>
  <sheetFormatPr defaultRowHeight="14.5" x14ac:dyDescent="0.35"/>
  <cols>
    <col min="1" max="1" width="4" customWidth="1"/>
    <col min="2" max="2" width="36" customWidth="1"/>
    <col min="3" max="3" width="12" customWidth="1"/>
    <col min="4" max="4" width="18" customWidth="1"/>
    <col min="5" max="5" width="32" customWidth="1"/>
    <col min="6" max="6" width="26" customWidth="1"/>
    <col min="7" max="7" width="18" customWidth="1"/>
    <col min="8" max="8" width="28" customWidth="1"/>
    <col min="9" max="9" width="48.7265625" bestFit="1" customWidth="1"/>
  </cols>
  <sheetData>
    <row r="1" spans="1:9" ht="32" customHeight="1" x14ac:dyDescent="0.35">
      <c r="A1" s="1476" t="s">
        <v>12401</v>
      </c>
      <c r="B1" s="1313"/>
      <c r="C1" s="1313"/>
      <c r="D1" s="1313"/>
      <c r="E1" s="1313"/>
      <c r="F1" s="1313"/>
      <c r="G1" s="1313"/>
      <c r="H1" s="1313"/>
      <c r="I1" s="1313"/>
    </row>
    <row r="2" spans="1:9" ht="16" customHeight="1" x14ac:dyDescent="0.35">
      <c r="A2" s="1365" t="s">
        <v>12402</v>
      </c>
      <c r="B2" s="1313"/>
      <c r="C2" s="1313"/>
      <c r="D2" s="1313"/>
      <c r="E2" s="1313"/>
      <c r="F2" s="1313"/>
      <c r="G2" s="1313"/>
      <c r="H2" s="1313"/>
      <c r="I2" s="1313"/>
    </row>
    <row r="3" spans="1:9" ht="24" customHeight="1" x14ac:dyDescent="0.35">
      <c r="A3" s="238" t="s">
        <v>141</v>
      </c>
      <c r="B3" s="238" t="s">
        <v>785</v>
      </c>
      <c r="C3" s="238" t="s">
        <v>619</v>
      </c>
      <c r="D3" s="238" t="s">
        <v>620</v>
      </c>
      <c r="E3" s="238" t="s">
        <v>908</v>
      </c>
      <c r="F3" s="238" t="s">
        <v>13178</v>
      </c>
      <c r="G3" s="238" t="s">
        <v>16420</v>
      </c>
      <c r="H3" s="238" t="s">
        <v>16424</v>
      </c>
      <c r="I3" s="238" t="s">
        <v>1326</v>
      </c>
    </row>
    <row r="4" spans="1:9" ht="22" customHeight="1" x14ac:dyDescent="0.35">
      <c r="A4" s="1479" t="s">
        <v>12403</v>
      </c>
      <c r="B4" s="1313"/>
      <c r="C4" s="1313"/>
      <c r="D4" s="1313"/>
      <c r="E4" s="1313"/>
      <c r="F4" s="1313"/>
      <c r="G4" s="1313"/>
      <c r="H4" s="1313"/>
      <c r="I4" s="1313"/>
    </row>
    <row r="5" spans="1:9" ht="45" customHeight="1" x14ac:dyDescent="0.35">
      <c r="A5" s="338">
        <v>1</v>
      </c>
      <c r="B5" s="239" t="s">
        <v>12404</v>
      </c>
      <c r="C5" s="240" t="s">
        <v>792</v>
      </c>
      <c r="D5" s="239" t="s">
        <v>12405</v>
      </c>
      <c r="E5" s="239" t="s">
        <v>12406</v>
      </c>
      <c r="F5" s="239" t="s">
        <v>1149</v>
      </c>
      <c r="G5" s="239" t="s">
        <v>3096</v>
      </c>
      <c r="H5" s="241" t="str">
        <f>HYPERLINK("https://info@visitportoandnorth.travel","info@visitportoandnorth.travel")</f>
        <v>info@visitportoandnorth.travel</v>
      </c>
      <c r="I5" s="239" t="s">
        <v>12407</v>
      </c>
    </row>
    <row r="6" spans="1:9" ht="20" customHeight="1" x14ac:dyDescent="0.35">
      <c r="A6" s="336">
        <v>2</v>
      </c>
      <c r="B6" s="242" t="s">
        <v>12408</v>
      </c>
      <c r="C6" s="243" t="s">
        <v>792</v>
      </c>
      <c r="D6" s="242" t="s">
        <v>12409</v>
      </c>
      <c r="E6" s="242" t="s">
        <v>12410</v>
      </c>
      <c r="F6" s="242" t="s">
        <v>12411</v>
      </c>
      <c r="G6" s="242" t="s">
        <v>3096</v>
      </c>
      <c r="H6" s="242" t="str">
        <f>HYPERLINK("https://visitportoandnorth.travel","visitportoandnorth.travel")</f>
        <v>visitportoandnorth.travel</v>
      </c>
      <c r="I6" s="242" t="s">
        <v>12412</v>
      </c>
    </row>
    <row r="7" spans="1:9" ht="20" customHeight="1" x14ac:dyDescent="0.35">
      <c r="A7" s="338">
        <v>3</v>
      </c>
      <c r="B7" s="239" t="s">
        <v>12413</v>
      </c>
      <c r="C7" s="240" t="s">
        <v>792</v>
      </c>
      <c r="D7" s="239" t="s">
        <v>12414</v>
      </c>
      <c r="E7" s="239" t="s">
        <v>12415</v>
      </c>
      <c r="F7" s="239" t="s">
        <v>3082</v>
      </c>
      <c r="G7" s="239" t="s">
        <v>3096</v>
      </c>
      <c r="H7" s="239" t="str">
        <f>HYPERLINK("https://cooltouroporto.com","cooltouroporto.com")</f>
        <v>cooltouroporto.com</v>
      </c>
      <c r="I7" s="239" t="s">
        <v>12416</v>
      </c>
    </row>
    <row r="8" spans="1:9" ht="20" customHeight="1" x14ac:dyDescent="0.35">
      <c r="A8" s="336">
        <v>4</v>
      </c>
      <c r="B8" s="242" t="s">
        <v>12417</v>
      </c>
      <c r="C8" s="243" t="s">
        <v>792</v>
      </c>
      <c r="D8" s="242" t="s">
        <v>12418</v>
      </c>
      <c r="E8" s="242" t="s">
        <v>12419</v>
      </c>
      <c r="F8" s="242" t="s">
        <v>3082</v>
      </c>
      <c r="G8" s="242" t="s">
        <v>3096</v>
      </c>
      <c r="H8" s="242" t="str">
        <f>HYPERLINK("https://intoursportugal.com","intoursportugal.com")</f>
        <v>intoursportugal.com</v>
      </c>
      <c r="I8" s="242" t="s">
        <v>12420</v>
      </c>
    </row>
    <row r="9" spans="1:9" ht="20" customHeight="1" x14ac:dyDescent="0.35">
      <c r="A9" s="338">
        <v>5</v>
      </c>
      <c r="B9" s="239" t="s">
        <v>12421</v>
      </c>
      <c r="C9" s="240" t="s">
        <v>792</v>
      </c>
      <c r="D9" s="239" t="s">
        <v>12414</v>
      </c>
      <c r="E9" s="239" t="s">
        <v>12422</v>
      </c>
      <c r="F9" s="239" t="s">
        <v>3082</v>
      </c>
      <c r="G9" s="239" t="s">
        <v>3096</v>
      </c>
      <c r="H9" s="239" t="s">
        <v>3096</v>
      </c>
      <c r="I9" s="239" t="s">
        <v>12423</v>
      </c>
    </row>
    <row r="10" spans="1:9" ht="28" x14ac:dyDescent="0.35">
      <c r="A10" s="336">
        <v>6</v>
      </c>
      <c r="B10" s="242" t="s">
        <v>12424</v>
      </c>
      <c r="C10" s="243" t="s">
        <v>792</v>
      </c>
      <c r="D10" s="242" t="s">
        <v>12414</v>
      </c>
      <c r="E10" s="242" t="s">
        <v>12425</v>
      </c>
      <c r="F10" s="242" t="s">
        <v>3082</v>
      </c>
      <c r="G10" s="242" t="s">
        <v>3096</v>
      </c>
      <c r="H10" s="242" t="str">
        <f>HYPERLINK("https://ecolotours.pt","ecolotours.pt")</f>
        <v>ecolotours.pt</v>
      </c>
      <c r="I10" s="242" t="s">
        <v>12426</v>
      </c>
    </row>
    <row r="11" spans="1:9" ht="28" x14ac:dyDescent="0.35">
      <c r="A11" s="338">
        <v>7</v>
      </c>
      <c r="B11" s="239" t="s">
        <v>12427</v>
      </c>
      <c r="C11" s="240" t="s">
        <v>792</v>
      </c>
      <c r="D11" s="239" t="s">
        <v>12428</v>
      </c>
      <c r="E11" s="239" t="s">
        <v>12429</v>
      </c>
      <c r="F11" s="239" t="s">
        <v>3082</v>
      </c>
      <c r="G11" s="239" t="s">
        <v>3096</v>
      </c>
      <c r="H11" s="239" t="str">
        <f>HYPERLINK("https://almaaportugal.com","almaaportugal.com")</f>
        <v>almaaportugal.com</v>
      </c>
      <c r="I11" s="239" t="s">
        <v>12430</v>
      </c>
    </row>
    <row r="12" spans="1:9" ht="20" customHeight="1" x14ac:dyDescent="0.35">
      <c r="A12" s="336">
        <v>8</v>
      </c>
      <c r="B12" s="242" t="s">
        <v>12431</v>
      </c>
      <c r="C12" s="243" t="s">
        <v>792</v>
      </c>
      <c r="D12" s="242" t="s">
        <v>12428</v>
      </c>
      <c r="E12" s="242" t="s">
        <v>12432</v>
      </c>
      <c r="F12" s="242" t="s">
        <v>12433</v>
      </c>
      <c r="G12" s="242" t="s">
        <v>3096</v>
      </c>
      <c r="H12" s="242" t="str">
        <f>HYPERLINK("https://dourohistorico.pt","dourohistorico.pt")</f>
        <v>dourohistorico.pt</v>
      </c>
      <c r="I12" s="242" t="s">
        <v>12434</v>
      </c>
    </row>
    <row r="13" spans="1:9" ht="22" customHeight="1" x14ac:dyDescent="0.35">
      <c r="A13" s="1478" t="s">
        <v>12435</v>
      </c>
      <c r="B13" s="1313"/>
      <c r="C13" s="1313"/>
      <c r="D13" s="1313"/>
      <c r="E13" s="1313"/>
      <c r="F13" s="1313"/>
      <c r="G13" s="1313"/>
      <c r="H13" s="1313"/>
      <c r="I13" s="1313"/>
    </row>
    <row r="14" spans="1:9" ht="20" customHeight="1" x14ac:dyDescent="0.35">
      <c r="A14" s="346">
        <v>1</v>
      </c>
      <c r="B14" s="267" t="s">
        <v>12436</v>
      </c>
      <c r="C14" s="268" t="s">
        <v>853</v>
      </c>
      <c r="D14" s="267" t="s">
        <v>12405</v>
      </c>
      <c r="E14" s="267" t="s">
        <v>12437</v>
      </c>
      <c r="F14" s="267" t="s">
        <v>1412</v>
      </c>
      <c r="G14" s="267" t="s">
        <v>3096</v>
      </c>
      <c r="H14" s="267" t="str">
        <f>HYPERLINK("https://gov.pt","gov.pt")</f>
        <v>gov.pt</v>
      </c>
      <c r="I14" s="267" t="s">
        <v>12438</v>
      </c>
    </row>
    <row r="15" spans="1:9" ht="28" x14ac:dyDescent="0.35">
      <c r="A15" s="362">
        <v>2</v>
      </c>
      <c r="B15" s="270" t="s">
        <v>12439</v>
      </c>
      <c r="C15" s="271" t="s">
        <v>853</v>
      </c>
      <c r="D15" s="270" t="s">
        <v>12409</v>
      </c>
      <c r="E15" s="270" t="s">
        <v>12440</v>
      </c>
      <c r="F15" s="270" t="s">
        <v>1412</v>
      </c>
      <c r="G15" s="270" t="s">
        <v>3096</v>
      </c>
      <c r="H15" s="270" t="str">
        <f>HYPERLINK("https://visitalentejo.pt","visitalentejo.pt")</f>
        <v>visitalentejo.pt</v>
      </c>
      <c r="I15" s="270" t="s">
        <v>12441</v>
      </c>
    </row>
    <row r="16" spans="1:9" ht="28" x14ac:dyDescent="0.35">
      <c r="A16" s="346">
        <v>3</v>
      </c>
      <c r="B16" s="267" t="s">
        <v>12442</v>
      </c>
      <c r="C16" s="268" t="s">
        <v>853</v>
      </c>
      <c r="D16" s="267" t="s">
        <v>12405</v>
      </c>
      <c r="E16" s="267" t="s">
        <v>12443</v>
      </c>
      <c r="F16" s="267" t="s">
        <v>1412</v>
      </c>
      <c r="G16" s="267" t="s">
        <v>3096</v>
      </c>
      <c r="H16" s="267" t="str">
        <f>HYPERLINK("https://un.tourism","un.tourism")</f>
        <v>un.tourism</v>
      </c>
      <c r="I16" s="267" t="s">
        <v>12444</v>
      </c>
    </row>
    <row r="17" spans="1:9" ht="20" customHeight="1" x14ac:dyDescent="0.35">
      <c r="A17" s="362">
        <v>4</v>
      </c>
      <c r="B17" s="270" t="s">
        <v>12445</v>
      </c>
      <c r="C17" s="271" t="s">
        <v>853</v>
      </c>
      <c r="D17" s="270" t="s">
        <v>12446</v>
      </c>
      <c r="E17" s="270" t="s">
        <v>12447</v>
      </c>
      <c r="F17" s="270" t="s">
        <v>2159</v>
      </c>
      <c r="G17" s="270" t="s">
        <v>3096</v>
      </c>
      <c r="H17" s="270" t="s">
        <v>3096</v>
      </c>
      <c r="I17" s="270" t="s">
        <v>12448</v>
      </c>
    </row>
    <row r="18" spans="1:9" ht="20" customHeight="1" x14ac:dyDescent="0.35">
      <c r="A18" s="346">
        <v>5</v>
      </c>
      <c r="B18" s="267" t="s">
        <v>12449</v>
      </c>
      <c r="C18" s="268" t="s">
        <v>853</v>
      </c>
      <c r="D18" s="267" t="s">
        <v>12446</v>
      </c>
      <c r="E18" s="267" t="s">
        <v>12450</v>
      </c>
      <c r="F18" s="267" t="s">
        <v>6422</v>
      </c>
      <c r="G18" s="267" t="s">
        <v>3096</v>
      </c>
      <c r="H18" s="267" t="s">
        <v>3096</v>
      </c>
      <c r="I18" s="267" t="s">
        <v>12451</v>
      </c>
    </row>
    <row r="19" spans="1:9" ht="20" customHeight="1" x14ac:dyDescent="0.35">
      <c r="A19" s="362">
        <v>6</v>
      </c>
      <c r="B19" s="270" t="s">
        <v>12452</v>
      </c>
      <c r="C19" s="271" t="s">
        <v>853</v>
      </c>
      <c r="D19" s="270" t="s">
        <v>12414</v>
      </c>
      <c r="E19" s="270" t="s">
        <v>12453</v>
      </c>
      <c r="F19" s="270" t="s">
        <v>7458</v>
      </c>
      <c r="G19" s="270" t="s">
        <v>3096</v>
      </c>
      <c r="H19" s="270" t="s">
        <v>3096</v>
      </c>
      <c r="I19" s="270" t="s">
        <v>12454</v>
      </c>
    </row>
    <row r="20" spans="1:9" ht="20" customHeight="1" x14ac:dyDescent="0.35">
      <c r="A20" s="346">
        <v>7</v>
      </c>
      <c r="B20" s="267" t="s">
        <v>12455</v>
      </c>
      <c r="C20" s="268" t="s">
        <v>853</v>
      </c>
      <c r="D20" s="267" t="s">
        <v>12428</v>
      </c>
      <c r="E20" s="267" t="s">
        <v>12456</v>
      </c>
      <c r="F20" s="267" t="s">
        <v>1233</v>
      </c>
      <c r="G20" s="267" t="s">
        <v>3096</v>
      </c>
      <c r="H20" s="267" t="s">
        <v>3096</v>
      </c>
      <c r="I20" s="267" t="s">
        <v>12457</v>
      </c>
    </row>
    <row r="21" spans="1:9" ht="20" customHeight="1" x14ac:dyDescent="0.35">
      <c r="A21" s="362">
        <v>8</v>
      </c>
      <c r="B21" s="270" t="s">
        <v>12458</v>
      </c>
      <c r="C21" s="271" t="s">
        <v>853</v>
      </c>
      <c r="D21" s="270" t="s">
        <v>12428</v>
      </c>
      <c r="E21" s="270" t="s">
        <v>12459</v>
      </c>
      <c r="F21" s="270" t="s">
        <v>1233</v>
      </c>
      <c r="G21" s="270" t="s">
        <v>3096</v>
      </c>
      <c r="H21" s="270" t="s">
        <v>3096</v>
      </c>
      <c r="I21" s="270" t="s">
        <v>12460</v>
      </c>
    </row>
    <row r="22" spans="1:9" ht="20" customHeight="1" x14ac:dyDescent="0.35">
      <c r="A22" s="346">
        <v>9</v>
      </c>
      <c r="B22" s="267" t="s">
        <v>12461</v>
      </c>
      <c r="C22" s="268" t="s">
        <v>853</v>
      </c>
      <c r="D22" s="267" t="s">
        <v>12414</v>
      </c>
      <c r="E22" s="267" t="s">
        <v>12462</v>
      </c>
      <c r="F22" s="267" t="s">
        <v>12463</v>
      </c>
      <c r="G22" s="267" t="s">
        <v>3096</v>
      </c>
      <c r="H22" s="267" t="str">
        <f>HYPERLINK("https://visitalentejo.pt/atividades","visitalentejo.pt/atividades")</f>
        <v>visitalentejo.pt/atividades</v>
      </c>
      <c r="I22" s="267" t="s">
        <v>12464</v>
      </c>
    </row>
    <row r="23" spans="1:9" ht="20" customHeight="1" x14ac:dyDescent="0.35">
      <c r="A23" s="362">
        <v>10</v>
      </c>
      <c r="B23" s="270" t="s">
        <v>12465</v>
      </c>
      <c r="C23" s="271" t="s">
        <v>853</v>
      </c>
      <c r="D23" s="270" t="s">
        <v>12414</v>
      </c>
      <c r="E23" s="270" t="s">
        <v>12466</v>
      </c>
      <c r="F23" s="270" t="s">
        <v>12463</v>
      </c>
      <c r="G23" s="270" t="s">
        <v>3096</v>
      </c>
      <c r="H23" s="270" t="str">
        <f>HYPERLINK("https://visitalentejo.pt","visitalentejo.pt")</f>
        <v>visitalentejo.pt</v>
      </c>
      <c r="I23" s="270" t="s">
        <v>12467</v>
      </c>
    </row>
    <row r="24" spans="1:9" ht="22" customHeight="1" x14ac:dyDescent="0.35">
      <c r="A24" s="1477" t="s">
        <v>12468</v>
      </c>
      <c r="B24" s="1313"/>
      <c r="C24" s="1313"/>
      <c r="D24" s="1313"/>
      <c r="E24" s="1313"/>
      <c r="F24" s="1313"/>
      <c r="G24" s="1313"/>
      <c r="H24" s="1313"/>
      <c r="I24" s="1313"/>
    </row>
    <row r="25" spans="1:9" ht="20" customHeight="1" x14ac:dyDescent="0.35">
      <c r="A25" s="348">
        <v>1</v>
      </c>
      <c r="B25" s="273" t="s">
        <v>12469</v>
      </c>
      <c r="C25" s="274" t="s">
        <v>767</v>
      </c>
      <c r="D25" s="273" t="s">
        <v>12405</v>
      </c>
      <c r="E25" s="273" t="s">
        <v>12470</v>
      </c>
      <c r="F25" s="273" t="s">
        <v>5761</v>
      </c>
      <c r="G25" s="273" t="s">
        <v>3096</v>
      </c>
      <c r="H25" s="273" t="str">
        <f>HYPERLINK("https://visitalgarve.pt","visitalgarve.pt")</f>
        <v>visitalgarve.pt</v>
      </c>
      <c r="I25" s="273" t="s">
        <v>12471</v>
      </c>
    </row>
    <row r="26" spans="1:9" ht="20" customHeight="1" x14ac:dyDescent="0.35">
      <c r="A26" s="354">
        <v>2</v>
      </c>
      <c r="B26" s="277" t="s">
        <v>12472</v>
      </c>
      <c r="C26" s="278" t="s">
        <v>767</v>
      </c>
      <c r="D26" s="277" t="s">
        <v>12409</v>
      </c>
      <c r="E26" s="277" t="s">
        <v>12473</v>
      </c>
      <c r="F26" s="277" t="s">
        <v>5761</v>
      </c>
      <c r="G26" s="277" t="s">
        <v>3096</v>
      </c>
      <c r="H26" s="277" t="str">
        <f>HYPERLINK("https://visitalgarve.pt","visitalgarve.pt")</f>
        <v>visitalgarve.pt</v>
      </c>
      <c r="I26" s="277" t="s">
        <v>12474</v>
      </c>
    </row>
    <row r="27" spans="1:9" ht="20" customHeight="1" x14ac:dyDescent="0.35">
      <c r="A27" s="348">
        <v>3</v>
      </c>
      <c r="B27" s="273" t="s">
        <v>12475</v>
      </c>
      <c r="C27" s="274" t="s">
        <v>767</v>
      </c>
      <c r="D27" s="273" t="s">
        <v>12409</v>
      </c>
      <c r="E27" s="273" t="s">
        <v>12476</v>
      </c>
      <c r="F27" s="273" t="s">
        <v>767</v>
      </c>
      <c r="G27" s="273" t="s">
        <v>3096</v>
      </c>
      <c r="H27" s="273" t="str">
        <f>HYPERLINK("https://ahisa.pt","ahisa.pt")</f>
        <v>ahisa.pt</v>
      </c>
      <c r="I27" s="273" t="s">
        <v>12477</v>
      </c>
    </row>
    <row r="28" spans="1:9" ht="20" customHeight="1" x14ac:dyDescent="0.35">
      <c r="A28" s="354">
        <v>4</v>
      </c>
      <c r="B28" s="277" t="s">
        <v>12478</v>
      </c>
      <c r="C28" s="278" t="s">
        <v>767</v>
      </c>
      <c r="D28" s="277" t="s">
        <v>12409</v>
      </c>
      <c r="E28" s="277" t="s">
        <v>12479</v>
      </c>
      <c r="F28" s="277" t="s">
        <v>12480</v>
      </c>
      <c r="G28" s="277" t="s">
        <v>3096</v>
      </c>
      <c r="H28" s="277" t="str">
        <f>HYPERLINK("https://apavt.pt","apavt.pt")</f>
        <v>apavt.pt</v>
      </c>
      <c r="I28" s="277" t="s">
        <v>12481</v>
      </c>
    </row>
    <row r="29" spans="1:9" ht="20" customHeight="1" x14ac:dyDescent="0.35">
      <c r="A29" s="348">
        <v>5</v>
      </c>
      <c r="B29" s="273" t="s">
        <v>12482</v>
      </c>
      <c r="C29" s="274" t="s">
        <v>767</v>
      </c>
      <c r="D29" s="273" t="s">
        <v>12446</v>
      </c>
      <c r="E29" s="273" t="s">
        <v>12483</v>
      </c>
      <c r="F29" s="273" t="s">
        <v>5761</v>
      </c>
      <c r="G29" s="273" t="s">
        <v>3096</v>
      </c>
      <c r="H29" s="273" t="s">
        <v>3096</v>
      </c>
      <c r="I29" s="273" t="s">
        <v>12484</v>
      </c>
    </row>
    <row r="30" spans="1:9" ht="20" customHeight="1" x14ac:dyDescent="0.35">
      <c r="A30" s="354">
        <v>6</v>
      </c>
      <c r="B30" s="277" t="s">
        <v>12485</v>
      </c>
      <c r="C30" s="278" t="s">
        <v>767</v>
      </c>
      <c r="D30" s="277" t="s">
        <v>12446</v>
      </c>
      <c r="E30" s="277" t="s">
        <v>12486</v>
      </c>
      <c r="F30" s="277" t="s">
        <v>2205</v>
      </c>
      <c r="G30" s="277" t="s">
        <v>3096</v>
      </c>
      <c r="H30" s="277" t="str">
        <f>HYPERLINK("https://rickytravel.pt","rickytravel.pt")</f>
        <v>rickytravel.pt</v>
      </c>
      <c r="I30" s="277" t="s">
        <v>12487</v>
      </c>
    </row>
    <row r="31" spans="1:9" ht="20" customHeight="1" x14ac:dyDescent="0.35">
      <c r="A31" s="348">
        <v>7</v>
      </c>
      <c r="B31" s="273" t="s">
        <v>12488</v>
      </c>
      <c r="C31" s="274" t="s">
        <v>767</v>
      </c>
      <c r="D31" s="273" t="s">
        <v>12414</v>
      </c>
      <c r="E31" s="273" t="s">
        <v>12489</v>
      </c>
      <c r="F31" s="273" t="s">
        <v>2186</v>
      </c>
      <c r="G31" s="273" t="s">
        <v>3096</v>
      </c>
      <c r="H31" s="273" t="s">
        <v>3096</v>
      </c>
      <c r="I31" s="273" t="s">
        <v>12490</v>
      </c>
    </row>
    <row r="32" spans="1:9" ht="20" customHeight="1" x14ac:dyDescent="0.35">
      <c r="A32" s="354">
        <v>8</v>
      </c>
      <c r="B32" s="277" t="s">
        <v>12491</v>
      </c>
      <c r="C32" s="278" t="s">
        <v>767</v>
      </c>
      <c r="D32" s="277" t="s">
        <v>12446</v>
      </c>
      <c r="E32" s="277" t="s">
        <v>12492</v>
      </c>
      <c r="F32" s="277" t="s">
        <v>2186</v>
      </c>
      <c r="G32" s="277" t="s">
        <v>3096</v>
      </c>
      <c r="H32" s="277" t="str">
        <f>HYPERLINK("https://clubalgarve.com","clubalgarve.com")</f>
        <v>clubalgarve.com</v>
      </c>
      <c r="I32" s="277" t="s">
        <v>12493</v>
      </c>
    </row>
    <row r="33" spans="1:9" ht="20" customHeight="1" x14ac:dyDescent="0.35">
      <c r="A33" s="348">
        <v>9</v>
      </c>
      <c r="B33" s="273" t="s">
        <v>12494</v>
      </c>
      <c r="C33" s="274" t="s">
        <v>767</v>
      </c>
      <c r="D33" s="273" t="s">
        <v>12446</v>
      </c>
      <c r="E33" s="273" t="s">
        <v>12495</v>
      </c>
      <c r="F33" s="273" t="s">
        <v>2186</v>
      </c>
      <c r="G33" s="273" t="s">
        <v>3096</v>
      </c>
      <c r="H33" s="273" t="str">
        <f>HYPERLINK("https://asalgarve.pt","asalgarve.pt")</f>
        <v>asalgarve.pt</v>
      </c>
      <c r="I33" s="273" t="s">
        <v>12496</v>
      </c>
    </row>
    <row r="34" spans="1:9" ht="20" customHeight="1" x14ac:dyDescent="0.35">
      <c r="A34" s="354">
        <v>10</v>
      </c>
      <c r="B34" s="277" t="s">
        <v>12497</v>
      </c>
      <c r="C34" s="278" t="s">
        <v>767</v>
      </c>
      <c r="D34" s="277" t="s">
        <v>12418</v>
      </c>
      <c r="E34" s="277" t="s">
        <v>12498</v>
      </c>
      <c r="F34" s="277" t="s">
        <v>767</v>
      </c>
      <c r="G34" s="277" t="s">
        <v>3096</v>
      </c>
      <c r="H34" s="277" t="str">
        <f>HYPERLINK("https://atravel.pt","atravel.pt")</f>
        <v>atravel.pt</v>
      </c>
      <c r="I34" s="277" t="s">
        <v>12499</v>
      </c>
    </row>
    <row r="35" spans="1:9" ht="20" customHeight="1" x14ac:dyDescent="0.35">
      <c r="A35" s="348">
        <v>11</v>
      </c>
      <c r="B35" s="273" t="s">
        <v>12500</v>
      </c>
      <c r="C35" s="274" t="s">
        <v>767</v>
      </c>
      <c r="D35" s="273" t="s">
        <v>12446</v>
      </c>
      <c r="E35" s="273" t="s">
        <v>12501</v>
      </c>
      <c r="F35" s="273" t="s">
        <v>12502</v>
      </c>
      <c r="G35" s="273" t="s">
        <v>3096</v>
      </c>
      <c r="H35" s="273" t="str">
        <f>HYPERLINK("https://elcorteingles.pt","elcorteingles.pt")</f>
        <v>elcorteingles.pt</v>
      </c>
      <c r="I35" s="273" t="s">
        <v>12503</v>
      </c>
    </row>
    <row r="36" spans="1:9" ht="20" customHeight="1" x14ac:dyDescent="0.35">
      <c r="A36" s="354">
        <v>12</v>
      </c>
      <c r="B36" s="277" t="s">
        <v>12504</v>
      </c>
      <c r="C36" s="278" t="s">
        <v>767</v>
      </c>
      <c r="D36" s="277" t="s">
        <v>12428</v>
      </c>
      <c r="E36" s="277" t="s">
        <v>12505</v>
      </c>
      <c r="F36" s="277" t="s">
        <v>2186</v>
      </c>
      <c r="G36" s="277" t="s">
        <v>3096</v>
      </c>
      <c r="H36" s="277" t="str">
        <f>HYPERLINK("https://algarve-moments.com","algarve-moments.com")</f>
        <v>algarve-moments.com</v>
      </c>
      <c r="I36" s="277" t="s">
        <v>12506</v>
      </c>
    </row>
    <row r="37" spans="1:9" ht="20" customHeight="1" x14ac:dyDescent="0.35">
      <c r="A37" s="348">
        <v>13</v>
      </c>
      <c r="B37" s="273" t="s">
        <v>12507</v>
      </c>
      <c r="C37" s="274" t="s">
        <v>767</v>
      </c>
      <c r="D37" s="273" t="s">
        <v>12428</v>
      </c>
      <c r="E37" s="273" t="s">
        <v>12508</v>
      </c>
      <c r="F37" s="273" t="s">
        <v>767</v>
      </c>
      <c r="G37" s="273" t="s">
        <v>3096</v>
      </c>
      <c r="H37" s="273" t="str">
        <f>HYPERLINK("https://extremosul.pt","extremosul.pt")</f>
        <v>extremosul.pt</v>
      </c>
      <c r="I37" s="273" t="s">
        <v>12509</v>
      </c>
    </row>
    <row r="38" spans="1:9" ht="20" customHeight="1" x14ac:dyDescent="0.35">
      <c r="A38" s="354">
        <v>14</v>
      </c>
      <c r="B38" s="277" t="s">
        <v>12510</v>
      </c>
      <c r="C38" s="278" t="s">
        <v>767</v>
      </c>
      <c r="D38" s="277" t="s">
        <v>12414</v>
      </c>
      <c r="E38" s="277" t="s">
        <v>12511</v>
      </c>
      <c r="F38" s="277" t="s">
        <v>767</v>
      </c>
      <c r="G38" s="277" t="s">
        <v>3096</v>
      </c>
      <c r="H38" s="277" t="s">
        <v>3096</v>
      </c>
      <c r="I38" s="277" t="s">
        <v>12512</v>
      </c>
    </row>
    <row r="39" spans="1:9" ht="20" customHeight="1" x14ac:dyDescent="0.35">
      <c r="A39" s="348">
        <v>15</v>
      </c>
      <c r="B39" s="273" t="s">
        <v>12513</v>
      </c>
      <c r="C39" s="274" t="s">
        <v>767</v>
      </c>
      <c r="D39" s="273" t="s">
        <v>12428</v>
      </c>
      <c r="E39" s="273" t="s">
        <v>12514</v>
      </c>
      <c r="F39" s="273" t="s">
        <v>767</v>
      </c>
      <c r="G39" s="273" t="s">
        <v>3096</v>
      </c>
      <c r="H39" s="273" t="str">
        <f>HYPERLINK("https://iberianescapes.com","iberianescapes.com")</f>
        <v>iberianescapes.com</v>
      </c>
      <c r="I39" s="273" t="s">
        <v>12515</v>
      </c>
    </row>
    <row r="40" spans="1:9" ht="20" customHeight="1" x14ac:dyDescent="0.35">
      <c r="A40" s="354">
        <v>16</v>
      </c>
      <c r="B40" s="277" t="s">
        <v>12516</v>
      </c>
      <c r="C40" s="278" t="s">
        <v>767</v>
      </c>
      <c r="D40" s="277" t="s">
        <v>12414</v>
      </c>
      <c r="E40" s="277" t="s">
        <v>12517</v>
      </c>
      <c r="F40" s="277" t="s">
        <v>5761</v>
      </c>
      <c r="G40" s="277" t="s">
        <v>3096</v>
      </c>
      <c r="H40" s="277" t="str">
        <f>HYPERLINK("https://rotatur.pt","rotatur.pt")</f>
        <v>rotatur.pt</v>
      </c>
      <c r="I40" s="277" t="s">
        <v>12518</v>
      </c>
    </row>
    <row r="41" spans="1:9" ht="20" customHeight="1" x14ac:dyDescent="0.35">
      <c r="A41" s="348">
        <v>17</v>
      </c>
      <c r="B41" s="273" t="s">
        <v>12519</v>
      </c>
      <c r="C41" s="274" t="s">
        <v>767</v>
      </c>
      <c r="D41" s="273" t="s">
        <v>12414</v>
      </c>
      <c r="E41" s="273" t="s">
        <v>12520</v>
      </c>
      <c r="F41" s="273" t="s">
        <v>6469</v>
      </c>
      <c r="G41" s="273" t="s">
        <v>3096</v>
      </c>
      <c r="H41" s="273" t="s">
        <v>3096</v>
      </c>
      <c r="I41" s="273" t="s">
        <v>12521</v>
      </c>
    </row>
    <row r="42" spans="1:9" ht="22" customHeight="1" x14ac:dyDescent="0.35">
      <c r="A42" s="1369" t="s">
        <v>7112</v>
      </c>
      <c r="B42" s="1313"/>
      <c r="C42" s="1313"/>
      <c r="D42" s="1313"/>
      <c r="E42" s="1313"/>
      <c r="F42" s="1313"/>
      <c r="G42" s="1313"/>
      <c r="H42" s="1313"/>
      <c r="I42" s="1313"/>
    </row>
    <row r="43" spans="1:9" ht="20" customHeight="1" x14ac:dyDescent="0.35">
      <c r="A43" s="344">
        <v>1</v>
      </c>
      <c r="B43" s="281" t="s">
        <v>12522</v>
      </c>
      <c r="C43" s="282" t="s">
        <v>522</v>
      </c>
      <c r="D43" s="281" t="s">
        <v>12405</v>
      </c>
      <c r="E43" s="281" t="s">
        <v>12523</v>
      </c>
      <c r="F43" s="281" t="s">
        <v>1086</v>
      </c>
      <c r="G43" s="281" t="s">
        <v>3096</v>
      </c>
      <c r="H43" s="281" t="str">
        <f>HYPERLINK("https://visitazores.com","visitazores.com")</f>
        <v>visitazores.com</v>
      </c>
      <c r="I43" s="281" t="s">
        <v>12524</v>
      </c>
    </row>
    <row r="44" spans="1:9" ht="20" customHeight="1" x14ac:dyDescent="0.35">
      <c r="A44" s="342">
        <v>2</v>
      </c>
      <c r="B44" s="284" t="s">
        <v>12525</v>
      </c>
      <c r="C44" s="367" t="s">
        <v>522</v>
      </c>
      <c r="D44" s="284" t="s">
        <v>12405</v>
      </c>
      <c r="E44" s="284" t="s">
        <v>12526</v>
      </c>
      <c r="F44" s="284" t="s">
        <v>1086</v>
      </c>
      <c r="G44" s="284" t="s">
        <v>3096</v>
      </c>
      <c r="H44" s="284" t="str">
        <f>HYPERLINK("https://azores.gov.pt","azores.gov.pt")</f>
        <v>azores.gov.pt</v>
      </c>
      <c r="I44" s="284" t="s">
        <v>12527</v>
      </c>
    </row>
    <row r="45" spans="1:9" ht="20" customHeight="1" x14ac:dyDescent="0.35">
      <c r="A45" s="344">
        <v>3</v>
      </c>
      <c r="B45" s="281" t="s">
        <v>12528</v>
      </c>
      <c r="C45" s="282" t="s">
        <v>522</v>
      </c>
      <c r="D45" s="281" t="s">
        <v>12446</v>
      </c>
      <c r="E45" s="281" t="s">
        <v>12529</v>
      </c>
      <c r="F45" s="281" t="s">
        <v>12530</v>
      </c>
      <c r="G45" s="281" t="s">
        <v>3096</v>
      </c>
      <c r="H45" s="281" t="str">
        <f>HYPERLINK("https://melotravel.com","melotravel.com")</f>
        <v>melotravel.com</v>
      </c>
      <c r="I45" s="281" t="s">
        <v>12531</v>
      </c>
    </row>
    <row r="46" spans="1:9" ht="20" customHeight="1" x14ac:dyDescent="0.35">
      <c r="A46" s="342">
        <v>4</v>
      </c>
      <c r="B46" s="284" t="s">
        <v>6614</v>
      </c>
      <c r="C46" s="367" t="s">
        <v>522</v>
      </c>
      <c r="D46" s="284" t="s">
        <v>12428</v>
      </c>
      <c r="E46" s="284" t="s">
        <v>12532</v>
      </c>
      <c r="F46" s="284" t="s">
        <v>1086</v>
      </c>
      <c r="G46" s="284" t="s">
        <v>3096</v>
      </c>
      <c r="H46" s="284" t="str">
        <f>HYPERLINK("https://picosdeaventura.com","picosdeaventura.com")</f>
        <v>picosdeaventura.com</v>
      </c>
      <c r="I46" s="284" t="s">
        <v>12533</v>
      </c>
    </row>
    <row r="47" spans="1:9" ht="20" customHeight="1" x14ac:dyDescent="0.35">
      <c r="A47" s="344">
        <v>5</v>
      </c>
      <c r="B47" s="281" t="s">
        <v>12534</v>
      </c>
      <c r="C47" s="282" t="s">
        <v>522</v>
      </c>
      <c r="D47" s="281" t="s">
        <v>12414</v>
      </c>
      <c r="E47" s="281" t="s">
        <v>12535</v>
      </c>
      <c r="F47" s="281" t="s">
        <v>12536</v>
      </c>
      <c r="G47" s="281" t="s">
        <v>3096</v>
      </c>
      <c r="H47" s="281" t="str">
        <f>HYPERLINK("https://ilhaverde.com","ilhaverde.com")</f>
        <v>ilhaverde.com</v>
      </c>
      <c r="I47" s="281" t="s">
        <v>12537</v>
      </c>
    </row>
    <row r="48" spans="1:9" ht="20" customHeight="1" x14ac:dyDescent="0.35">
      <c r="A48" s="342">
        <v>6</v>
      </c>
      <c r="B48" s="284" t="s">
        <v>12538</v>
      </c>
      <c r="C48" s="367" t="s">
        <v>522</v>
      </c>
      <c r="D48" s="284" t="s">
        <v>12428</v>
      </c>
      <c r="E48" s="284" t="s">
        <v>12539</v>
      </c>
      <c r="F48" s="284" t="s">
        <v>1086</v>
      </c>
      <c r="G48" s="284" t="s">
        <v>3096</v>
      </c>
      <c r="H48" s="284" t="str">
        <f>HYPERLINK("https://futurismo.pt","futurismo.pt")</f>
        <v>futurismo.pt</v>
      </c>
      <c r="I48" s="284" t="s">
        <v>12540</v>
      </c>
    </row>
    <row r="49" spans="1:9" ht="20" customHeight="1" x14ac:dyDescent="0.35">
      <c r="A49" s="344">
        <v>7</v>
      </c>
      <c r="B49" s="281" t="s">
        <v>6678</v>
      </c>
      <c r="C49" s="282" t="s">
        <v>522</v>
      </c>
      <c r="D49" s="281" t="s">
        <v>12428</v>
      </c>
      <c r="E49" s="281" t="s">
        <v>12541</v>
      </c>
      <c r="F49" s="281" t="s">
        <v>12542</v>
      </c>
      <c r="G49" s="281" t="s">
        <v>3096</v>
      </c>
      <c r="H49" s="281" t="str">
        <f>HYPERLINK("https://espacotalassa.com","espacotalassa.com")</f>
        <v>espacotalassa.com</v>
      </c>
      <c r="I49" s="281" t="s">
        <v>12543</v>
      </c>
    </row>
    <row r="50" spans="1:9" ht="20" customHeight="1" x14ac:dyDescent="0.35">
      <c r="A50" s="342">
        <v>8</v>
      </c>
      <c r="B50" s="284" t="s">
        <v>12544</v>
      </c>
      <c r="C50" s="367" t="s">
        <v>522</v>
      </c>
      <c r="D50" s="284" t="s">
        <v>12428</v>
      </c>
      <c r="E50" s="284" t="s">
        <v>12541</v>
      </c>
      <c r="F50" s="284" t="s">
        <v>12545</v>
      </c>
      <c r="G50" s="284" t="s">
        <v>3096</v>
      </c>
      <c r="H50" s="284" t="str">
        <f>HYPERLINK("https://norberto-azores.com","norberto-azores.com")</f>
        <v>norberto-azores.com</v>
      </c>
      <c r="I50" s="284" t="s">
        <v>12546</v>
      </c>
    </row>
    <row r="51" spans="1:9" ht="20" customHeight="1" x14ac:dyDescent="0.35">
      <c r="A51" s="344">
        <v>9</v>
      </c>
      <c r="B51" s="281" t="s">
        <v>12547</v>
      </c>
      <c r="C51" s="282" t="s">
        <v>522</v>
      </c>
      <c r="D51" s="281" t="s">
        <v>12428</v>
      </c>
      <c r="E51" s="281" t="s">
        <v>12548</v>
      </c>
      <c r="F51" s="281" t="s">
        <v>2828</v>
      </c>
      <c r="G51" s="281" t="s">
        <v>3096</v>
      </c>
      <c r="H51" s="281" t="str">
        <f>HYPERLINK("https://picomeup.com","picomeup.com")</f>
        <v>picomeup.com</v>
      </c>
      <c r="I51" s="281" t="s">
        <v>12549</v>
      </c>
    </row>
    <row r="52" spans="1:9" ht="20" customHeight="1" x14ac:dyDescent="0.35">
      <c r="A52" s="342">
        <v>10</v>
      </c>
      <c r="B52" s="284" t="s">
        <v>6041</v>
      </c>
      <c r="C52" s="367" t="s">
        <v>522</v>
      </c>
      <c r="D52" s="284" t="s">
        <v>12428</v>
      </c>
      <c r="E52" s="284" t="s">
        <v>12550</v>
      </c>
      <c r="F52" s="284" t="s">
        <v>2828</v>
      </c>
      <c r="G52" s="284" t="s">
        <v>3096</v>
      </c>
      <c r="H52" s="284" t="str">
        <f>HYPERLINK("https://montanhadopico.com","montanhadopico.com")</f>
        <v>montanhadopico.com</v>
      </c>
      <c r="I52" s="284" t="s">
        <v>12551</v>
      </c>
    </row>
    <row r="53" spans="1:9" ht="20" customHeight="1" x14ac:dyDescent="0.35">
      <c r="A53" s="344">
        <v>11</v>
      </c>
      <c r="B53" s="281" t="s">
        <v>12552</v>
      </c>
      <c r="C53" s="282" t="s">
        <v>522</v>
      </c>
      <c r="D53" s="281" t="s">
        <v>12428</v>
      </c>
      <c r="E53" s="281" t="s">
        <v>12553</v>
      </c>
      <c r="F53" s="281" t="s">
        <v>12554</v>
      </c>
      <c r="G53" s="281" t="s">
        <v>3096</v>
      </c>
      <c r="H53" s="281" t="str">
        <f>HYPERLINK("https://azoresadventureislands.com","azoresadventureislands.com")</f>
        <v>azoresadventureislands.com</v>
      </c>
      <c r="I53" s="281" t="s">
        <v>12555</v>
      </c>
    </row>
    <row r="54" spans="1:9" ht="20" customHeight="1" x14ac:dyDescent="0.35">
      <c r="A54" s="342">
        <v>12</v>
      </c>
      <c r="B54" s="284" t="s">
        <v>12556</v>
      </c>
      <c r="C54" s="367" t="s">
        <v>522</v>
      </c>
      <c r="D54" s="284" t="s">
        <v>12428</v>
      </c>
      <c r="E54" s="284" t="s">
        <v>12557</v>
      </c>
      <c r="F54" s="284" t="s">
        <v>2815</v>
      </c>
      <c r="G54" s="284" t="s">
        <v>3096</v>
      </c>
      <c r="H54" s="284" t="str">
        <f>HYPERLINK("https://funactivities.com","funactivities.com")</f>
        <v>funactivities.com</v>
      </c>
      <c r="I54" s="284" t="s">
        <v>12558</v>
      </c>
    </row>
    <row r="55" spans="1:9" ht="22" customHeight="1" x14ac:dyDescent="0.35">
      <c r="A55" s="1370" t="s">
        <v>12559</v>
      </c>
      <c r="B55" s="1313"/>
      <c r="C55" s="1313"/>
      <c r="D55" s="1313"/>
      <c r="E55" s="1313"/>
      <c r="F55" s="1313"/>
      <c r="G55" s="1313"/>
      <c r="H55" s="1313"/>
      <c r="I55" s="1313"/>
    </row>
    <row r="56" spans="1:9" ht="20" customHeight="1" x14ac:dyDescent="0.35">
      <c r="A56" s="350">
        <v>1</v>
      </c>
      <c r="B56" s="251" t="s">
        <v>12560</v>
      </c>
      <c r="C56" s="252" t="s">
        <v>524</v>
      </c>
      <c r="D56" s="251" t="s">
        <v>12405</v>
      </c>
      <c r="E56" s="251" t="s">
        <v>12561</v>
      </c>
      <c r="F56" s="251" t="s">
        <v>2219</v>
      </c>
      <c r="G56" s="251" t="s">
        <v>3096</v>
      </c>
      <c r="H56" s="251" t="str">
        <f>HYPERLINK("https://visitmadeira.com","visitmadeira.com")</f>
        <v>visitmadeira.com</v>
      </c>
      <c r="I56" s="251" t="s">
        <v>12562</v>
      </c>
    </row>
    <row r="57" spans="1:9" ht="20" customHeight="1" x14ac:dyDescent="0.35">
      <c r="A57" s="356">
        <v>2</v>
      </c>
      <c r="B57" s="254" t="s">
        <v>12563</v>
      </c>
      <c r="C57" s="255" t="s">
        <v>524</v>
      </c>
      <c r="D57" s="254" t="s">
        <v>12409</v>
      </c>
      <c r="E57" s="254" t="s">
        <v>12564</v>
      </c>
      <c r="F57" s="254" t="s">
        <v>2219</v>
      </c>
      <c r="G57" s="254" t="s">
        <v>3096</v>
      </c>
      <c r="H57" s="254" t="str">
        <f>HYPERLINK("https://visitmadeira.com","visitmadeira.com")</f>
        <v>visitmadeira.com</v>
      </c>
      <c r="I57" s="254" t="s">
        <v>12565</v>
      </c>
    </row>
    <row r="58" spans="1:9" ht="20" customHeight="1" x14ac:dyDescent="0.35">
      <c r="A58" s="350">
        <v>3</v>
      </c>
      <c r="B58" s="251" t="s">
        <v>12566</v>
      </c>
      <c r="C58" s="252" t="s">
        <v>524</v>
      </c>
      <c r="D58" s="251" t="s">
        <v>12567</v>
      </c>
      <c r="E58" s="251" t="s">
        <v>12568</v>
      </c>
      <c r="F58" s="251" t="s">
        <v>524</v>
      </c>
      <c r="G58" s="251" t="s">
        <v>3096</v>
      </c>
      <c r="H58" s="251" t="str">
        <f>HYPERLINK("https://visitmadeira.com","visitmadeira.com")</f>
        <v>visitmadeira.com</v>
      </c>
      <c r="I58" s="251" t="s">
        <v>12569</v>
      </c>
    </row>
    <row r="59" spans="1:9" ht="20" customHeight="1" x14ac:dyDescent="0.35">
      <c r="A59" s="356">
        <v>4</v>
      </c>
      <c r="B59" s="254" t="s">
        <v>12570</v>
      </c>
      <c r="C59" s="255" t="s">
        <v>524</v>
      </c>
      <c r="D59" s="254" t="s">
        <v>12446</v>
      </c>
      <c r="E59" s="254" t="s">
        <v>12571</v>
      </c>
      <c r="F59" s="254" t="s">
        <v>2219</v>
      </c>
      <c r="G59" s="254" t="s">
        <v>3096</v>
      </c>
      <c r="H59" s="254" t="s">
        <v>3096</v>
      </c>
      <c r="I59" s="254" t="s">
        <v>12572</v>
      </c>
    </row>
    <row r="60" spans="1:9" ht="20" customHeight="1" x14ac:dyDescent="0.35">
      <c r="A60" s="350">
        <v>5</v>
      </c>
      <c r="B60" s="251" t="s">
        <v>12573</v>
      </c>
      <c r="C60" s="252" t="s">
        <v>524</v>
      </c>
      <c r="D60" s="251" t="s">
        <v>12418</v>
      </c>
      <c r="E60" s="251" t="s">
        <v>12574</v>
      </c>
      <c r="F60" s="251" t="s">
        <v>2219</v>
      </c>
      <c r="G60" s="251" t="s">
        <v>3096</v>
      </c>
      <c r="H60" s="251" t="s">
        <v>3096</v>
      </c>
      <c r="I60" s="251" t="s">
        <v>12575</v>
      </c>
    </row>
    <row r="61" spans="1:9" ht="20" customHeight="1" x14ac:dyDescent="0.35">
      <c r="A61" s="356">
        <v>6</v>
      </c>
      <c r="B61" s="254" t="s">
        <v>12576</v>
      </c>
      <c r="C61" s="255" t="s">
        <v>524</v>
      </c>
      <c r="D61" s="254" t="s">
        <v>12418</v>
      </c>
      <c r="E61" s="254" t="s">
        <v>12577</v>
      </c>
      <c r="F61" s="254" t="s">
        <v>2219</v>
      </c>
      <c r="G61" s="254" t="s">
        <v>3096</v>
      </c>
      <c r="H61" s="254" t="str">
        <f>HYPERLINK("https://andretours.com","andretours.com")</f>
        <v>andretours.com</v>
      </c>
      <c r="I61" s="254" t="s">
        <v>12578</v>
      </c>
    </row>
    <row r="62" spans="1:9" ht="20" customHeight="1" x14ac:dyDescent="0.35">
      <c r="A62" s="350">
        <v>7</v>
      </c>
      <c r="B62" s="251" t="s">
        <v>12579</v>
      </c>
      <c r="C62" s="252" t="s">
        <v>524</v>
      </c>
      <c r="D62" s="251" t="s">
        <v>12446</v>
      </c>
      <c r="E62" s="251" t="s">
        <v>12580</v>
      </c>
      <c r="F62" s="251" t="s">
        <v>524</v>
      </c>
      <c r="G62" s="251" t="s">
        <v>3096</v>
      </c>
      <c r="H62" s="251" t="str">
        <f>HYPERLINK("https://visitmadeira.com","visitmadeira.com")</f>
        <v>visitmadeira.com</v>
      </c>
      <c r="I62" s="251" t="s">
        <v>12581</v>
      </c>
    </row>
    <row r="63" spans="1:9" ht="20" customHeight="1" x14ac:dyDescent="0.35">
      <c r="A63" s="356">
        <v>8</v>
      </c>
      <c r="B63" s="254" t="s">
        <v>12582</v>
      </c>
      <c r="C63" s="255" t="s">
        <v>524</v>
      </c>
      <c r="D63" s="254" t="s">
        <v>12428</v>
      </c>
      <c r="E63" s="254" t="s">
        <v>12583</v>
      </c>
      <c r="F63" s="254" t="s">
        <v>524</v>
      </c>
      <c r="G63" s="254" t="s">
        <v>3096</v>
      </c>
      <c r="H63" s="254" t="str">
        <f>HYPERLINK("https://adventurelandmadeira.com","adventurelandmadeira.com")</f>
        <v>adventurelandmadeira.com</v>
      </c>
      <c r="I63" s="254" t="s">
        <v>12584</v>
      </c>
    </row>
    <row r="64" spans="1:9" ht="20" customHeight="1" x14ac:dyDescent="0.35">
      <c r="A64" s="350">
        <v>9</v>
      </c>
      <c r="B64" s="251" t="s">
        <v>12585</v>
      </c>
      <c r="C64" s="252" t="s">
        <v>524</v>
      </c>
      <c r="D64" s="251" t="s">
        <v>12428</v>
      </c>
      <c r="E64" s="251" t="s">
        <v>12586</v>
      </c>
      <c r="F64" s="251" t="s">
        <v>8162</v>
      </c>
      <c r="G64" s="251" t="s">
        <v>3096</v>
      </c>
      <c r="H64" s="251" t="s">
        <v>3096</v>
      </c>
      <c r="I64" s="251" t="s">
        <v>12587</v>
      </c>
    </row>
    <row r="65" spans="1:9" ht="20" customHeight="1" x14ac:dyDescent="0.35">
      <c r="A65" s="356">
        <v>10</v>
      </c>
      <c r="B65" s="254" t="s">
        <v>12588</v>
      </c>
      <c r="C65" s="255" t="s">
        <v>524</v>
      </c>
      <c r="D65" s="254" t="s">
        <v>12428</v>
      </c>
      <c r="E65" s="254" t="s">
        <v>12589</v>
      </c>
      <c r="F65" s="254" t="s">
        <v>524</v>
      </c>
      <c r="G65" s="254" t="s">
        <v>3096</v>
      </c>
      <c r="H65" s="254" t="str">
        <f>HYPERLINK("https://albanoaktiv.com","albanoaktiv.com")</f>
        <v>albanoaktiv.com</v>
      </c>
      <c r="I65" s="254" t="s">
        <v>12590</v>
      </c>
    </row>
    <row r="67" spans="1:9" x14ac:dyDescent="0.35">
      <c r="A67" s="1353" t="s">
        <v>12591</v>
      </c>
      <c r="B67" s="1354"/>
      <c r="C67" s="1354"/>
      <c r="D67" s="1354"/>
      <c r="E67" s="1354"/>
      <c r="F67" s="1354"/>
      <c r="G67" s="1354"/>
      <c r="H67" s="1354"/>
      <c r="I67" s="1354"/>
    </row>
  </sheetData>
  <mergeCells count="8">
    <mergeCell ref="A2:I2"/>
    <mergeCell ref="A42:I42"/>
    <mergeCell ref="A13:I13"/>
    <mergeCell ref="A1:I1"/>
    <mergeCell ref="A67:I67"/>
    <mergeCell ref="A55:I55"/>
    <mergeCell ref="A4:I4"/>
    <mergeCell ref="A24:I24"/>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18"/>
  <sheetViews>
    <sheetView topLeftCell="I1" workbookViewId="0">
      <pane ySplit="3" topLeftCell="A106" activePane="bottomLeft" state="frozen"/>
      <selection pane="bottomLeft" activeCell="K116" sqref="K116"/>
    </sheetView>
  </sheetViews>
  <sheetFormatPr defaultRowHeight="14.5" x14ac:dyDescent="0.35"/>
  <cols>
    <col min="1" max="1" width="4" customWidth="1"/>
    <col min="2" max="3" width="36" customWidth="1"/>
    <col min="4" max="4" width="12" customWidth="1"/>
    <col min="5" max="5" width="32" customWidth="1"/>
    <col min="6" max="6" width="22" customWidth="1"/>
    <col min="7" max="7" width="26" customWidth="1"/>
    <col min="8" max="8" width="24" customWidth="1"/>
    <col min="9" max="9" width="18" customWidth="1"/>
    <col min="10" max="10" width="52" customWidth="1"/>
    <col min="11" max="11" width="58" customWidth="1"/>
  </cols>
  <sheetData>
    <row r="1" spans="1:11" ht="32" customHeight="1" x14ac:dyDescent="0.35">
      <c r="A1" s="1476" t="s">
        <v>9481</v>
      </c>
      <c r="B1" s="1313"/>
      <c r="C1" s="1313"/>
      <c r="D1" s="1313"/>
      <c r="E1" s="1313"/>
      <c r="F1" s="1313"/>
      <c r="G1" s="1313"/>
      <c r="H1" s="1313"/>
      <c r="I1" s="1313"/>
      <c r="J1" s="1313"/>
    </row>
    <row r="2" spans="1:11" ht="16" customHeight="1" x14ac:dyDescent="0.35">
      <c r="A2" s="1365" t="s">
        <v>9482</v>
      </c>
      <c r="B2" s="1313"/>
      <c r="C2" s="1313"/>
      <c r="D2" s="1313"/>
      <c r="E2" s="1313"/>
      <c r="F2" s="1313"/>
      <c r="G2" s="1313"/>
      <c r="H2" s="1313"/>
      <c r="I2" s="1313"/>
      <c r="J2" s="1313"/>
    </row>
    <row r="3" spans="1:11" ht="24" customHeight="1" x14ac:dyDescent="0.35">
      <c r="A3" s="238" t="s">
        <v>141</v>
      </c>
      <c r="B3" s="238" t="s">
        <v>785</v>
      </c>
      <c r="C3" s="238" t="s">
        <v>619</v>
      </c>
      <c r="D3" s="238" t="s">
        <v>2259</v>
      </c>
      <c r="E3" s="238" t="s">
        <v>4370</v>
      </c>
      <c r="F3" s="238" t="s">
        <v>906</v>
      </c>
      <c r="G3" s="238" t="s">
        <v>13178</v>
      </c>
      <c r="H3" s="238" t="s">
        <v>18441</v>
      </c>
      <c r="I3" s="238" t="s">
        <v>539</v>
      </c>
      <c r="J3" s="303" t="s">
        <v>8</v>
      </c>
      <c r="K3" s="238" t="s">
        <v>789</v>
      </c>
    </row>
    <row r="4" spans="1:11" ht="22" customHeight="1" x14ac:dyDescent="0.35">
      <c r="A4" s="1479" t="s">
        <v>9483</v>
      </c>
      <c r="B4" s="1313"/>
      <c r="C4" s="1313"/>
      <c r="D4" s="1313"/>
      <c r="E4" s="1313"/>
      <c r="F4" s="1313"/>
      <c r="G4" s="1313"/>
      <c r="H4" s="1313"/>
      <c r="I4" s="1313"/>
      <c r="J4" s="1313"/>
    </row>
    <row r="5" spans="1:11" ht="110" customHeight="1" x14ac:dyDescent="0.35">
      <c r="A5" s="338">
        <v>1</v>
      </c>
      <c r="B5" s="239" t="s">
        <v>9484</v>
      </c>
      <c r="C5" s="239" t="s">
        <v>792</v>
      </c>
      <c r="D5" s="240" t="s">
        <v>9034</v>
      </c>
      <c r="E5" s="239" t="s">
        <v>9485</v>
      </c>
      <c r="F5" s="239" t="s">
        <v>9486</v>
      </c>
      <c r="G5" s="239" t="s">
        <v>9036</v>
      </c>
      <c r="H5" s="239" t="s">
        <v>9487</v>
      </c>
      <c r="I5" s="239" t="str">
        <f>HYPERLINK("https://quintabouqueirao.pt","quintabouqueirao.pt")</f>
        <v>quintabouqueirao.pt</v>
      </c>
      <c r="J5" s="304" t="s">
        <v>9488</v>
      </c>
      <c r="K5" s="604" t="str">
        <f>HYPERLINK("https://maps.google.com/?q=Alojamento%20Rural%20Quinta%20Bouqueir%C3%A3o%20Miranda%20do%20Douro%2C%20Braganca%20Portugal","🧭 Alojamento Rural Quinta Bouq")</f>
        <v>🧭 Alojamento Rural Quinta Bouq</v>
      </c>
    </row>
    <row r="6" spans="1:11" ht="110" customHeight="1" x14ac:dyDescent="0.35">
      <c r="A6" s="336">
        <v>2</v>
      </c>
      <c r="B6" s="242" t="s">
        <v>9489</v>
      </c>
      <c r="C6" s="242" t="s">
        <v>792</v>
      </c>
      <c r="D6" s="243" t="s">
        <v>623</v>
      </c>
      <c r="E6" s="242" t="s">
        <v>9485</v>
      </c>
      <c r="F6" s="242" t="s">
        <v>9490</v>
      </c>
      <c r="G6" s="242" t="s">
        <v>8258</v>
      </c>
      <c r="H6" s="242" t="s">
        <v>9487</v>
      </c>
      <c r="I6" s="242" t="str">
        <f>HYPERLINK("https://casadosarcos.pt","casadosarcos.pt")</f>
        <v>casadosarcos.pt</v>
      </c>
      <c r="J6" s="305" t="s">
        <v>9491</v>
      </c>
      <c r="K6" s="605" t="str">
        <f>HYPERLINK("https://maps.google.com/?q=Casa%20dos%20Arcos%20%E2%80%94%20Turismo%20Rural%20Paredes%20de%20Coura%2C%20Viana%20do%20Castelo%20Portugal","🧭 Casa dos Arcos — Turismo Rur")</f>
        <v>🧭 Casa dos Arcos — Turismo Rur</v>
      </c>
    </row>
    <row r="7" spans="1:11" ht="110" customHeight="1" x14ac:dyDescent="0.35">
      <c r="A7" s="338">
        <v>3</v>
      </c>
      <c r="B7" s="239" t="s">
        <v>9492</v>
      </c>
      <c r="C7" s="239" t="s">
        <v>792</v>
      </c>
      <c r="D7" s="240" t="s">
        <v>633</v>
      </c>
      <c r="E7" s="239" t="s">
        <v>9493</v>
      </c>
      <c r="F7" s="239" t="s">
        <v>9494</v>
      </c>
      <c r="G7" s="239" t="s">
        <v>9495</v>
      </c>
      <c r="H7" s="239" t="s">
        <v>9496</v>
      </c>
      <c r="I7" s="239" t="str">
        <f>HYPERLINK("https://quintadapacheca.pt","quintadapacheca.pt")</f>
        <v>quintadapacheca.pt</v>
      </c>
      <c r="J7" s="304" t="s">
        <v>9497</v>
      </c>
      <c r="K7" s="604" t="str">
        <f>HYPERLINK("https://maps.google.com/?q=Quinta%20da%20Pacheca%20%E2%80%94%20Barris%20Dormir%20Lamego%2C%20Douro%20Portugal","🧭 Quinta da Pacheca — Barris D")</f>
        <v>🧭 Quinta da Pacheca — Barris D</v>
      </c>
    </row>
    <row r="8" spans="1:11" ht="110" customHeight="1" x14ac:dyDescent="0.35">
      <c r="A8" s="336">
        <v>4</v>
      </c>
      <c r="B8" s="242" t="s">
        <v>9498</v>
      </c>
      <c r="C8" s="242" t="s">
        <v>792</v>
      </c>
      <c r="D8" s="243" t="s">
        <v>633</v>
      </c>
      <c r="E8" s="242" t="s">
        <v>9493</v>
      </c>
      <c r="F8" s="242" t="s">
        <v>9072</v>
      </c>
      <c r="G8" s="242" t="s">
        <v>9072</v>
      </c>
      <c r="H8" s="242" t="s">
        <v>9499</v>
      </c>
      <c r="I8" s="242" t="str">
        <f>HYPERLINK("https://quintadocrasto.pt","quintadocrasto.pt")</f>
        <v>quintadocrasto.pt</v>
      </c>
      <c r="J8" s="305" t="s">
        <v>9500</v>
      </c>
      <c r="K8" s="605" t="str">
        <f>HYPERLINK("https://maps.google.com/?q=Quinta%20do%20Crasto%20%E2%80%94%20Enoturismo%20Douro%20Sabrosa%2C%20Vila%20Real%20Portugal","🧭 Quinta do Crasto — Enoturism")</f>
        <v>🧭 Quinta do Crasto — Enoturism</v>
      </c>
    </row>
    <row r="9" spans="1:11" ht="110" customHeight="1" x14ac:dyDescent="0.35">
      <c r="A9" s="338">
        <v>5</v>
      </c>
      <c r="B9" s="239" t="s">
        <v>9501</v>
      </c>
      <c r="C9" s="239" t="s">
        <v>792</v>
      </c>
      <c r="D9" s="240" t="s">
        <v>633</v>
      </c>
      <c r="E9" s="239" t="s">
        <v>9493</v>
      </c>
      <c r="F9" s="239" t="s">
        <v>9502</v>
      </c>
      <c r="G9" s="239" t="s">
        <v>9503</v>
      </c>
      <c r="H9" s="239" t="s">
        <v>9504</v>
      </c>
      <c r="I9" s="239" t="str">
        <f>HYPERLINK("https://quintavallado.com","quintavallado.com")</f>
        <v>quintavallado.com</v>
      </c>
      <c r="J9" s="304" t="s">
        <v>9505</v>
      </c>
      <c r="K9" s="604" t="str">
        <f>HYPERLINK("https://maps.google.com/?q=Quinta%20do%20Vallado%20%E2%80%94%20Enoturismo%20Peso%20da%20Regua%2C%20Vila%20Real%20Portugal","🧭 Quinta do Vallado — Enoturis")</f>
        <v>🧭 Quinta do Vallado — Enoturis</v>
      </c>
    </row>
    <row r="10" spans="1:11" ht="110" customHeight="1" x14ac:dyDescent="0.35">
      <c r="A10" s="336">
        <v>6</v>
      </c>
      <c r="B10" s="242" t="s">
        <v>9506</v>
      </c>
      <c r="C10" s="242" t="s">
        <v>792</v>
      </c>
      <c r="D10" s="243" t="s">
        <v>623</v>
      </c>
      <c r="E10" s="242" t="s">
        <v>9507</v>
      </c>
      <c r="F10" s="242" t="s">
        <v>2288</v>
      </c>
      <c r="G10" s="242" t="s">
        <v>8308</v>
      </c>
      <c r="H10" s="242" t="s">
        <v>9508</v>
      </c>
      <c r="I10" s="242" t="str">
        <f>HYPERLINK("https://albergaria-saobento.pt","albergaria-saobento.pt")</f>
        <v>albergaria-saobento.pt</v>
      </c>
      <c r="J10" s="305" t="s">
        <v>9509</v>
      </c>
      <c r="K10" s="605" t="str">
        <f>HYPERLINK("https://maps.google.com/?q=Albergaria%20de%20Sao%20Bento%20%E2%80%94%20Minho%20Terras%20de%20Bouro%2C%20Braga%20Portugal","🧭 Albergaria de Sao Bento — Mi")</f>
        <v>🧭 Albergaria de Sao Bento — Mi</v>
      </c>
    </row>
    <row r="11" spans="1:11" ht="110" customHeight="1" x14ac:dyDescent="0.35">
      <c r="A11" s="338">
        <v>7</v>
      </c>
      <c r="B11" s="239" t="s">
        <v>9510</v>
      </c>
      <c r="C11" s="239" t="s">
        <v>792</v>
      </c>
      <c r="D11" s="240" t="s">
        <v>623</v>
      </c>
      <c r="E11" s="239" t="s">
        <v>9507</v>
      </c>
      <c r="F11" s="239" t="s">
        <v>9511</v>
      </c>
      <c r="G11" s="239" t="s">
        <v>8369</v>
      </c>
      <c r="H11" s="239" t="s">
        <v>9512</v>
      </c>
      <c r="I11" s="239" t="str">
        <f>HYPERLINK("https://bertiandos.com","bertiandos.com")</f>
        <v>bertiandos.com</v>
      </c>
      <c r="J11" s="304" t="s">
        <v>9513</v>
      </c>
      <c r="K11" s="604" t="str">
        <f>HYPERLINK("https://maps.google.com/?q=Solar%20de%20Bertiandos%20%E2%80%94%20Casa%20Solarenga%20Ponte%20de%20Lima%2C%20Viana%20do%20Castelo%20Portugal","🧭 Solar de Bertiandos — Casa S")</f>
        <v>🧭 Solar de Bertiandos — Casa S</v>
      </c>
    </row>
    <row r="12" spans="1:11" ht="110" customHeight="1" x14ac:dyDescent="0.35">
      <c r="A12" s="336">
        <v>8</v>
      </c>
      <c r="B12" s="242" t="s">
        <v>9514</v>
      </c>
      <c r="C12" s="242" t="s">
        <v>792</v>
      </c>
      <c r="D12" s="243" t="s">
        <v>9515</v>
      </c>
      <c r="E12" s="242" t="s">
        <v>9516</v>
      </c>
      <c r="F12" s="242" t="s">
        <v>9063</v>
      </c>
      <c r="G12" s="242" t="s">
        <v>9063</v>
      </c>
      <c r="H12" s="242" t="s">
        <v>9508</v>
      </c>
      <c r="I12" s="242" t="str">
        <f>HYPERLINK("https://fumeiroaldeia.pt","fumeiroaldeia.pt")</f>
        <v>fumeiroaldeia.pt</v>
      </c>
      <c r="J12" s="305" t="s">
        <v>9517</v>
      </c>
      <c r="K12" s="605" t="str">
        <f>HYPERLINK("https://maps.google.com/?q=Fumeiro%20da%20Aldeia%20%E2%80%94%20Vinhais%20Vinhais%2C%20Braganca%20Portugal","🧭 Fumeiro da Aldeia — Vinhais")</f>
        <v>🧭 Fumeiro da Aldeia — Vinhais</v>
      </c>
    </row>
    <row r="13" spans="1:11" ht="110" customHeight="1" x14ac:dyDescent="0.35">
      <c r="A13" s="338">
        <v>9</v>
      </c>
      <c r="B13" s="239" t="s">
        <v>9518</v>
      </c>
      <c r="C13" s="239" t="s">
        <v>792</v>
      </c>
      <c r="D13" s="240" t="s">
        <v>633</v>
      </c>
      <c r="E13" s="239" t="s">
        <v>9519</v>
      </c>
      <c r="F13" s="239" t="s">
        <v>8417</v>
      </c>
      <c r="G13" s="239" t="s">
        <v>8417</v>
      </c>
      <c r="H13" s="239" t="s">
        <v>9499</v>
      </c>
      <c r="I13" s="239" t="str">
        <f>HYPERLINK("https://casamouraz.com","casamouraz.com")</f>
        <v>casamouraz.com</v>
      </c>
      <c r="J13" s="304" t="s">
        <v>9520</v>
      </c>
      <c r="K13" s="604" t="str">
        <f>HYPERLINK("https://maps.google.com/?q=Casa%20de%20Mouraz%20%E2%80%94%20Biodynamic%20Wines%20Tondela%2C%20Viseu%20Portugal","🧭 Casa de Mouraz — Biodynamic ")</f>
        <v xml:space="preserve">🧭 Casa de Mouraz — Biodynamic </v>
      </c>
    </row>
    <row r="14" spans="1:11" ht="110" customHeight="1" x14ac:dyDescent="0.35">
      <c r="A14" s="336">
        <v>10</v>
      </c>
      <c r="B14" s="242" t="s">
        <v>9521</v>
      </c>
      <c r="C14" s="242" t="s">
        <v>792</v>
      </c>
      <c r="D14" s="243" t="s">
        <v>623</v>
      </c>
      <c r="E14" s="242" t="s">
        <v>9519</v>
      </c>
      <c r="F14" s="242" t="s">
        <v>9522</v>
      </c>
      <c r="G14" s="242" t="s">
        <v>8373</v>
      </c>
      <c r="H14" s="242" t="s">
        <v>9496</v>
      </c>
      <c r="I14" s="242" t="str">
        <f>HYPERLINK("https://aveleda.pt","aveleda.pt")</f>
        <v>aveleda.pt</v>
      </c>
      <c r="J14" s="305" t="s">
        <v>9523</v>
      </c>
      <c r="K14" s="605" t="str">
        <f>HYPERLINK("https://maps.google.com/?q=Quinta%20da%20Aveleda%20%E2%80%94%20Vinho%20Verde%20Penafiel%2C%20Porto%20Portugal","🧭 Quinta da Aveleda — Vinho Ve")</f>
        <v>🧭 Quinta da Aveleda — Vinho Ve</v>
      </c>
    </row>
    <row r="15" spans="1:11" ht="110" customHeight="1" x14ac:dyDescent="0.35">
      <c r="A15" s="338">
        <v>11</v>
      </c>
      <c r="B15" s="239" t="s">
        <v>9524</v>
      </c>
      <c r="C15" s="239" t="s">
        <v>792</v>
      </c>
      <c r="D15" s="240" t="s">
        <v>633</v>
      </c>
      <c r="E15" s="239" t="s">
        <v>9525</v>
      </c>
      <c r="F15" s="239" t="s">
        <v>9526</v>
      </c>
      <c r="G15" s="239" t="s">
        <v>9527</v>
      </c>
      <c r="H15" s="239" t="s">
        <v>9512</v>
      </c>
      <c r="I15" s="239" t="str">
        <f>HYPERLINK("https://adegavelha-pinhao.pt","adegavelha-pinhao.pt")</f>
        <v>adegavelha-pinhao.pt</v>
      </c>
      <c r="J15" s="304" t="s">
        <v>9528</v>
      </c>
      <c r="K15" s="604" t="str">
        <f>HYPERLINK("https://maps.google.com/?q=Adega%20Velha%20%E2%80%94%20Pinhao%20Enoturismo%20Pinhao%2C%20Vila%20Real%20Portugal","🧭 Adega Velha — Pinhao Enoturi")</f>
        <v>🧭 Adega Velha — Pinhao Enoturi</v>
      </c>
    </row>
    <row r="16" spans="1:11" ht="110" customHeight="1" x14ac:dyDescent="0.35">
      <c r="A16" s="336">
        <v>12</v>
      </c>
      <c r="B16" s="242" t="s">
        <v>9529</v>
      </c>
      <c r="C16" s="242" t="s">
        <v>792</v>
      </c>
      <c r="D16" s="243" t="s">
        <v>9095</v>
      </c>
      <c r="E16" s="242" t="s">
        <v>9525</v>
      </c>
      <c r="F16" s="242" t="s">
        <v>9530</v>
      </c>
      <c r="G16" s="242" t="s">
        <v>3082</v>
      </c>
      <c r="H16" s="242" t="s">
        <v>9508</v>
      </c>
      <c r="I16" s="242" t="str">
        <f>HYPERLINK("https://tascadochico.pt","tascadochico.pt")</f>
        <v>tascadochico.pt</v>
      </c>
      <c r="J16" s="305" t="s">
        <v>9531</v>
      </c>
      <c r="K16" s="605" t="str">
        <f>HYPERLINK("https://maps.google.com/?q=Tasca%20do%20Chico%20%E2%80%94%20Fado%20e%20Petiscos%20Porto%20Porto%20Portugal","🧭 Tasca do Chico — Fado e Peti")</f>
        <v>🧭 Tasca do Chico — Fado e Peti</v>
      </c>
    </row>
    <row r="17" spans="1:11" ht="110" customHeight="1" x14ac:dyDescent="0.35">
      <c r="A17" s="338">
        <v>13</v>
      </c>
      <c r="B17" s="239" t="s">
        <v>9532</v>
      </c>
      <c r="C17" s="239" t="s">
        <v>913</v>
      </c>
      <c r="D17" s="240" t="s">
        <v>9533</v>
      </c>
      <c r="E17" s="239" t="s">
        <v>9485</v>
      </c>
      <c r="F17" s="239" t="s">
        <v>9534</v>
      </c>
      <c r="G17" s="239" t="s">
        <v>9534</v>
      </c>
      <c r="H17" s="239" t="s">
        <v>9508</v>
      </c>
      <c r="I17" s="239" t="str">
        <f>HYPERLINK("https://casadafonte-obidos.pt","casadafonte-obidos.pt")</f>
        <v>casadafonte-obidos.pt</v>
      </c>
      <c r="J17" s="304" t="s">
        <v>9535</v>
      </c>
      <c r="K17" s="604" t="str">
        <f>HYPERLINK("https://maps.google.com/?q=Casa%20da%20Fonte%20%E2%80%94%20Obidos%20Obidos%2C%20Leiria%20Portugal","🧭 Casa da Fonte — Obidos")</f>
        <v>🧭 Casa da Fonte — Obidos</v>
      </c>
    </row>
    <row r="18" spans="1:11" ht="110" customHeight="1" x14ac:dyDescent="0.35">
      <c r="A18" s="336">
        <v>14</v>
      </c>
      <c r="B18" s="242" t="s">
        <v>9536</v>
      </c>
      <c r="C18" s="242" t="s">
        <v>913</v>
      </c>
      <c r="D18" s="243" t="s">
        <v>9537</v>
      </c>
      <c r="E18" s="242" t="s">
        <v>9493</v>
      </c>
      <c r="F18" s="242" t="s">
        <v>9538</v>
      </c>
      <c r="G18" s="242" t="s">
        <v>9213</v>
      </c>
      <c r="H18" s="242" t="s">
        <v>9499</v>
      </c>
      <c r="I18" s="242" t="str">
        <f>HYPERLINK("https://herdadedosado.pt","herdadedosado.pt")</f>
        <v>herdadedosado.pt</v>
      </c>
      <c r="J18" s="305" t="s">
        <v>9539</v>
      </c>
      <c r="K18" s="605" t="str">
        <f>HYPERLINK("https://maps.google.com/?q=Herdade%20do%20Sado%20%E2%80%94%20Ecoturismo%20Alcacer%20do%20Sal%2C%20Setubal%20Portugal","🧭 Herdade do Sado — Ecoturismo")</f>
        <v>🧭 Herdade do Sado — Ecoturismo</v>
      </c>
    </row>
    <row r="19" spans="1:11" ht="110" customHeight="1" x14ac:dyDescent="0.35">
      <c r="A19" s="338">
        <v>15</v>
      </c>
      <c r="B19" s="239" t="s">
        <v>9540</v>
      </c>
      <c r="C19" s="239" t="s">
        <v>913</v>
      </c>
      <c r="D19" s="240" t="s">
        <v>9541</v>
      </c>
      <c r="E19" s="239" t="s">
        <v>9542</v>
      </c>
      <c r="F19" s="239" t="s">
        <v>9543</v>
      </c>
      <c r="G19" s="239" t="s">
        <v>9543</v>
      </c>
      <c r="H19" s="239" t="s">
        <v>9512</v>
      </c>
      <c r="I19" s="239" t="str">
        <f>HYPERLINK("https://adegamae.pt","adegamae.pt")</f>
        <v>adegamae.pt</v>
      </c>
      <c r="J19" s="304" t="s">
        <v>9544</v>
      </c>
      <c r="K19" s="604" t="str">
        <f>HYPERLINK("https://maps.google.com/?q=Adega%20Mae%20%E2%80%94%20Torres%20Vedras%20Torres%20Vedras%2C%20Lisboa%20Portugal","🧭 Adega Mae — Torres Vedras")</f>
        <v>🧭 Adega Mae — Torres Vedras</v>
      </c>
    </row>
    <row r="20" spans="1:11" ht="110" customHeight="1" x14ac:dyDescent="0.35">
      <c r="A20" s="336">
        <v>16</v>
      </c>
      <c r="B20" s="242" t="s">
        <v>9545</v>
      </c>
      <c r="C20" s="242" t="s">
        <v>913</v>
      </c>
      <c r="D20" s="243" t="s">
        <v>9173</v>
      </c>
      <c r="E20" s="242" t="s">
        <v>9542</v>
      </c>
      <c r="F20" s="242" t="s">
        <v>9546</v>
      </c>
      <c r="G20" s="242" t="s">
        <v>9175</v>
      </c>
      <c r="H20" s="242" t="s">
        <v>9499</v>
      </c>
      <c r="I20" s="242" t="str">
        <f>HYPERLINK("https://jmf.pt","jmf.pt")</f>
        <v>jmf.pt</v>
      </c>
      <c r="J20" s="305" t="s">
        <v>9547</v>
      </c>
      <c r="K20" s="605" t="str">
        <f>HYPERLINK("https://maps.google.com/?q=Jose%20Maria%20da%20Fonseca%20%E2%80%94%20Azeitao%20Azeitao%2C%20Setubal%20Portugal","🧭 Jose Maria da Fonseca — Azei")</f>
        <v>🧭 Jose Maria da Fonseca — Azei</v>
      </c>
    </row>
    <row r="21" spans="1:11" ht="110" customHeight="1" x14ac:dyDescent="0.35">
      <c r="A21" s="338">
        <v>17</v>
      </c>
      <c r="B21" s="239" t="s">
        <v>9548</v>
      </c>
      <c r="C21" s="239" t="s">
        <v>913</v>
      </c>
      <c r="D21" s="240" t="s">
        <v>9173</v>
      </c>
      <c r="E21" s="239" t="s">
        <v>9542</v>
      </c>
      <c r="F21" s="239" t="s">
        <v>9175</v>
      </c>
      <c r="G21" s="239" t="s">
        <v>9175</v>
      </c>
      <c r="H21" s="239" t="s">
        <v>9512</v>
      </c>
      <c r="I21" s="239" t="str">
        <f>HYPERLINK("https://bacalhoa.com","bacalhoa.com")</f>
        <v>bacalhoa.com</v>
      </c>
      <c r="J21" s="304" t="s">
        <v>9549</v>
      </c>
      <c r="K21" s="604" t="str">
        <f>HYPERLINK("https://maps.google.com/?q=Quinta%20da%20Bacalhoa%20%E2%80%94%20Azeitao%20Azeitao%2C%20Setubal%20Portugal","🧭 Quinta da Bacalhoa — Azeitao")</f>
        <v>🧭 Quinta da Bacalhoa — Azeitao</v>
      </c>
    </row>
    <row r="22" spans="1:11" ht="110" customHeight="1" x14ac:dyDescent="0.35">
      <c r="A22" s="336">
        <v>18</v>
      </c>
      <c r="B22" s="242" t="s">
        <v>9550</v>
      </c>
      <c r="C22" s="242" t="s">
        <v>522</v>
      </c>
      <c r="D22" s="243" t="s">
        <v>9551</v>
      </c>
      <c r="E22" s="242" t="s">
        <v>9493</v>
      </c>
      <c r="F22" s="242" t="s">
        <v>8760</v>
      </c>
      <c r="G22" s="242" t="s">
        <v>8760</v>
      </c>
      <c r="H22" s="242" t="s">
        <v>9508</v>
      </c>
      <c r="I22" s="242" t="str">
        <f>HYPERLINK("https://salamandras.com","salamandras.com")</f>
        <v>salamandras.com</v>
      </c>
      <c r="J22" s="305" t="s">
        <v>9552</v>
      </c>
      <c r="K22" s="605" t="str">
        <f>HYPERLINK("https://maps.google.com/?q=Casa%20das%20Salamandras%20%E2%80%94%20Flores%20Santa%20Cruz%20das%20Flores%20Portugal","🧭 Casa das Salamandras — Flore")</f>
        <v>🧭 Casa das Salamandras — Flore</v>
      </c>
    </row>
    <row r="23" spans="1:11" ht="110" customHeight="1" x14ac:dyDescent="0.35">
      <c r="A23" s="338">
        <v>19</v>
      </c>
      <c r="B23" s="239" t="s">
        <v>9553</v>
      </c>
      <c r="C23" s="239" t="s">
        <v>522</v>
      </c>
      <c r="D23" s="240" t="s">
        <v>9393</v>
      </c>
      <c r="E23" s="239" t="s">
        <v>9493</v>
      </c>
      <c r="F23" s="239" t="s">
        <v>9554</v>
      </c>
      <c r="G23" s="239" t="s">
        <v>9417</v>
      </c>
      <c r="H23" s="239" t="s">
        <v>9499</v>
      </c>
      <c r="I23" s="239" t="str">
        <f>HYPERLINK("https://terranostragarden.com","terranostragarden.com")</f>
        <v>terranostragarden.com</v>
      </c>
      <c r="J23" s="304" t="s">
        <v>9555</v>
      </c>
      <c r="K23" s="604" t="str">
        <f>HYPERLINK("https://maps.google.com/?q=Terra%20Nostra%20Garden%20Hotel%20Furnas%2C%20Sao%20Miguel%20Portugal","🧭 Terra Nostra Garden Hotel")</f>
        <v>🧭 Terra Nostra Garden Hotel</v>
      </c>
    </row>
    <row r="24" spans="1:11" ht="110" customHeight="1" x14ac:dyDescent="0.35">
      <c r="A24" s="336">
        <v>20</v>
      </c>
      <c r="B24" s="242" t="s">
        <v>9556</v>
      </c>
      <c r="C24" s="242" t="s">
        <v>522</v>
      </c>
      <c r="D24" s="243" t="s">
        <v>9372</v>
      </c>
      <c r="E24" s="242" t="s">
        <v>9507</v>
      </c>
      <c r="F24" s="242" t="s">
        <v>9374</v>
      </c>
      <c r="G24" s="242" t="s">
        <v>9374</v>
      </c>
      <c r="H24" s="242" t="s">
        <v>9508</v>
      </c>
      <c r="I24" s="242" t="str">
        <f>HYPERLINK("https://pousadas.pt","pousadas.pt")</f>
        <v>pousadas.pt</v>
      </c>
      <c r="J24" s="305" t="s">
        <v>9557</v>
      </c>
      <c r="K24" s="605" t="str">
        <f>HYPERLINK("https://maps.google.com/?q=Pousada%20de%20Sao%20Bras%20%E2%80%94%20Terceira%20Angra%20do%20Heroismo%2C%20Terceira%20Portugal","🧭 Pousada de Sao Bras — Tercei")</f>
        <v>🧭 Pousada de Sao Bras — Tercei</v>
      </c>
    </row>
    <row r="25" spans="1:11" ht="110" customHeight="1" x14ac:dyDescent="0.35">
      <c r="A25" s="338">
        <v>21</v>
      </c>
      <c r="B25" s="239" t="s">
        <v>9558</v>
      </c>
      <c r="C25" s="239" t="s">
        <v>522</v>
      </c>
      <c r="D25" s="240" t="s">
        <v>9372</v>
      </c>
      <c r="E25" s="239" t="s">
        <v>9559</v>
      </c>
      <c r="F25" s="239" t="s">
        <v>9560</v>
      </c>
      <c r="G25" s="239" t="s">
        <v>9374</v>
      </c>
      <c r="H25" s="239" t="s">
        <v>9499</v>
      </c>
      <c r="I25" s="239" t="str">
        <f>HYPERLINK("https://quintadomartelo.com","quintadomartelo.com")</f>
        <v>quintadomartelo.com</v>
      </c>
      <c r="J25" s="304" t="s">
        <v>9561</v>
      </c>
      <c r="K25" s="604" t="str">
        <f>HYPERLINK("https://maps.google.com/?q=Quinta%20do%20Martelo%20%E2%80%94%20Terceira%20Angra%20do%20Heroismo%2C%20Terceira%20Portugal","🧭 Quinta do Martelo — Terceira")</f>
        <v>🧭 Quinta do Martelo — Terceira</v>
      </c>
    </row>
    <row r="26" spans="1:11" ht="110" customHeight="1" x14ac:dyDescent="0.35">
      <c r="A26" s="336">
        <v>22</v>
      </c>
      <c r="B26" s="242" t="s">
        <v>9562</v>
      </c>
      <c r="C26" s="242" t="s">
        <v>522</v>
      </c>
      <c r="D26" s="243" t="s">
        <v>9393</v>
      </c>
      <c r="E26" s="242" t="s">
        <v>9516</v>
      </c>
      <c r="F26" s="242" t="s">
        <v>9563</v>
      </c>
      <c r="G26" s="242" t="s">
        <v>9395</v>
      </c>
      <c r="H26" s="242" t="s">
        <v>9508</v>
      </c>
      <c r="I26" s="242" t="str">
        <f>HYPERLINK("https://adegasm.pt","adegasm.pt")</f>
        <v>adegasm.pt</v>
      </c>
      <c r="J26" s="305" t="s">
        <v>9564</v>
      </c>
      <c r="K26" s="605" t="str">
        <f>HYPERLINK("https://maps.google.com/?q=Adega%20Cooperativa%20de%20Sao%20Miguel%20Ribeira%20Grande%2C%20Sao%20Miguel%20Portugal","🧭 Adega Cooperativa de Sao Mig")</f>
        <v>🧭 Adega Cooperativa de Sao Mig</v>
      </c>
    </row>
    <row r="27" spans="1:11" ht="110" customHeight="1" x14ac:dyDescent="0.35">
      <c r="A27" s="338">
        <v>23</v>
      </c>
      <c r="B27" s="239" t="s">
        <v>9565</v>
      </c>
      <c r="C27" s="239" t="s">
        <v>522</v>
      </c>
      <c r="D27" s="240" t="s">
        <v>9566</v>
      </c>
      <c r="E27" s="239" t="s">
        <v>9516</v>
      </c>
      <c r="F27" s="239" t="s">
        <v>2839</v>
      </c>
      <c r="G27" s="239" t="s">
        <v>2839</v>
      </c>
      <c r="H27" s="239" t="s">
        <v>9487</v>
      </c>
      <c r="I27" s="239" t="str">
        <f>HYPERLINK("https://graciosa.com","graciosa.com")</f>
        <v>graciosa.com</v>
      </c>
      <c r="J27" s="304" t="s">
        <v>9567</v>
      </c>
      <c r="K27" s="604" t="str">
        <f>HYPERLINK("https://maps.google.com/?q=Furna%20do%20Enxofre%20%E2%80%94%20Graciosa%20Santa%20Cruz%20da%20Graciosa%20Portugal","🧭 Furna do Enxofre — Graciosa")</f>
        <v>🧭 Furna do Enxofre — Graciosa</v>
      </c>
    </row>
    <row r="28" spans="1:11" ht="110" customHeight="1" x14ac:dyDescent="0.35">
      <c r="A28" s="336">
        <v>24</v>
      </c>
      <c r="B28" s="242" t="s">
        <v>9568</v>
      </c>
      <c r="C28" s="242" t="s">
        <v>522</v>
      </c>
      <c r="D28" s="243" t="s">
        <v>9406</v>
      </c>
      <c r="E28" s="242" t="s">
        <v>9516</v>
      </c>
      <c r="F28" s="242" t="s">
        <v>3690</v>
      </c>
      <c r="G28" s="242" t="s">
        <v>3690</v>
      </c>
      <c r="H28" s="242" t="s">
        <v>9508</v>
      </c>
      <c r="I28" s="242" t="str">
        <f>HYPERLINK("https://diveazores.com","diveazores.com")</f>
        <v>diveazores.com</v>
      </c>
      <c r="J28" s="305" t="s">
        <v>9569</v>
      </c>
      <c r="K28" s="605" t="str">
        <f>HYPERLINK("https://maps.google.com/?q=Whale%20Watching%20Acores%20%E2%80%94%20Faial%20Horta%2C%20Faial%20Portugal","🧭 Whale Watching Acores — Faia")</f>
        <v>🧭 Whale Watching Acores — Faia</v>
      </c>
    </row>
    <row r="29" spans="1:11" ht="110" customHeight="1" x14ac:dyDescent="0.35">
      <c r="A29" s="338">
        <v>25</v>
      </c>
      <c r="B29" s="239" t="s">
        <v>9570</v>
      </c>
      <c r="C29" s="239" t="s">
        <v>522</v>
      </c>
      <c r="D29" s="240" t="s">
        <v>9384</v>
      </c>
      <c r="E29" s="239" t="s">
        <v>9542</v>
      </c>
      <c r="F29" s="239" t="s">
        <v>2252</v>
      </c>
      <c r="G29" s="239" t="s">
        <v>2252</v>
      </c>
      <c r="H29" s="239" t="s">
        <v>9512</v>
      </c>
      <c r="I29" s="239" t="str">
        <f>HYPERLINK("https://picowines.com","picowines.com")</f>
        <v>picowines.com</v>
      </c>
      <c r="J29" s="304" t="s">
        <v>9571</v>
      </c>
      <c r="K29" s="604" t="str">
        <f>HYPERLINK("https://maps.google.com/?q=Vinhos%20do%20Pico%20%E2%80%94%20Cooperativa%20Madalena%2C%20Pico%20Portugal","🧭 Vinhos do Pico — Cooperativa")</f>
        <v>🧭 Vinhos do Pico — Cooperativa</v>
      </c>
    </row>
    <row r="30" spans="1:11" ht="110" customHeight="1" x14ac:dyDescent="0.35">
      <c r="A30" s="336">
        <v>26</v>
      </c>
      <c r="B30" s="242" t="s">
        <v>9572</v>
      </c>
      <c r="C30" s="242" t="s">
        <v>836</v>
      </c>
      <c r="D30" s="243" t="s">
        <v>8782</v>
      </c>
      <c r="E30" s="242" t="s">
        <v>9485</v>
      </c>
      <c r="F30" s="242" t="s">
        <v>9573</v>
      </c>
      <c r="G30" s="242" t="s">
        <v>9574</v>
      </c>
      <c r="H30" s="242">
        <v>1</v>
      </c>
      <c r="I30" s="242"/>
      <c r="J30" s="305" t="s">
        <v>9575</v>
      </c>
      <c r="K30" s="605" t="str">
        <f>HYPERLINK("https://maps.google.com/?q=Arca%20dos%20Animais%20Caf%C3%A9de%2C%20Castelo%20Branco%20Portugal","🧭 Arca dos Animais")</f>
        <v>🧭 Arca dos Animais</v>
      </c>
    </row>
    <row r="31" spans="1:11" ht="110" customHeight="1" x14ac:dyDescent="0.35">
      <c r="A31" s="338">
        <v>27</v>
      </c>
      <c r="B31" s="239" t="s">
        <v>9576</v>
      </c>
      <c r="C31" s="239" t="s">
        <v>836</v>
      </c>
      <c r="D31" s="240" t="s">
        <v>8768</v>
      </c>
      <c r="E31" s="239" t="s">
        <v>9485</v>
      </c>
      <c r="F31" s="239" t="s">
        <v>9577</v>
      </c>
      <c r="G31" s="239" t="s">
        <v>9578</v>
      </c>
      <c r="H31" s="239">
        <v>1</v>
      </c>
      <c r="I31" s="239"/>
      <c r="J31" s="304" t="s">
        <v>9579</v>
      </c>
      <c r="K31" s="604" t="str">
        <f>HYPERLINK("https://maps.google.com/?q=Casa%20das%20Raposas%20Zambujal%2C%20Condeixa-a-Nova%20Portugal","🧭 Casa das Raposas")</f>
        <v>🧭 Casa das Raposas</v>
      </c>
    </row>
    <row r="32" spans="1:11" ht="110" customHeight="1" x14ac:dyDescent="0.35">
      <c r="A32" s="336">
        <v>28</v>
      </c>
      <c r="B32" s="242" t="s">
        <v>9580</v>
      </c>
      <c r="C32" s="242" t="s">
        <v>836</v>
      </c>
      <c r="D32" s="243" t="s">
        <v>8782</v>
      </c>
      <c r="E32" s="242" t="s">
        <v>9485</v>
      </c>
      <c r="F32" s="242" t="s">
        <v>9581</v>
      </c>
      <c r="G32" s="242" t="s">
        <v>5713</v>
      </c>
      <c r="H32" s="242">
        <v>1</v>
      </c>
      <c r="I32" s="242"/>
      <c r="J32" s="305" t="s">
        <v>9582</v>
      </c>
      <c r="K32" s="605" t="str">
        <f>HYPERLINK("https://maps.google.com/?q=Casas%20do%20Almour%C3%A3o%20Vila%20Velha%20de%20R%C3%B3d%C3%A3o%20Portugal","🧭 Casas do Almourão")</f>
        <v>🧭 Casas do Almourão</v>
      </c>
    </row>
    <row r="33" spans="1:11" ht="110" customHeight="1" x14ac:dyDescent="0.35">
      <c r="A33" s="338">
        <v>29</v>
      </c>
      <c r="B33" s="239" t="s">
        <v>9583</v>
      </c>
      <c r="C33" s="239" t="s">
        <v>836</v>
      </c>
      <c r="D33" s="240" t="s">
        <v>8782</v>
      </c>
      <c r="E33" s="239" t="s">
        <v>9485</v>
      </c>
      <c r="F33" s="239" t="s">
        <v>9584</v>
      </c>
      <c r="G33" s="239" t="s">
        <v>9585</v>
      </c>
      <c r="H33" s="239">
        <v>1</v>
      </c>
      <c r="I33" s="239"/>
      <c r="J33" s="304" t="s">
        <v>9586</v>
      </c>
      <c r="K33" s="604" t="str">
        <f>HYPERLINK("https://maps.google.com/?q=Cerca%20Design%20House%20Donas%2C%20Fund%C3%A3o%20Portugal","🧭 Cerca Design House")</f>
        <v>🧭 Cerca Design House</v>
      </c>
    </row>
    <row r="34" spans="1:11" ht="110" customHeight="1" x14ac:dyDescent="0.35">
      <c r="A34" s="336">
        <v>30</v>
      </c>
      <c r="B34" s="242" t="s">
        <v>9587</v>
      </c>
      <c r="C34" s="242" t="s">
        <v>836</v>
      </c>
      <c r="D34" s="243" t="s">
        <v>2452</v>
      </c>
      <c r="E34" s="242" t="s">
        <v>9485</v>
      </c>
      <c r="F34" s="242" t="s">
        <v>9588</v>
      </c>
      <c r="G34" s="242" t="s">
        <v>5892</v>
      </c>
      <c r="H34" s="242">
        <v>2</v>
      </c>
      <c r="I34" s="242"/>
      <c r="J34" s="305" t="s">
        <v>9589</v>
      </c>
      <c r="K34" s="605" t="str">
        <f>HYPERLINK("https://maps.google.com/?q=Hotel%20da%20F%C3%A1brica%20%E2%80%93%20Ecol%C3%A3%20Manteigas%20Portugal","🧭 Hotel da Fábrica – Ecolã")</f>
        <v>🧭 Hotel da Fábrica – Ecolã</v>
      </c>
    </row>
    <row r="35" spans="1:11" ht="110" customHeight="1" x14ac:dyDescent="0.35">
      <c r="A35" s="338">
        <v>31</v>
      </c>
      <c r="B35" s="239" t="s">
        <v>9590</v>
      </c>
      <c r="C35" s="239" t="s">
        <v>836</v>
      </c>
      <c r="D35" s="240" t="s">
        <v>8782</v>
      </c>
      <c r="E35" s="239" t="s">
        <v>9485</v>
      </c>
      <c r="F35" s="239" t="s">
        <v>9591</v>
      </c>
      <c r="G35" s="239" t="s">
        <v>9592</v>
      </c>
      <c r="H35" s="239">
        <v>1</v>
      </c>
      <c r="I35" s="239"/>
      <c r="J35" s="304" t="s">
        <v>9593</v>
      </c>
      <c r="K35" s="604" t="str">
        <f>HYPERLINK("https://maps.google.com/?q=Quinta%20das%20Sesmarias%20Alcains%2C%20Castelo%20Branco%20Portugal","🧭 Quinta das Sesmarias")</f>
        <v>🧭 Quinta das Sesmarias</v>
      </c>
    </row>
    <row r="36" spans="1:11" ht="110" customHeight="1" x14ac:dyDescent="0.35">
      <c r="A36" s="336">
        <v>32</v>
      </c>
      <c r="B36" s="242" t="s">
        <v>9594</v>
      </c>
      <c r="C36" s="242" t="s">
        <v>836</v>
      </c>
      <c r="D36" s="243" t="s">
        <v>8782</v>
      </c>
      <c r="E36" s="242" t="s">
        <v>9485</v>
      </c>
      <c r="F36" s="242" t="s">
        <v>9595</v>
      </c>
      <c r="G36" s="242" t="s">
        <v>9596</v>
      </c>
      <c r="H36" s="242">
        <v>1</v>
      </c>
      <c r="I36" s="242"/>
      <c r="J36" s="305" t="s">
        <v>9597</v>
      </c>
      <c r="K36" s="605" t="str">
        <f>HYPERLINK("https://maps.google.com/?q=Ref%C3%BAgio%20do%20Raposo%20Montes%20da%20Senhora%2C%20Proen%C3%A7a-a-Nova%20Portugal","🧭 Refúgio do Raposo")</f>
        <v>🧭 Refúgio do Raposo</v>
      </c>
    </row>
    <row r="37" spans="1:11" ht="110" customHeight="1" x14ac:dyDescent="0.35">
      <c r="A37" s="338">
        <v>33</v>
      </c>
      <c r="B37" s="239" t="s">
        <v>8775</v>
      </c>
      <c r="C37" s="239" t="s">
        <v>836</v>
      </c>
      <c r="D37" s="240" t="s">
        <v>2452</v>
      </c>
      <c r="E37" s="239" t="s">
        <v>8777</v>
      </c>
      <c r="F37" s="239" t="s">
        <v>8778</v>
      </c>
      <c r="G37" s="239" t="s">
        <v>9598</v>
      </c>
      <c r="H37" s="239">
        <v>4</v>
      </c>
      <c r="I37" s="239"/>
      <c r="J37" s="304" t="s">
        <v>9599</v>
      </c>
      <c r="K37" s="604" t="str">
        <f>HYPERLINK("https://maps.google.com/?q=Agroturismo%20Vale%20do%20Beijames%20Vale%20de%20Amoreira%2C%20Manteigas%20Portugal","🧭 Agroturismo Vale do Beijames")</f>
        <v>🧭 Agroturismo Vale do Beijames</v>
      </c>
    </row>
    <row r="38" spans="1:11" ht="110" customHeight="1" x14ac:dyDescent="0.35">
      <c r="A38" s="336">
        <v>34</v>
      </c>
      <c r="B38" s="242" t="s">
        <v>9600</v>
      </c>
      <c r="C38" s="242" t="s">
        <v>836</v>
      </c>
      <c r="D38" s="243" t="s">
        <v>2452</v>
      </c>
      <c r="E38" s="242" t="s">
        <v>9507</v>
      </c>
      <c r="F38" s="242" t="s">
        <v>9601</v>
      </c>
      <c r="G38" s="242" t="s">
        <v>5892</v>
      </c>
      <c r="H38" s="242">
        <v>2</v>
      </c>
      <c r="I38" s="242"/>
      <c r="J38" s="305" t="s">
        <v>9602</v>
      </c>
      <c r="K38" s="605" t="str">
        <f>HYPERLINK("https://maps.google.com/?q=Casa%20das%20Penhas%20Douradas%20Manteigas%20Portugal","🧭 Casa das Penhas Douradas")</f>
        <v>🧭 Casa das Penhas Douradas</v>
      </c>
    </row>
    <row r="39" spans="1:11" ht="110" customHeight="1" x14ac:dyDescent="0.35">
      <c r="A39" s="338">
        <v>35</v>
      </c>
      <c r="B39" s="239" t="s">
        <v>9603</v>
      </c>
      <c r="C39" s="239" t="s">
        <v>836</v>
      </c>
      <c r="D39" s="240" t="s">
        <v>2452</v>
      </c>
      <c r="E39" s="239" t="s">
        <v>9507</v>
      </c>
      <c r="F39" s="239" t="s">
        <v>9604</v>
      </c>
      <c r="G39" s="239" t="s">
        <v>5892</v>
      </c>
      <c r="H39" s="239">
        <v>2</v>
      </c>
      <c r="I39" s="239"/>
      <c r="J39" s="304" t="s">
        <v>9605</v>
      </c>
      <c r="K39" s="604" t="str">
        <f>HYPERLINK("https://maps.google.com/?q=Casa%20de%20S%C3%A3o%20Louren%C3%A7o%20Manteigas%20Portugal","🧭 Casa de São Lourenço")</f>
        <v>🧭 Casa de São Lourenço</v>
      </c>
    </row>
    <row r="40" spans="1:11" ht="110" customHeight="1" x14ac:dyDescent="0.35">
      <c r="A40" s="336">
        <v>36</v>
      </c>
      <c r="B40" s="242" t="s">
        <v>9606</v>
      </c>
      <c r="C40" s="242" t="s">
        <v>836</v>
      </c>
      <c r="D40" s="243" t="s">
        <v>8782</v>
      </c>
      <c r="E40" s="242" t="s">
        <v>9507</v>
      </c>
      <c r="F40" s="242" t="s">
        <v>9607</v>
      </c>
      <c r="G40" s="242" t="s">
        <v>2091</v>
      </c>
      <c r="H40" s="242">
        <v>2</v>
      </c>
      <c r="I40" s="242"/>
      <c r="J40" s="305" t="s">
        <v>9608</v>
      </c>
      <c r="K40" s="605" t="str">
        <f>HYPERLINK("https://maps.google.com/?q=Convento%20do%20Seixo%20Boutique%20Hotel%20%26%20Spa%20Fund%C3%A3o%20Portugal","🧭 Convento do Seixo Boutique H")</f>
        <v>🧭 Convento do Seixo Boutique H</v>
      </c>
    </row>
    <row r="41" spans="1:11" ht="110" customHeight="1" x14ac:dyDescent="0.35">
      <c r="A41" s="338">
        <v>37</v>
      </c>
      <c r="B41" s="239" t="s">
        <v>9609</v>
      </c>
      <c r="C41" s="239" t="s">
        <v>836</v>
      </c>
      <c r="D41" s="240" t="s">
        <v>8782</v>
      </c>
      <c r="E41" s="239" t="s">
        <v>9507</v>
      </c>
      <c r="F41" s="239" t="s">
        <v>9610</v>
      </c>
      <c r="G41" s="239" t="s">
        <v>2091</v>
      </c>
      <c r="H41" s="239">
        <v>2</v>
      </c>
      <c r="I41" s="239"/>
      <c r="J41" s="304" t="s">
        <v>9611</v>
      </c>
      <c r="K41" s="604" t="str">
        <f>HYPERLINK("https://maps.google.com/?q=Eco%20Nature%20Glamping%20Fund%C3%A3o%20Portugal","🧭 Eco Nature Glamping")</f>
        <v>🧭 Eco Nature Glamping</v>
      </c>
    </row>
    <row r="42" spans="1:11" ht="110" customHeight="1" x14ac:dyDescent="0.35">
      <c r="A42" s="336">
        <v>38</v>
      </c>
      <c r="B42" s="242" t="s">
        <v>9612</v>
      </c>
      <c r="C42" s="242" t="s">
        <v>836</v>
      </c>
      <c r="D42" s="243" t="s">
        <v>2452</v>
      </c>
      <c r="E42" s="242" t="s">
        <v>9507</v>
      </c>
      <c r="F42" s="242" t="s">
        <v>9612</v>
      </c>
      <c r="G42" s="242" t="s">
        <v>9613</v>
      </c>
      <c r="H42" s="242">
        <v>4</v>
      </c>
      <c r="I42" s="242"/>
      <c r="J42" s="305" t="s">
        <v>9614</v>
      </c>
      <c r="K42" s="605" t="str">
        <f>HYPERLINK("https://maps.google.com/?q=Quinta%20Madre%20de%20%C3%81gua%20Vinh%C3%B3%2C%20Gouveia%20Portugal","🧭 Quinta Madre de Água")</f>
        <v>🧭 Quinta Madre de Água</v>
      </c>
    </row>
    <row r="43" spans="1:11" ht="110" customHeight="1" x14ac:dyDescent="0.35">
      <c r="A43" s="338">
        <v>39</v>
      </c>
      <c r="B43" s="239" t="s">
        <v>8780</v>
      </c>
      <c r="C43" s="239" t="s">
        <v>836</v>
      </c>
      <c r="D43" s="240" t="s">
        <v>8782</v>
      </c>
      <c r="E43" s="239" t="s">
        <v>8783</v>
      </c>
      <c r="F43" s="239" t="s">
        <v>8784</v>
      </c>
      <c r="G43" s="239" t="s">
        <v>9615</v>
      </c>
      <c r="H43" s="239">
        <v>1</v>
      </c>
      <c r="I43" s="239"/>
      <c r="J43" s="304" t="s">
        <v>9616</v>
      </c>
      <c r="K43" s="604" t="str">
        <f>HYPERLINK("https://maps.google.com/?q=ApiJardins%20Sarzedas%2C%20Castelo%20Branco%20Portugal","🧭 ApiJardins")</f>
        <v>🧭 ApiJardins</v>
      </c>
    </row>
    <row r="44" spans="1:11" ht="110" customHeight="1" x14ac:dyDescent="0.35">
      <c r="A44" s="336">
        <v>40</v>
      </c>
      <c r="B44" s="242" t="s">
        <v>8789</v>
      </c>
      <c r="C44" s="242" t="s">
        <v>836</v>
      </c>
      <c r="D44" s="243" t="s">
        <v>2452</v>
      </c>
      <c r="E44" s="242" t="s">
        <v>8783</v>
      </c>
      <c r="F44" s="242" t="s">
        <v>8791</v>
      </c>
      <c r="G44" s="242" t="s">
        <v>5892</v>
      </c>
      <c r="H44" s="242">
        <v>1</v>
      </c>
      <c r="I44" s="242"/>
      <c r="J44" s="305" t="s">
        <v>9617</v>
      </c>
      <c r="K44" s="605" t="str">
        <f>HYPERLINK("https://maps.google.com/?q=Burel%20Factory%20Manteigas%20Portugal","🧭 Burel Factory")</f>
        <v>🧭 Burel Factory</v>
      </c>
    </row>
    <row r="45" spans="1:11" ht="110" customHeight="1" x14ac:dyDescent="0.35">
      <c r="A45" s="338">
        <v>41</v>
      </c>
      <c r="B45" s="239" t="s">
        <v>8799</v>
      </c>
      <c r="C45" s="239" t="s">
        <v>836</v>
      </c>
      <c r="D45" s="240" t="s">
        <v>2452</v>
      </c>
      <c r="E45" s="239" t="s">
        <v>8783</v>
      </c>
      <c r="F45" s="239" t="s">
        <v>8800</v>
      </c>
      <c r="G45" s="239" t="s">
        <v>5892</v>
      </c>
      <c r="H45" s="239">
        <v>2</v>
      </c>
      <c r="I45" s="239"/>
      <c r="J45" s="304" t="s">
        <v>9618</v>
      </c>
      <c r="K45" s="604" t="str">
        <f>HYPERLINK("https://maps.google.com/?q=Ecol%C3%A3%20Manteigas%20Portugal","🧭 Ecolã")</f>
        <v>🧭 Ecolã</v>
      </c>
    </row>
    <row r="46" spans="1:11" ht="110" customHeight="1" x14ac:dyDescent="0.35">
      <c r="A46" s="336">
        <v>42</v>
      </c>
      <c r="B46" s="242" t="s">
        <v>8806</v>
      </c>
      <c r="C46" s="242" t="s">
        <v>836</v>
      </c>
      <c r="D46" s="243" t="s">
        <v>2452</v>
      </c>
      <c r="E46" s="242" t="s">
        <v>8783</v>
      </c>
      <c r="F46" s="242" t="s">
        <v>8807</v>
      </c>
      <c r="G46" s="242" t="s">
        <v>5883</v>
      </c>
      <c r="H46" s="242">
        <v>1</v>
      </c>
      <c r="I46" s="242"/>
      <c r="J46" s="305" t="s">
        <v>9619</v>
      </c>
      <c r="K46" s="605" t="str">
        <f>HYPERLINK("https://maps.google.com/?q=New%20Hand%20Lab%20Covilh%C3%A3%20Portugal","🧭 New Hand Lab")</f>
        <v>🧭 New Hand Lab</v>
      </c>
    </row>
    <row r="47" spans="1:11" ht="110" customHeight="1" x14ac:dyDescent="0.35">
      <c r="A47" s="338">
        <v>43</v>
      </c>
      <c r="B47" s="239" t="s">
        <v>8795</v>
      </c>
      <c r="C47" s="239" t="s">
        <v>836</v>
      </c>
      <c r="D47" s="240" t="s">
        <v>2452</v>
      </c>
      <c r="E47" s="239" t="s">
        <v>8796</v>
      </c>
      <c r="F47" s="239" t="s">
        <v>8797</v>
      </c>
      <c r="G47" s="239" t="s">
        <v>9620</v>
      </c>
      <c r="H47" s="239">
        <v>2</v>
      </c>
      <c r="I47" s="239"/>
      <c r="J47" s="304" t="s">
        <v>9621</v>
      </c>
      <c r="K47" s="604" t="str">
        <f>HYPERLINK("https://maps.google.com/?q=Casa%20das%20Palmeiras%20Gandufe%2C%20Mangualde%20Portugal","🧭 Casa das Palmeiras")</f>
        <v>🧭 Casa das Palmeiras</v>
      </c>
    </row>
    <row r="48" spans="1:11" ht="110" customHeight="1" x14ac:dyDescent="0.35">
      <c r="A48" s="336">
        <v>44</v>
      </c>
      <c r="B48" s="242" t="s">
        <v>4896</v>
      </c>
      <c r="C48" s="242" t="s">
        <v>836</v>
      </c>
      <c r="D48" s="243" t="s">
        <v>2452</v>
      </c>
      <c r="E48" s="242" t="s">
        <v>8803</v>
      </c>
      <c r="F48" s="242" t="s">
        <v>8804</v>
      </c>
      <c r="G48" s="242" t="s">
        <v>2049</v>
      </c>
      <c r="H48" s="242">
        <v>2</v>
      </c>
      <c r="I48" s="242"/>
      <c r="J48" s="305" t="s">
        <v>9622</v>
      </c>
      <c r="K48" s="605" t="str">
        <f>HYPERLINK("https://maps.google.com/?q=Museu%20do%20P%C3%A3o%20Seia%20Portugal","🧭 Museu do Pão")</f>
        <v>🧭 Museu do Pão</v>
      </c>
    </row>
    <row r="49" spans="1:11" ht="110" customHeight="1" x14ac:dyDescent="0.35">
      <c r="A49" s="338">
        <v>45</v>
      </c>
      <c r="B49" s="239" t="s">
        <v>8772</v>
      </c>
      <c r="C49" s="239" t="s">
        <v>836</v>
      </c>
      <c r="D49" s="240" t="s">
        <v>2452</v>
      </c>
      <c r="E49" s="239" t="s">
        <v>8767</v>
      </c>
      <c r="F49" s="239" t="s">
        <v>8773</v>
      </c>
      <c r="G49" s="239" t="s">
        <v>9623</v>
      </c>
      <c r="H49" s="239">
        <v>1</v>
      </c>
      <c r="I49" s="239"/>
      <c r="J49" s="304" t="s">
        <v>9624</v>
      </c>
      <c r="K49" s="604" t="str">
        <f>HYPERLINK("https://maps.google.com/?q=Agostinho%20Saraiva%20Pais%20%E2%80%93%20Queijaria%20Tia%20Am%C3%A9lia%20Vale%20da%20Ribeira%2C%20Celorico%20da%20Beira%20Portugal","🧭 Agostinho Saraiva Pais – Que")</f>
        <v>🧭 Agostinho Saraiva Pais – Que</v>
      </c>
    </row>
    <row r="50" spans="1:11" ht="110" customHeight="1" x14ac:dyDescent="0.35">
      <c r="A50" s="336">
        <v>46</v>
      </c>
      <c r="B50" s="242" t="s">
        <v>8786</v>
      </c>
      <c r="C50" s="242" t="s">
        <v>836</v>
      </c>
      <c r="D50" s="243" t="s">
        <v>8782</v>
      </c>
      <c r="E50" s="242" t="s">
        <v>8767</v>
      </c>
      <c r="F50" s="242" t="s">
        <v>8787</v>
      </c>
      <c r="G50" s="242" t="s">
        <v>9625</v>
      </c>
      <c r="H50" s="242">
        <v>2</v>
      </c>
      <c r="I50" s="242"/>
      <c r="J50" s="305" t="s">
        <v>9626</v>
      </c>
      <c r="K50" s="605" t="str">
        <f>HYPERLINK("https://maps.google.com/?q=BeiraLacte%20%E2%80%93%20Lactic%C3%ADnios%20da%20Beira%20Baixa%20Alcaria%2C%20Fund%C3%A3o%20Portugal","🧭 BeiraLacte – Lacticínios da ")</f>
        <v xml:space="preserve">🧭 BeiraLacte – Lacticínios da </v>
      </c>
    </row>
    <row r="51" spans="1:11" ht="110" customHeight="1" x14ac:dyDescent="0.35">
      <c r="A51" s="338">
        <v>47</v>
      </c>
      <c r="B51" s="239" t="s">
        <v>8801</v>
      </c>
      <c r="C51" s="239" t="s">
        <v>836</v>
      </c>
      <c r="D51" s="240" t="s">
        <v>2452</v>
      </c>
      <c r="E51" s="239" t="s">
        <v>8767</v>
      </c>
      <c r="F51" s="239" t="s">
        <v>8802</v>
      </c>
      <c r="G51" s="239" t="s">
        <v>9627</v>
      </c>
      <c r="H51" s="239">
        <v>1</v>
      </c>
      <c r="I51" s="239"/>
      <c r="J51" s="304" t="s">
        <v>9628</v>
      </c>
      <c r="K51" s="604" t="str">
        <f>HYPERLINK("https://maps.google.com/?q=Estrela%20Artesanal%20%E2%80%93%20Queijaria%2C%20Lda%20Lagares%20da%20Beira%2C%20Oliveira%20do%20Hospital%20Portugal","🧭 Estrela Artesanal – Queijari")</f>
        <v>🧭 Estrela Artesanal – Queijari</v>
      </c>
    </row>
    <row r="52" spans="1:11" ht="110" customHeight="1" x14ac:dyDescent="0.35">
      <c r="A52" s="336">
        <v>48</v>
      </c>
      <c r="B52" s="242" t="s">
        <v>8813</v>
      </c>
      <c r="C52" s="242" t="s">
        <v>836</v>
      </c>
      <c r="D52" s="243" t="s">
        <v>8782</v>
      </c>
      <c r="E52" s="242" t="s">
        <v>8767</v>
      </c>
      <c r="F52" s="242" t="s">
        <v>8814</v>
      </c>
      <c r="G52" s="242" t="s">
        <v>1713</v>
      </c>
      <c r="H52" s="242">
        <v>1</v>
      </c>
      <c r="I52" s="242"/>
      <c r="J52" s="305" t="s">
        <v>9629</v>
      </c>
      <c r="K52" s="605" t="str">
        <f>HYPERLINK("https://maps.google.com/?q=Queijaria%20Almeida%20%E2%80%93%20Com%C3%A9rcio%20e%20Ind%C3%BAstria%20de%20Queijo%20Castelo%20Branco%20Portugal","🧭 Queijaria Almeida – Comércio")</f>
        <v>🧭 Queijaria Almeida – Comércio</v>
      </c>
    </row>
    <row r="53" spans="1:11" ht="110" customHeight="1" x14ac:dyDescent="0.35">
      <c r="A53" s="338">
        <v>49</v>
      </c>
      <c r="B53" s="239" t="s">
        <v>8815</v>
      </c>
      <c r="C53" s="239" t="s">
        <v>836</v>
      </c>
      <c r="D53" s="240" t="s">
        <v>8782</v>
      </c>
      <c r="E53" s="239" t="s">
        <v>8767</v>
      </c>
      <c r="F53" s="239" t="s">
        <v>8816</v>
      </c>
      <c r="G53" s="239" t="s">
        <v>2091</v>
      </c>
      <c r="H53" s="239">
        <v>1</v>
      </c>
      <c r="I53" s="239"/>
      <c r="J53" s="304" t="s">
        <v>9629</v>
      </c>
      <c r="K53" s="604" t="str">
        <f>HYPERLINK("https://maps.google.com/?q=Queijaria%20DAMAR%20%E2%80%93%20Queijos%20Tavares%20SA%20Fund%C3%A3o%20Portugal","🧭 Queijaria DAMAR – Queijos Ta")</f>
        <v>🧭 Queijaria DAMAR – Queijos Ta</v>
      </c>
    </row>
    <row r="54" spans="1:11" ht="110" customHeight="1" x14ac:dyDescent="0.35">
      <c r="A54" s="336">
        <v>50</v>
      </c>
      <c r="B54" s="242" t="s">
        <v>8817</v>
      </c>
      <c r="C54" s="242" t="s">
        <v>836</v>
      </c>
      <c r="D54" s="243" t="s">
        <v>2452</v>
      </c>
      <c r="E54" s="242" t="s">
        <v>8767</v>
      </c>
      <c r="F54" s="242" t="s">
        <v>8818</v>
      </c>
      <c r="G54" s="242" t="s">
        <v>2054</v>
      </c>
      <c r="H54" s="242">
        <v>1</v>
      </c>
      <c r="I54" s="242"/>
      <c r="J54" s="305" t="s">
        <v>9630</v>
      </c>
      <c r="K54" s="605" t="str">
        <f>HYPERLINK("https://maps.google.com/?q=Queijaria%20Dos%20Lobos%20Oliveira%20do%20Hospital%20Portugal","🧭 Queijaria Dos Lobos")</f>
        <v>🧭 Queijaria Dos Lobos</v>
      </c>
    </row>
    <row r="55" spans="1:11" ht="110" customHeight="1" x14ac:dyDescent="0.35">
      <c r="A55" s="338">
        <v>51</v>
      </c>
      <c r="B55" s="239" t="s">
        <v>8819</v>
      </c>
      <c r="C55" s="239" t="s">
        <v>836</v>
      </c>
      <c r="D55" s="240" t="s">
        <v>2452</v>
      </c>
      <c r="E55" s="239" t="s">
        <v>8767</v>
      </c>
      <c r="F55" s="239" t="s">
        <v>8820</v>
      </c>
      <c r="G55" s="239" t="s">
        <v>9631</v>
      </c>
      <c r="H55" s="239">
        <v>1</v>
      </c>
      <c r="I55" s="239"/>
      <c r="J55" s="304" t="s">
        <v>9632</v>
      </c>
      <c r="K55" s="604" t="str">
        <f>HYPERLINK("https://maps.google.com/?q=Queijaria%20Lameiras%20Vila%20Franca%20da%20Beira%20Portugal","🧭 Queijaria Lameiras")</f>
        <v>🧭 Queijaria Lameiras</v>
      </c>
    </row>
    <row r="56" spans="1:11" ht="110" customHeight="1" x14ac:dyDescent="0.35">
      <c r="A56" s="336">
        <v>52</v>
      </c>
      <c r="B56" s="242" t="s">
        <v>8821</v>
      </c>
      <c r="C56" s="242" t="s">
        <v>836</v>
      </c>
      <c r="D56" s="243" t="s">
        <v>2452</v>
      </c>
      <c r="E56" s="242" t="s">
        <v>8767</v>
      </c>
      <c r="F56" s="242" t="s">
        <v>8822</v>
      </c>
      <c r="G56" s="242" t="s">
        <v>2049</v>
      </c>
      <c r="H56" s="242">
        <v>2</v>
      </c>
      <c r="I56" s="242"/>
      <c r="J56" s="305" t="s">
        <v>9633</v>
      </c>
      <c r="K56" s="605" t="str">
        <f>HYPERLINK("https://maps.google.com/?q=Queijaria%20Quinta%20da%20Pena%20Seia%20Portugal","🧭 Queijaria Quinta da Pena")</f>
        <v>🧭 Queijaria Quinta da Pena</v>
      </c>
    </row>
    <row r="57" spans="1:11" ht="110" customHeight="1" x14ac:dyDescent="0.35">
      <c r="A57" s="338">
        <v>53</v>
      </c>
      <c r="B57" s="239" t="s">
        <v>8823</v>
      </c>
      <c r="C57" s="239" t="s">
        <v>836</v>
      </c>
      <c r="D57" s="240" t="s">
        <v>8768</v>
      </c>
      <c r="E57" s="239" t="s">
        <v>8767</v>
      </c>
      <c r="F57" s="239" t="s">
        <v>8824</v>
      </c>
      <c r="G57" s="239" t="s">
        <v>9634</v>
      </c>
      <c r="H57" s="239">
        <v>1</v>
      </c>
      <c r="I57" s="239"/>
      <c r="J57" s="304" t="s">
        <v>9635</v>
      </c>
      <c r="K57" s="604" t="str">
        <f>HYPERLINK("https://maps.google.com/?q=Queijaria%20da%20Lic%C3%ADnia%2C%20Lda%20Pombalinho%2C%20Soure%20Portugal","🧭 Queijaria da Licínia, Lda")</f>
        <v>🧭 Queijaria da Licínia, Lda</v>
      </c>
    </row>
    <row r="58" spans="1:11" ht="110" customHeight="1" x14ac:dyDescent="0.35">
      <c r="A58" s="336">
        <v>54</v>
      </c>
      <c r="B58" s="242" t="s">
        <v>8825</v>
      </c>
      <c r="C58" s="242" t="s">
        <v>836</v>
      </c>
      <c r="D58" s="243" t="s">
        <v>2452</v>
      </c>
      <c r="E58" s="242" t="s">
        <v>8767</v>
      </c>
      <c r="F58" s="242" t="s">
        <v>8826</v>
      </c>
      <c r="G58" s="242" t="s">
        <v>9636</v>
      </c>
      <c r="H58" s="242">
        <v>1</v>
      </c>
      <c r="I58" s="242"/>
      <c r="J58" s="305" t="s">
        <v>9637</v>
      </c>
      <c r="K58" s="605" t="str">
        <f>HYPERLINK("https://maps.google.com/?q=Queijaria%20do%20Germil%20Germil%2C%20Penalva%20do%20Castelo%20Portugal","🧭 Queijaria do Germil")</f>
        <v>🧭 Queijaria do Germil</v>
      </c>
    </row>
    <row r="59" spans="1:11" ht="110" customHeight="1" x14ac:dyDescent="0.35">
      <c r="A59" s="338">
        <v>55</v>
      </c>
      <c r="B59" s="239" t="s">
        <v>8827</v>
      </c>
      <c r="C59" s="239" t="s">
        <v>836</v>
      </c>
      <c r="D59" s="240" t="s">
        <v>2452</v>
      </c>
      <c r="E59" s="239" t="s">
        <v>8767</v>
      </c>
      <c r="F59" s="239" t="s">
        <v>8828</v>
      </c>
      <c r="G59" s="239" t="s">
        <v>9638</v>
      </c>
      <c r="H59" s="239">
        <v>1</v>
      </c>
      <c r="I59" s="239"/>
      <c r="J59" s="304" t="s">
        <v>9639</v>
      </c>
      <c r="K59" s="604" t="str">
        <f>HYPERLINK("https://maps.google.com/?q=Quinta%20S%C3%A3o%20Cosme%20Vila%20Nova%20de%20T%C3%A1zem%20Portugal","🧭 Quinta São Cosme")</f>
        <v>🧭 Quinta São Cosme</v>
      </c>
    </row>
    <row r="60" spans="1:11" ht="110" customHeight="1" x14ac:dyDescent="0.35">
      <c r="A60" s="336">
        <v>56</v>
      </c>
      <c r="B60" s="242" t="s">
        <v>8829</v>
      </c>
      <c r="C60" s="242" t="s">
        <v>836</v>
      </c>
      <c r="D60" s="243" t="s">
        <v>2452</v>
      </c>
      <c r="E60" s="242" t="s">
        <v>8767</v>
      </c>
      <c r="F60" s="242" t="s">
        <v>8830</v>
      </c>
      <c r="G60" s="242" t="s">
        <v>7019</v>
      </c>
      <c r="H60" s="242">
        <v>5</v>
      </c>
      <c r="I60" s="242"/>
      <c r="J60" s="305" t="s">
        <v>9640</v>
      </c>
      <c r="K60" s="605" t="str">
        <f>HYPERLINK("https://maps.google.com/?q=Quinta%20da%20Estaca%20%E2%80%93%20Luc%C3%ADlia%20Rosa%20Assun%C3%A7%C3%A3o%20Loureiro%20Nelas%20Portugal","🧭 Quinta da Estaca – Lucília R")</f>
        <v>🧭 Quinta da Estaca – Lucília R</v>
      </c>
    </row>
    <row r="61" spans="1:11" ht="110" customHeight="1" x14ac:dyDescent="0.35">
      <c r="A61" s="338">
        <v>57</v>
      </c>
      <c r="B61" s="239" t="s">
        <v>8831</v>
      </c>
      <c r="C61" s="239" t="s">
        <v>836</v>
      </c>
      <c r="D61" s="240" t="s">
        <v>2452</v>
      </c>
      <c r="E61" s="239" t="s">
        <v>8767</v>
      </c>
      <c r="F61" s="239" t="s">
        <v>8832</v>
      </c>
      <c r="G61" s="239" t="s">
        <v>9641</v>
      </c>
      <c r="H61" s="239">
        <v>2</v>
      </c>
      <c r="I61" s="239"/>
      <c r="J61" s="304" t="s">
        <v>9642</v>
      </c>
      <c r="K61" s="604" t="str">
        <f>HYPERLINK("https://maps.google.com/?q=Quinta%20do%20Cruzeiro%20Seixo%20da%20Beira%2C%20Oliveira%20do%20Hospital%20Portugal","🧭 Quinta do Cruzeiro")</f>
        <v>🧭 Quinta do Cruzeiro</v>
      </c>
    </row>
    <row r="62" spans="1:11" ht="110" customHeight="1" x14ac:dyDescent="0.35">
      <c r="A62" s="336">
        <v>58</v>
      </c>
      <c r="B62" s="242" t="s">
        <v>8833</v>
      </c>
      <c r="C62" s="242" t="s">
        <v>836</v>
      </c>
      <c r="D62" s="243" t="s">
        <v>8782</v>
      </c>
      <c r="E62" s="242" t="s">
        <v>8767</v>
      </c>
      <c r="F62" s="242" t="s">
        <v>8834</v>
      </c>
      <c r="G62" s="242" t="s">
        <v>1713</v>
      </c>
      <c r="H62" s="242">
        <v>2</v>
      </c>
      <c r="I62" s="242"/>
      <c r="J62" s="305" t="s">
        <v>9629</v>
      </c>
      <c r="K62" s="605" t="str">
        <f>HYPERLINK("https://maps.google.com/?q=Sabores%20da%20Soalheira%20Castelo%20Branco%20Portugal","🧭 Sabores da Soalheira")</f>
        <v>🧭 Sabores da Soalheira</v>
      </c>
    </row>
    <row r="63" spans="1:11" ht="110" customHeight="1" x14ac:dyDescent="0.35">
      <c r="A63" s="338">
        <v>59</v>
      </c>
      <c r="B63" s="239" t="s">
        <v>8835</v>
      </c>
      <c r="C63" s="239" t="s">
        <v>836</v>
      </c>
      <c r="D63" s="240" t="s">
        <v>8768</v>
      </c>
      <c r="E63" s="239" t="s">
        <v>8767</v>
      </c>
      <c r="F63" s="239" t="s">
        <v>8836</v>
      </c>
      <c r="G63" s="239" t="s">
        <v>8858</v>
      </c>
      <c r="H63" s="239">
        <v>1</v>
      </c>
      <c r="I63" s="239"/>
      <c r="J63" s="304" t="s">
        <v>9643</v>
      </c>
      <c r="K63" s="604" t="str">
        <f>HYPERLINK("https://maps.google.com/?q=Serras%20do%20Raba%C3%A7al%20Raba%C3%A7al%2C%20Penela%20Portugal","🧭 Serras do Rabaçal")</f>
        <v>🧭 Serras do Rabaçal</v>
      </c>
    </row>
    <row r="64" spans="1:11" ht="110" customHeight="1" x14ac:dyDescent="0.35">
      <c r="A64" s="336">
        <v>60</v>
      </c>
      <c r="B64" s="242" t="s">
        <v>8837</v>
      </c>
      <c r="C64" s="242" t="s">
        <v>836</v>
      </c>
      <c r="D64" s="243" t="s">
        <v>2452</v>
      </c>
      <c r="E64" s="242" t="s">
        <v>8767</v>
      </c>
      <c r="F64" s="242" t="s">
        <v>8838</v>
      </c>
      <c r="G64" s="242" t="s">
        <v>7002</v>
      </c>
      <c r="H64" s="242">
        <v>1</v>
      </c>
      <c r="I64" s="242"/>
      <c r="J64" s="305" t="s">
        <v>9644</v>
      </c>
      <c r="K64" s="605" t="str">
        <f>HYPERLINK("https://maps.google.com/?q=Vale%20da%20Estrela%20Mangualde%20Portugal","🧭 Vale da Estrela")</f>
        <v>🧭 Vale da Estrela</v>
      </c>
    </row>
    <row r="65" spans="1:11" ht="110" customHeight="1" x14ac:dyDescent="0.35">
      <c r="A65" s="338">
        <v>61</v>
      </c>
      <c r="B65" s="239" t="s">
        <v>8766</v>
      </c>
      <c r="C65" s="239" t="s">
        <v>836</v>
      </c>
      <c r="D65" s="240" t="s">
        <v>8768</v>
      </c>
      <c r="E65" s="239" t="s">
        <v>8769</v>
      </c>
      <c r="F65" s="239" t="s">
        <v>8770</v>
      </c>
      <c r="G65" s="239" t="s">
        <v>9645</v>
      </c>
      <c r="H65" s="239">
        <v>3</v>
      </c>
      <c r="I65" s="239"/>
      <c r="J65" s="304" t="s">
        <v>9646</v>
      </c>
      <c r="K65" s="604" t="str">
        <f>HYPERLINK("https://maps.google.com/?q=A%20Queijeira%20do%20Raba%C3%A7al%20Raba%C3%A7al%20-%20Penela%20Portugal","🧭 A Queijeira do Rabaçal")</f>
        <v>🧭 A Queijeira do Rabaçal</v>
      </c>
    </row>
    <row r="66" spans="1:11" ht="110" customHeight="1" x14ac:dyDescent="0.35">
      <c r="A66" s="336">
        <v>62</v>
      </c>
      <c r="B66" s="242" t="s">
        <v>8808</v>
      </c>
      <c r="C66" s="242" t="s">
        <v>836</v>
      </c>
      <c r="D66" s="243" t="s">
        <v>2452</v>
      </c>
      <c r="E66" s="242" t="s">
        <v>8769</v>
      </c>
      <c r="F66" s="242" t="s">
        <v>8809</v>
      </c>
      <c r="G66" s="242" t="s">
        <v>9647</v>
      </c>
      <c r="H66" s="242">
        <v>2</v>
      </c>
      <c r="I66" s="242"/>
      <c r="J66" s="305" t="s">
        <v>9648</v>
      </c>
      <c r="K66" s="605" t="str">
        <f>HYPERLINK("https://maps.google.com/?q=Ponte%20dos%20Cavaleiros%20Arcozelo%20da%20Serra%2C%20Gouveia%20Portugal","🧭 Ponte dos Cavaleiros")</f>
        <v>🧭 Ponte dos Cavaleiros</v>
      </c>
    </row>
    <row r="67" spans="1:11" ht="110" customHeight="1" x14ac:dyDescent="0.35">
      <c r="A67" s="338">
        <v>63</v>
      </c>
      <c r="B67" s="239" t="s">
        <v>9649</v>
      </c>
      <c r="C67" s="239" t="s">
        <v>836</v>
      </c>
      <c r="D67" s="240" t="s">
        <v>8782</v>
      </c>
      <c r="E67" s="239" t="s">
        <v>9650</v>
      </c>
      <c r="F67" s="239" t="s">
        <v>9651</v>
      </c>
      <c r="G67" s="239" t="s">
        <v>5883</v>
      </c>
      <c r="H67" s="239">
        <v>1</v>
      </c>
      <c r="I67" s="239"/>
      <c r="J67" s="304" t="s">
        <v>9652</v>
      </c>
      <c r="K67" s="604" t="str">
        <f>HYPERLINK("https://maps.google.com/?q=Restaurante%20Alkimya%20Covilh%C3%A3%20Portugal","🧭 Restaurante Alkimya")</f>
        <v>🧭 Restaurante Alkimya</v>
      </c>
    </row>
    <row r="68" spans="1:11" ht="110" customHeight="1" x14ac:dyDescent="0.35">
      <c r="A68" s="336">
        <v>64</v>
      </c>
      <c r="B68" s="242" t="s">
        <v>9653</v>
      </c>
      <c r="C68" s="242" t="s">
        <v>836</v>
      </c>
      <c r="D68" s="243" t="s">
        <v>8782</v>
      </c>
      <c r="E68" s="242" t="s">
        <v>9650</v>
      </c>
      <c r="F68" s="242" t="s">
        <v>9654</v>
      </c>
      <c r="G68" s="242" t="s">
        <v>1713</v>
      </c>
      <c r="H68" s="242">
        <v>1</v>
      </c>
      <c r="I68" s="242"/>
      <c r="J68" s="305" t="s">
        <v>9655</v>
      </c>
      <c r="K68" s="605" t="str">
        <f>HYPERLINK("https://maps.google.com/?q=Restaurante%20Cabra%20Preta%20Castelo%20Branco%20Portugal","🧭 Restaurante Cabra Preta")</f>
        <v>🧭 Restaurante Cabra Preta</v>
      </c>
    </row>
    <row r="69" spans="1:11" ht="110" customHeight="1" x14ac:dyDescent="0.35">
      <c r="A69" s="338">
        <v>65</v>
      </c>
      <c r="B69" s="239" t="s">
        <v>9656</v>
      </c>
      <c r="C69" s="239" t="s">
        <v>836</v>
      </c>
      <c r="D69" s="240" t="s">
        <v>2452</v>
      </c>
      <c r="E69" s="239" t="s">
        <v>9650</v>
      </c>
      <c r="F69" s="239" t="s">
        <v>9657</v>
      </c>
      <c r="G69" s="239" t="s">
        <v>9658</v>
      </c>
      <c r="H69" s="239">
        <v>1</v>
      </c>
      <c r="I69" s="239"/>
      <c r="J69" s="304" t="s">
        <v>9659</v>
      </c>
      <c r="K69" s="604" t="str">
        <f>HYPERLINK("https://maps.google.com/?q=Restaurante%20Cova%20da%20Loba%20Linhares%20da%20Beira%20Portugal","🧭 Restaurante Cova da Loba")</f>
        <v>🧭 Restaurante Cova da Loba</v>
      </c>
    </row>
    <row r="70" spans="1:11" ht="110" customHeight="1" x14ac:dyDescent="0.35">
      <c r="A70" s="336">
        <v>66</v>
      </c>
      <c r="B70" s="242" t="s">
        <v>9660</v>
      </c>
      <c r="C70" s="242" t="s">
        <v>836</v>
      </c>
      <c r="D70" s="243" t="s">
        <v>8768</v>
      </c>
      <c r="E70" s="242" t="s">
        <v>9650</v>
      </c>
      <c r="F70" s="242" t="s">
        <v>9661</v>
      </c>
      <c r="G70" s="242" t="s">
        <v>7323</v>
      </c>
      <c r="H70" s="242">
        <v>1</v>
      </c>
      <c r="I70" s="242"/>
      <c r="J70" s="305" t="s">
        <v>9662</v>
      </c>
      <c r="K70" s="605" t="str">
        <f>HYPERLINK("https://maps.google.com/?q=Restaurante%20Dom%20Sesnando%20Penela%20Portugal","🧭 Restaurante Dom Sesnando")</f>
        <v>🧭 Restaurante Dom Sesnando</v>
      </c>
    </row>
    <row r="71" spans="1:11" ht="110" customHeight="1" x14ac:dyDescent="0.35">
      <c r="A71" s="338">
        <v>67</v>
      </c>
      <c r="B71" s="239" t="s">
        <v>9663</v>
      </c>
      <c r="C71" s="239" t="s">
        <v>836</v>
      </c>
      <c r="D71" s="240" t="s">
        <v>2452</v>
      </c>
      <c r="E71" s="239" t="s">
        <v>9650</v>
      </c>
      <c r="F71" s="239" t="s">
        <v>9664</v>
      </c>
      <c r="G71" s="239" t="s">
        <v>9665</v>
      </c>
      <c r="H71" s="239">
        <v>1</v>
      </c>
      <c r="I71" s="239"/>
      <c r="J71" s="304" t="s">
        <v>9666</v>
      </c>
      <c r="K71" s="604" t="str">
        <f>HYPERLINK("https://maps.google.com/?q=Restaurante%20Olea%20Bobadela%20Portugal","🧭 Restaurante Olea")</f>
        <v>🧭 Restaurante Olea</v>
      </c>
    </row>
    <row r="72" spans="1:11" ht="110" customHeight="1" x14ac:dyDescent="0.35">
      <c r="A72" s="336">
        <v>68</v>
      </c>
      <c r="B72" s="242" t="s">
        <v>9667</v>
      </c>
      <c r="C72" s="242" t="s">
        <v>836</v>
      </c>
      <c r="D72" s="243" t="s">
        <v>8768</v>
      </c>
      <c r="E72" s="242" t="s">
        <v>9650</v>
      </c>
      <c r="F72" s="242" t="s">
        <v>9668</v>
      </c>
      <c r="G72" s="242" t="s">
        <v>7323</v>
      </c>
      <c r="H72" s="242">
        <v>1</v>
      </c>
      <c r="I72" s="242"/>
      <c r="J72" s="305" t="s">
        <v>9669</v>
      </c>
      <c r="K72" s="605" t="str">
        <f>HYPERLINK("https://maps.google.com/?q=Restaurante%20ViRiDi%20Penela%20Portugal","🧭 Restaurante ViRiDi")</f>
        <v>🧭 Restaurante ViRiDi</v>
      </c>
    </row>
    <row r="73" spans="1:11" ht="110" customHeight="1" x14ac:dyDescent="0.35">
      <c r="A73" s="338">
        <v>69</v>
      </c>
      <c r="B73" s="239" t="s">
        <v>9670</v>
      </c>
      <c r="C73" s="239" t="s">
        <v>836</v>
      </c>
      <c r="D73" s="240" t="s">
        <v>8782</v>
      </c>
      <c r="E73" s="239" t="s">
        <v>9671</v>
      </c>
      <c r="F73" s="239" t="s">
        <v>9672</v>
      </c>
      <c r="G73" s="239" t="s">
        <v>8430</v>
      </c>
      <c r="H73" s="239">
        <v>2</v>
      </c>
      <c r="I73" s="239"/>
      <c r="J73" s="304" t="s">
        <v>9673</v>
      </c>
      <c r="K73" s="604" t="str">
        <f>HYPERLINK("https://maps.google.com/?q=Amoras%20Country%20House%20%E2%80%93%20Despensa%20%C3%A0%20Nova%20Proen%C3%A7a-a-Nova%20Portugal","🧭 Amoras Country House – Despe")</f>
        <v>🧭 Amoras Country House – Despe</v>
      </c>
    </row>
    <row r="74" spans="1:11" ht="110" customHeight="1" x14ac:dyDescent="0.35">
      <c r="A74" s="336">
        <v>70</v>
      </c>
      <c r="B74" s="242" t="s">
        <v>9674</v>
      </c>
      <c r="C74" s="242" t="s">
        <v>836</v>
      </c>
      <c r="D74" s="243" t="s">
        <v>8782</v>
      </c>
      <c r="E74" s="242" t="s">
        <v>9675</v>
      </c>
      <c r="F74" s="242" t="s">
        <v>9676</v>
      </c>
      <c r="G74" s="242" t="s">
        <v>5713</v>
      </c>
      <c r="H74" s="242">
        <v>2</v>
      </c>
      <c r="I74" s="242"/>
      <c r="J74" s="305" t="s">
        <v>9677</v>
      </c>
      <c r="K74" s="605" t="str">
        <f>HYPERLINK("https://maps.google.com/?q=VilaPortuguesa%20Vila%20Velha%20de%20R%C3%B3d%C3%A3o%20Portugal","🧭 VilaPortuguesa")</f>
        <v>🧭 VilaPortuguesa</v>
      </c>
    </row>
    <row r="75" spans="1:11" ht="110" customHeight="1" x14ac:dyDescent="0.35">
      <c r="A75" s="338">
        <v>71</v>
      </c>
      <c r="B75" s="239" t="s">
        <v>8810</v>
      </c>
      <c r="C75" s="239" t="s">
        <v>836</v>
      </c>
      <c r="D75" s="240" t="s">
        <v>8768</v>
      </c>
      <c r="E75" s="239" t="s">
        <v>8811</v>
      </c>
      <c r="F75" s="239" t="s">
        <v>8812</v>
      </c>
      <c r="G75" s="239" t="s">
        <v>9678</v>
      </c>
      <c r="H75" s="239">
        <v>3</v>
      </c>
      <c r="I75" s="239"/>
      <c r="J75" s="304" t="s">
        <v>9679</v>
      </c>
      <c r="K75" s="604" t="str">
        <f>HYPERLINK("https://maps.google.com/?q=Prado%20da%20Sic%C3%B3%20Santiago%20da%20Guarda%2C%20Ansi%C3%A3o%20Portugal","🧭 Prado da Sicó")</f>
        <v>🧭 Prado da Sicó</v>
      </c>
    </row>
    <row r="76" spans="1:11" ht="110" customHeight="1" x14ac:dyDescent="0.35">
      <c r="A76" s="336">
        <v>72</v>
      </c>
      <c r="B76" s="242" t="s">
        <v>7711</v>
      </c>
      <c r="C76" s="242" t="s">
        <v>836</v>
      </c>
      <c r="D76" s="243" t="s">
        <v>2452</v>
      </c>
      <c r="E76" s="242" t="s">
        <v>8793</v>
      </c>
      <c r="F76" s="242" t="s">
        <v>8794</v>
      </c>
      <c r="G76" s="242" t="s">
        <v>7712</v>
      </c>
      <c r="H76" s="242">
        <v>4</v>
      </c>
      <c r="I76" s="242"/>
      <c r="J76" s="305" t="s">
        <v>9680</v>
      </c>
      <c r="K76" s="605" t="str">
        <f>HYPERLINK("https://maps.google.com/?q=Casa%20da%20%C3%8Dnsua%20Penalva%20do%20Castelo%20Portugal","🧭 Casa da Ínsua")</f>
        <v>🧭 Casa da Ínsua</v>
      </c>
    </row>
    <row r="77" spans="1:11" ht="22" customHeight="1" x14ac:dyDescent="0.35">
      <c r="A77" s="1475" t="s">
        <v>9681</v>
      </c>
      <c r="B77" s="1313"/>
      <c r="C77" s="1313"/>
      <c r="D77" s="1313"/>
      <c r="E77" s="1313"/>
      <c r="F77" s="1313"/>
      <c r="G77" s="1313"/>
      <c r="H77" s="1313"/>
      <c r="I77" s="1313"/>
      <c r="J77" s="1313"/>
    </row>
    <row r="78" spans="1:11" ht="110" customHeight="1" x14ac:dyDescent="0.35">
      <c r="A78" s="358">
        <v>1</v>
      </c>
      <c r="B78" s="259" t="s">
        <v>9682</v>
      </c>
      <c r="C78" s="259" t="s">
        <v>836</v>
      </c>
      <c r="D78" s="260" t="s">
        <v>4105</v>
      </c>
      <c r="E78" s="259" t="s">
        <v>9485</v>
      </c>
      <c r="F78" s="259" t="s">
        <v>1690</v>
      </c>
      <c r="G78" s="259" t="s">
        <v>1690</v>
      </c>
      <c r="H78" s="259" t="s">
        <v>9508</v>
      </c>
      <c r="I78" s="259" t="str">
        <f>HYPERLINK("https://ecolã.com","ecolã.com")</f>
        <v>ecolã.com</v>
      </c>
      <c r="J78" s="304" t="s">
        <v>9683</v>
      </c>
      <c r="K78" s="606" t="str">
        <f>HYPERLINK("https://maps.google.com/?q=Hotel%20da%20Fabrica%20Ecol%C3%A3%20Manteigas%2C%20Guarda%20Portugal","🧭 Hotel da Fabrica Ecolã")</f>
        <v>🧭 Hotel da Fabrica Ecolã</v>
      </c>
    </row>
    <row r="79" spans="1:11" ht="110" customHeight="1" x14ac:dyDescent="0.35">
      <c r="A79" s="352">
        <v>2</v>
      </c>
      <c r="B79" s="262" t="s">
        <v>9684</v>
      </c>
      <c r="C79" s="262" t="s">
        <v>836</v>
      </c>
      <c r="D79" s="263" t="s">
        <v>9685</v>
      </c>
      <c r="E79" s="262" t="s">
        <v>9493</v>
      </c>
      <c r="F79" s="262" t="s">
        <v>8550</v>
      </c>
      <c r="G79" s="262" t="s">
        <v>9118</v>
      </c>
      <c r="H79" s="262" t="s">
        <v>9508</v>
      </c>
      <c r="I79" s="262" t="str">
        <f>HYPERLINK("https://quintadoprado.pt","quintadoprado.pt")</f>
        <v>quintadoprado.pt</v>
      </c>
      <c r="J79" s="305" t="s">
        <v>9686</v>
      </c>
      <c r="K79" s="607" t="str">
        <f>HYPERLINK("https://maps.google.com/?q=Quinta%20do%20Prado%20%E2%80%94%20Lous%C3%A3%20Lousa%2C%20Coimbra%20Portugal","🧭 Quinta do Prado — Lousã")</f>
        <v>🧭 Quinta do Prado — Lousã</v>
      </c>
    </row>
    <row r="80" spans="1:11" ht="110" customHeight="1" x14ac:dyDescent="0.35">
      <c r="A80" s="358">
        <v>3</v>
      </c>
      <c r="B80" s="259" t="s">
        <v>9600</v>
      </c>
      <c r="C80" s="259" t="s">
        <v>836</v>
      </c>
      <c r="D80" s="260" t="s">
        <v>4105</v>
      </c>
      <c r="E80" s="259" t="s">
        <v>9507</v>
      </c>
      <c r="F80" s="259" t="s">
        <v>9687</v>
      </c>
      <c r="G80" s="259" t="s">
        <v>1690</v>
      </c>
      <c r="H80" s="259" t="s">
        <v>9512</v>
      </c>
      <c r="I80" s="259" t="str">
        <f>HYPERLINK("https://penhasdouradas.pt","penhasdouradas.pt")</f>
        <v>penhasdouradas.pt</v>
      </c>
      <c r="J80" s="304" t="s">
        <v>9688</v>
      </c>
      <c r="K80" s="606" t="str">
        <f>HYPERLINK("https://maps.google.com/?q=Casa%20das%20Penhas%20Douradas%20Manteigas%2C%20Guarda%20Portugal","🧭 Casa das Penhas Douradas")</f>
        <v>🧭 Casa das Penhas Douradas</v>
      </c>
    </row>
    <row r="81" spans="1:11" ht="110" customHeight="1" x14ac:dyDescent="0.35">
      <c r="A81" s="352">
        <v>4</v>
      </c>
      <c r="B81" s="262" t="s">
        <v>9689</v>
      </c>
      <c r="C81" s="262" t="s">
        <v>836</v>
      </c>
      <c r="D81" s="263" t="s">
        <v>9122</v>
      </c>
      <c r="E81" s="262" t="s">
        <v>9507</v>
      </c>
      <c r="F81" s="262" t="s">
        <v>9690</v>
      </c>
      <c r="G81" s="262" t="s">
        <v>9124</v>
      </c>
      <c r="H81" s="262" t="s">
        <v>9512</v>
      </c>
      <c r="I81" s="262" t="str">
        <f>HYPERLINK("https://conventodoseixo.pt","conventodoseixo.pt")</f>
        <v>conventodoseixo.pt</v>
      </c>
      <c r="J81" s="305" t="s">
        <v>9691</v>
      </c>
      <c r="K81" s="607" t="str">
        <f>HYPERLINK("https://maps.google.com/?q=Convento%20do%20Seixo%20Boutique%20Spa%20Fundao%2C%20Castelo%20Branco%20Portugal","🧭 Convento do Seixo Boutique S")</f>
        <v>🧭 Convento do Seixo Boutique S</v>
      </c>
    </row>
    <row r="82" spans="1:11" ht="110" customHeight="1" x14ac:dyDescent="0.35">
      <c r="A82" s="358">
        <v>5</v>
      </c>
      <c r="B82" s="259" t="s">
        <v>9692</v>
      </c>
      <c r="C82" s="259" t="s">
        <v>836</v>
      </c>
      <c r="D82" s="260" t="s">
        <v>4105</v>
      </c>
      <c r="E82" s="259" t="s">
        <v>9507</v>
      </c>
      <c r="F82" s="259" t="s">
        <v>9693</v>
      </c>
      <c r="G82" s="259" t="s">
        <v>9693</v>
      </c>
      <c r="H82" s="259" t="s">
        <v>9508</v>
      </c>
      <c r="I82" s="259" t="str">
        <f>HYPERLINK("https://quintamadredeagua.pt","quintamadredeagua.pt")</f>
        <v>quintamadredeagua.pt</v>
      </c>
      <c r="J82" s="304" t="s">
        <v>9694</v>
      </c>
      <c r="K82" s="606" t="str">
        <f>HYPERLINK("https://maps.google.com/?q=Quinta%20Madre%20de%20Agua%20Celorico%20da%20Beira%2C%20Guarda%20Portugal","🧭 Quinta Madre de Agua")</f>
        <v>🧭 Quinta Madre de Agua</v>
      </c>
    </row>
    <row r="83" spans="1:11" ht="110" customHeight="1" x14ac:dyDescent="0.35">
      <c r="A83" s="352">
        <v>6</v>
      </c>
      <c r="B83" s="262" t="s">
        <v>9695</v>
      </c>
      <c r="C83" s="262" t="s">
        <v>836</v>
      </c>
      <c r="D83" s="263" t="s">
        <v>4105</v>
      </c>
      <c r="E83" s="262" t="s">
        <v>9516</v>
      </c>
      <c r="F83" s="262" t="s">
        <v>1690</v>
      </c>
      <c r="G83" s="262" t="s">
        <v>1690</v>
      </c>
      <c r="H83" s="262" t="s">
        <v>9512</v>
      </c>
      <c r="I83" s="262" t="str">
        <f>HYPERLINK("https://burelfactory.com","burelfactory.com")</f>
        <v>burelfactory.com</v>
      </c>
      <c r="J83" s="305" t="s">
        <v>9696</v>
      </c>
      <c r="K83" s="607" t="str">
        <f>HYPERLINK("https://maps.google.com/?q=Burel%20Factory%20%E2%80%94%20Serra%20da%20Estrela%20Manteigas%2C%20Guarda%20Portugal","🧭 Burel Factory — Serra da Est")</f>
        <v>🧭 Burel Factory — Serra da Est</v>
      </c>
    </row>
    <row r="84" spans="1:11" ht="110" customHeight="1" x14ac:dyDescent="0.35">
      <c r="A84" s="358">
        <v>7</v>
      </c>
      <c r="B84" s="259" t="s">
        <v>9697</v>
      </c>
      <c r="C84" s="259" t="s">
        <v>836</v>
      </c>
      <c r="D84" s="260" t="s">
        <v>4105</v>
      </c>
      <c r="E84" s="259" t="s">
        <v>9516</v>
      </c>
      <c r="F84" s="259" t="s">
        <v>1690</v>
      </c>
      <c r="G84" s="259" t="s">
        <v>1690</v>
      </c>
      <c r="H84" s="259" t="s">
        <v>9499</v>
      </c>
      <c r="I84" s="259" t="str">
        <f>HYPERLINK("https://ecolã.com","ecolã.com")</f>
        <v>ecolã.com</v>
      </c>
      <c r="J84" s="304" t="s">
        <v>9696</v>
      </c>
      <c r="K84" s="606" t="str">
        <f>HYPERLINK("https://maps.google.com/?q=Ecol%C3%A3%20%E2%80%94%20Experiencias%20da%20Serra%20Manteigas%2C%20Guarda%20Portugal","🧭 Ecolã — Experiencias da Serr")</f>
        <v>🧭 Ecolã — Experiencias da Serr</v>
      </c>
    </row>
    <row r="85" spans="1:11" ht="110" customHeight="1" x14ac:dyDescent="0.35">
      <c r="A85" s="352">
        <v>8</v>
      </c>
      <c r="B85" s="262" t="s">
        <v>9698</v>
      </c>
      <c r="C85" s="262" t="s">
        <v>836</v>
      </c>
      <c r="D85" s="263" t="s">
        <v>4105</v>
      </c>
      <c r="E85" s="262" t="s">
        <v>9519</v>
      </c>
      <c r="F85" s="262" t="s">
        <v>9699</v>
      </c>
      <c r="G85" s="262" t="s">
        <v>9133</v>
      </c>
      <c r="H85" s="262" t="s">
        <v>9499</v>
      </c>
      <c r="I85" s="262" t="str">
        <f>HYPERLINK("https://casaspalmeiras.pt","casaspalmeiras.pt")</f>
        <v>casaspalmeiras.pt</v>
      </c>
      <c r="J85" s="305" t="s">
        <v>9700</v>
      </c>
      <c r="K85" s="607" t="str">
        <f>HYPERLINK("https://maps.google.com/?q=Casa%20das%20Palmeiras%20Experiencias%20Covilha%2C%20Castelo%20Branco%20Portugal","🧭 Casa das Palmeiras Experienc")</f>
        <v>🧭 Casa das Palmeiras Experienc</v>
      </c>
    </row>
    <row r="86" spans="1:11" ht="110" customHeight="1" x14ac:dyDescent="0.35">
      <c r="A86" s="358">
        <v>9</v>
      </c>
      <c r="B86" s="259" t="s">
        <v>9701</v>
      </c>
      <c r="C86" s="259" t="s">
        <v>836</v>
      </c>
      <c r="D86" s="260" t="s">
        <v>4105</v>
      </c>
      <c r="E86" s="259" t="s">
        <v>8803</v>
      </c>
      <c r="F86" s="259" t="s">
        <v>9702</v>
      </c>
      <c r="G86" s="259" t="s">
        <v>2467</v>
      </c>
      <c r="H86" s="259" t="s">
        <v>9487</v>
      </c>
      <c r="I86" s="259" t="str">
        <f>HYPERLINK("https://museu-do-pao.pt","museu-do-pao.pt")</f>
        <v>museu-do-pao.pt</v>
      </c>
      <c r="J86" s="304" t="s">
        <v>9703</v>
      </c>
      <c r="K86" s="606" t="str">
        <f>HYPERLINK("https://maps.google.com/?q=Museu%20do%20Pao%20%E2%80%94%20Seia%20Seia%2C%20Guarda%20Portugal","🧭 Museu do Pao — Seia")</f>
        <v>🧭 Museu do Pao — Seia</v>
      </c>
    </row>
    <row r="87" spans="1:11" ht="110" customHeight="1" x14ac:dyDescent="0.35">
      <c r="A87" s="352">
        <v>10</v>
      </c>
      <c r="B87" s="262" t="s">
        <v>9704</v>
      </c>
      <c r="C87" s="262" t="s">
        <v>836</v>
      </c>
      <c r="D87" s="263" t="s">
        <v>9705</v>
      </c>
      <c r="E87" s="262" t="s">
        <v>9525</v>
      </c>
      <c r="F87" s="262" t="s">
        <v>9706</v>
      </c>
      <c r="G87" s="262" t="s">
        <v>1476</v>
      </c>
      <c r="H87" s="262" t="s">
        <v>9508</v>
      </c>
      <c r="I87" s="262" t="str">
        <f>HYPERLINK("https://aldeias-xisto.pt","aldeias-xisto.pt")</f>
        <v>aldeias-xisto.pt</v>
      </c>
      <c r="J87" s="305" t="s">
        <v>9707</v>
      </c>
      <c r="K87" s="607" t="str">
        <f>HYPERLINK("https://maps.google.com/?q=Sabores%20da%20Serra%20%E2%80%94%20Aldeias%20Xisto%20Arganil%2C%20Coimbra%20Portugal","🧭 Sabores da Serra — Aldeias X")</f>
        <v>🧭 Sabores da Serra — Aldeias X</v>
      </c>
    </row>
    <row r="88" spans="1:11" ht="22" customHeight="1" x14ac:dyDescent="0.35">
      <c r="A88" s="1478" t="s">
        <v>9708</v>
      </c>
      <c r="B88" s="1313"/>
      <c r="C88" s="1313"/>
      <c r="D88" s="1313"/>
      <c r="E88" s="1313"/>
      <c r="F88" s="1313"/>
      <c r="G88" s="1313"/>
      <c r="H88" s="1313"/>
      <c r="I88" s="1313"/>
      <c r="J88" s="1313"/>
    </row>
    <row r="89" spans="1:11" ht="110" customHeight="1" x14ac:dyDescent="0.35">
      <c r="A89" s="346">
        <v>1</v>
      </c>
      <c r="B89" s="267" t="s">
        <v>9709</v>
      </c>
      <c r="C89" s="267" t="s">
        <v>913</v>
      </c>
      <c r="D89" s="268" t="s">
        <v>9211</v>
      </c>
      <c r="E89" s="267" t="s">
        <v>9507</v>
      </c>
      <c r="F89" s="267" t="s">
        <v>9538</v>
      </c>
      <c r="G89" s="267" t="s">
        <v>9710</v>
      </c>
      <c r="H89" s="267" t="s">
        <v>9496</v>
      </c>
      <c r="I89" s="267" t="str">
        <f>HYPERLINK("https://herdadedecomporta.pt","herdadedecomporta.pt")</f>
        <v>herdadedecomporta.pt</v>
      </c>
      <c r="J89" s="304" t="s">
        <v>9711</v>
      </c>
      <c r="K89" s="610" t="str">
        <f>HYPERLINK("https://maps.google.com/?q=Herdade%20de%20Comporta%20%E2%80%94%20Ecoturismo%20Grandola%2C%20Setubal%20Portugal","🧭 Herdade de Comporta — Ecotur")</f>
        <v>🧭 Herdade de Comporta — Ecotur</v>
      </c>
    </row>
    <row r="90" spans="1:11" ht="110" customHeight="1" x14ac:dyDescent="0.35">
      <c r="A90" s="362">
        <v>2</v>
      </c>
      <c r="B90" s="270" t="s">
        <v>9712</v>
      </c>
      <c r="C90" s="270" t="s">
        <v>853</v>
      </c>
      <c r="D90" s="271" t="s">
        <v>9234</v>
      </c>
      <c r="E90" s="270" t="s">
        <v>9485</v>
      </c>
      <c r="F90" s="270" t="s">
        <v>9713</v>
      </c>
      <c r="G90" s="270" t="s">
        <v>1233</v>
      </c>
      <c r="H90" s="270" t="s">
        <v>9487</v>
      </c>
      <c r="I90" s="270" t="str">
        <f>HYPERLINK("https://bouqueiras.pt","bouqueiras.pt")</f>
        <v>bouqueiras.pt</v>
      </c>
      <c r="J90" s="305" t="s">
        <v>9714</v>
      </c>
      <c r="K90" s="611" t="str">
        <f>HYPERLINK("https://maps.google.com/?q=Monte%20Alentejano%20das%20Bouqueiras%20Beja%20Portugal","🧭 Monte Alentejano das Bouquei")</f>
        <v>🧭 Monte Alentejano das Bouquei</v>
      </c>
    </row>
    <row r="91" spans="1:11" ht="110" customHeight="1" x14ac:dyDescent="0.35">
      <c r="A91" s="346">
        <v>3</v>
      </c>
      <c r="B91" s="267" t="s">
        <v>9715</v>
      </c>
      <c r="C91" s="267" t="s">
        <v>853</v>
      </c>
      <c r="D91" s="268" t="s">
        <v>9258</v>
      </c>
      <c r="E91" s="267" t="s">
        <v>9493</v>
      </c>
      <c r="F91" s="267" t="s">
        <v>8670</v>
      </c>
      <c r="G91" s="267" t="s">
        <v>2538</v>
      </c>
      <c r="H91" s="267" t="s">
        <v>9512</v>
      </c>
      <c r="I91" s="267" t="str">
        <f>HYPERLINK("https://herdademingorra.pt","herdademingorra.pt")</f>
        <v>herdademingorra.pt</v>
      </c>
      <c r="J91" s="304" t="s">
        <v>9716</v>
      </c>
      <c r="K91" s="610" t="str">
        <f>HYPERLINK("https://maps.google.com/?q=Herdade%20da%20Mingorra%20%E2%80%94%20Avis%20Portalegre%20Portugal","🧭 Herdade da Mingorra — Avis")</f>
        <v>🧭 Herdade da Mingorra — Avis</v>
      </c>
    </row>
    <row r="92" spans="1:11" ht="110" customHeight="1" x14ac:dyDescent="0.35">
      <c r="A92" s="362">
        <v>4</v>
      </c>
      <c r="B92" s="270" t="s">
        <v>9717</v>
      </c>
      <c r="C92" s="270" t="s">
        <v>853</v>
      </c>
      <c r="D92" s="271" t="s">
        <v>9718</v>
      </c>
      <c r="E92" s="270" t="s">
        <v>9493</v>
      </c>
      <c r="F92" s="270" t="s">
        <v>9719</v>
      </c>
      <c r="G92" s="270" t="s">
        <v>9719</v>
      </c>
      <c r="H92" s="270" t="s">
        <v>9508</v>
      </c>
      <c r="I92" s="270" t="str">
        <f>HYPERLINK("https://herdademouchao.pt","herdademouchao.pt")</f>
        <v>herdademouchao.pt</v>
      </c>
      <c r="J92" s="305" t="s">
        <v>9720</v>
      </c>
      <c r="K92" s="611" t="str">
        <f>HYPERLINK("https://maps.google.com/?q=Herdade%20do%20Mouchao%20%E2%80%94%20Museu%20Vivo%20Nisa%2C%20Portalegre%20Portugal","🧭 Herdade do Mouchao — Museu V")</f>
        <v>🧭 Herdade do Mouchao — Museu V</v>
      </c>
    </row>
    <row r="93" spans="1:11" ht="110" customHeight="1" x14ac:dyDescent="0.35">
      <c r="A93" s="346">
        <v>5</v>
      </c>
      <c r="B93" s="267" t="s">
        <v>9721</v>
      </c>
      <c r="C93" s="267" t="s">
        <v>853</v>
      </c>
      <c r="D93" s="268" t="s">
        <v>9264</v>
      </c>
      <c r="E93" s="267" t="s">
        <v>9722</v>
      </c>
      <c r="F93" s="267" t="s">
        <v>9723</v>
      </c>
      <c r="G93" s="267" t="s">
        <v>9723</v>
      </c>
      <c r="H93" s="267" t="s">
        <v>9504</v>
      </c>
      <c r="I93" s="267" t="str">
        <f>HYPERLINK("https://esporao.com","esporao.com")</f>
        <v>esporao.com</v>
      </c>
      <c r="J93" s="304" t="s">
        <v>9724</v>
      </c>
      <c r="K93" s="610" t="str">
        <f>HYPERLINK("https://maps.google.com/?q=Herdade%20do%20Esporao%20%E2%80%94%20Enoturismo%20Reguengos%20de%20Monsaraz%2C%20Evora%20Portugal","🧭 Herdade do Esporao — Enoturi")</f>
        <v>🧭 Herdade do Esporao — Enoturi</v>
      </c>
    </row>
    <row r="94" spans="1:11" ht="110" customHeight="1" x14ac:dyDescent="0.35">
      <c r="A94" s="362">
        <v>6</v>
      </c>
      <c r="B94" s="270" t="s">
        <v>9725</v>
      </c>
      <c r="C94" s="270" t="s">
        <v>853</v>
      </c>
      <c r="D94" s="271" t="s">
        <v>9247</v>
      </c>
      <c r="E94" s="270" t="s">
        <v>9507</v>
      </c>
      <c r="F94" s="270" t="s">
        <v>9249</v>
      </c>
      <c r="G94" s="270" t="s">
        <v>9249</v>
      </c>
      <c r="H94" s="270" t="s">
        <v>9512</v>
      </c>
      <c r="I94" s="270" t="str">
        <f>HYPERLINK("https://conventodespinheiro.com","conventodespinheiro.com")</f>
        <v>conventodespinheiro.com</v>
      </c>
      <c r="J94" s="305" t="s">
        <v>9726</v>
      </c>
      <c r="K94" s="611" t="str">
        <f>HYPERLINK("https://maps.google.com/?q=Convento%20Espinheiro%20%E2%80%94%20Hotel%20Historico%20Evora%20Portugal","🧭 Convento Espinheiro — Hotel ")</f>
        <v xml:space="preserve">🧭 Convento Espinheiro — Hotel </v>
      </c>
    </row>
    <row r="95" spans="1:11" ht="110" customHeight="1" x14ac:dyDescent="0.35">
      <c r="A95" s="346">
        <v>7</v>
      </c>
      <c r="B95" s="267" t="s">
        <v>9252</v>
      </c>
      <c r="C95" s="267" t="s">
        <v>853</v>
      </c>
      <c r="D95" s="268" t="s">
        <v>9727</v>
      </c>
      <c r="E95" s="267" t="s">
        <v>9507</v>
      </c>
      <c r="F95" s="267" t="s">
        <v>9723</v>
      </c>
      <c r="G95" s="267" t="s">
        <v>9723</v>
      </c>
      <c r="H95" s="267" t="s">
        <v>9499</v>
      </c>
      <c r="I95" s="267" t="str">
        <f>HYPERLINK("https://barrocal.pt","barrocal.pt")</f>
        <v>barrocal.pt</v>
      </c>
      <c r="J95" s="304" t="s">
        <v>9728</v>
      </c>
      <c r="K95" s="610" t="str">
        <f>HYPERLINK("https://maps.google.com/?q=Herdade%20Sao%20Lourenco%20do%20Barrocal%20Reguengos%20de%20Monsaraz%2C%20Evora%20Portugal","🧭 Herdade Sao Lourenco do Barr")</f>
        <v>🧭 Herdade Sao Lourenco do Barr</v>
      </c>
    </row>
    <row r="96" spans="1:11" ht="110" customHeight="1" x14ac:dyDescent="0.35">
      <c r="A96" s="362">
        <v>8</v>
      </c>
      <c r="B96" s="270" t="s">
        <v>9729</v>
      </c>
      <c r="C96" s="270" t="s">
        <v>853</v>
      </c>
      <c r="D96" s="271" t="s">
        <v>9258</v>
      </c>
      <c r="E96" s="270" t="s">
        <v>9507</v>
      </c>
      <c r="F96" s="270" t="s">
        <v>9730</v>
      </c>
      <c r="G96" s="270" t="s">
        <v>2538</v>
      </c>
      <c r="H96" s="270" t="s">
        <v>9499</v>
      </c>
      <c r="I96" s="270" t="str">
        <f>HYPERLINK("https://torredepalma.com","torredepalma.com")</f>
        <v>torredepalma.com</v>
      </c>
      <c r="J96" s="305" t="s">
        <v>9731</v>
      </c>
      <c r="K96" s="611" t="str">
        <f>HYPERLINK("https://maps.google.com/?q=Torre%20de%20Palma%20Wine%20Hotel%20Portalegre%20Portugal","🧭 Torre de Palma Wine Hotel")</f>
        <v>🧭 Torre de Palma Wine Hotel</v>
      </c>
    </row>
    <row r="97" spans="1:11" ht="110" customHeight="1" x14ac:dyDescent="0.35">
      <c r="A97" s="346">
        <v>9</v>
      </c>
      <c r="B97" s="267" t="s">
        <v>9732</v>
      </c>
      <c r="C97" s="267" t="s">
        <v>853</v>
      </c>
      <c r="D97" s="268" t="s">
        <v>9234</v>
      </c>
      <c r="E97" s="267" t="s">
        <v>9559</v>
      </c>
      <c r="F97" s="267" t="s">
        <v>9733</v>
      </c>
      <c r="G97" s="267" t="s">
        <v>1233</v>
      </c>
      <c r="H97" s="267" t="s">
        <v>9496</v>
      </c>
      <c r="I97" s="267" t="str">
        <f>HYPERLINK("https://malhadinhanova.pt","malhadinhanova.pt")</f>
        <v>malhadinhanova.pt</v>
      </c>
      <c r="J97" s="304" t="s">
        <v>9734</v>
      </c>
      <c r="K97" s="610" t="str">
        <f>HYPERLINK("https://maps.google.com/?q=Herdade%20da%20Malhadinha%20Nova%20Beja%20Portugal","🧭 Herdade da Malhadinha Nova")</f>
        <v>🧭 Herdade da Malhadinha Nova</v>
      </c>
    </row>
    <row r="98" spans="1:11" ht="110" customHeight="1" x14ac:dyDescent="0.35">
      <c r="A98" s="362">
        <v>10</v>
      </c>
      <c r="B98" s="270" t="s">
        <v>9735</v>
      </c>
      <c r="C98" s="270" t="s">
        <v>853</v>
      </c>
      <c r="D98" s="271" t="s">
        <v>9736</v>
      </c>
      <c r="E98" s="270" t="s">
        <v>9559</v>
      </c>
      <c r="F98" s="270" t="s">
        <v>9260</v>
      </c>
      <c r="G98" s="270" t="s">
        <v>9260</v>
      </c>
      <c r="H98" s="270" t="s">
        <v>9499</v>
      </c>
      <c r="I98" s="270" t="str">
        <f>HYPERLINK("https://ravasqueira.pt","ravasqueira.pt")</f>
        <v>ravasqueira.pt</v>
      </c>
      <c r="J98" s="305" t="s">
        <v>9737</v>
      </c>
      <c r="K98" s="611" t="str">
        <f>HYPERLINK("https://maps.google.com/?q=Monte%20da%20Ravasqueira%20Arraiolos%2C%20Evora%20Portugal","🧭 Monte da Ravasqueira")</f>
        <v>🧭 Monte da Ravasqueira</v>
      </c>
    </row>
    <row r="99" spans="1:11" ht="110" customHeight="1" x14ac:dyDescent="0.35">
      <c r="A99" s="346">
        <v>11</v>
      </c>
      <c r="B99" s="267" t="s">
        <v>9738</v>
      </c>
      <c r="C99" s="267" t="s">
        <v>853</v>
      </c>
      <c r="D99" s="268" t="s">
        <v>9739</v>
      </c>
      <c r="E99" s="267" t="s">
        <v>9542</v>
      </c>
      <c r="F99" s="267" t="s">
        <v>9249</v>
      </c>
      <c r="G99" s="267" t="s">
        <v>9249</v>
      </c>
      <c r="H99" s="267" t="s">
        <v>9512</v>
      </c>
      <c r="I99" s="267" t="str">
        <f>HYPERLINK("https://adegaevora.pt","adegaevora.pt")</f>
        <v>adegaevora.pt</v>
      </c>
      <c r="J99" s="304" t="s">
        <v>9740</v>
      </c>
      <c r="K99" s="610" t="str">
        <f>HYPERLINK("https://maps.google.com/?q=Adega%20de%20Evora%20%E2%80%94%20Enoturismo%20e%20Historia%20Evora%20Portugal","🧭 Adega de Evora — Enoturismo ")</f>
        <v xml:space="preserve">🧭 Adega de Evora — Enoturismo </v>
      </c>
    </row>
    <row r="100" spans="1:11" ht="110" customHeight="1" x14ac:dyDescent="0.35">
      <c r="A100" s="362">
        <v>12</v>
      </c>
      <c r="B100" s="270" t="s">
        <v>9741</v>
      </c>
      <c r="C100" s="270" t="s">
        <v>853</v>
      </c>
      <c r="D100" s="271" t="s">
        <v>9247</v>
      </c>
      <c r="E100" s="270" t="s">
        <v>9650</v>
      </c>
      <c r="F100" s="270" t="s">
        <v>9249</v>
      </c>
      <c r="G100" s="270" t="s">
        <v>9249</v>
      </c>
      <c r="H100" s="270" t="s">
        <v>9487</v>
      </c>
      <c r="I100" s="270" t="str">
        <f>HYPERLINK("https://tascaesquina.pt","tascaesquina.pt")</f>
        <v>tascaesquina.pt</v>
      </c>
      <c r="J100" s="305" t="s">
        <v>9742</v>
      </c>
      <c r="K100" s="611" t="str">
        <f>HYPERLINK("https://maps.google.com/?q=Tasca%20da%20Esquina%20Alentejana%20Evora%20Portugal","🧭 Tasca da Esquina Alentejana")</f>
        <v>🧭 Tasca da Esquina Alentejana</v>
      </c>
    </row>
    <row r="101" spans="1:11" ht="22" customHeight="1" x14ac:dyDescent="0.35">
      <c r="A101" s="1477" t="s">
        <v>9743</v>
      </c>
      <c r="B101" s="1313"/>
      <c r="C101" s="1313"/>
      <c r="D101" s="1313"/>
      <c r="E101" s="1313"/>
      <c r="F101" s="1313"/>
      <c r="G101" s="1313"/>
      <c r="H101" s="1313"/>
      <c r="I101" s="1313"/>
      <c r="J101" s="1313"/>
    </row>
    <row r="102" spans="1:11" ht="110" customHeight="1" x14ac:dyDescent="0.35">
      <c r="A102" s="348">
        <v>1</v>
      </c>
      <c r="B102" s="273" t="s">
        <v>9744</v>
      </c>
      <c r="C102" s="273" t="s">
        <v>767</v>
      </c>
      <c r="D102" s="274" t="s">
        <v>9745</v>
      </c>
      <c r="E102" s="273" t="s">
        <v>9485</v>
      </c>
      <c r="F102" s="273" t="s">
        <v>9314</v>
      </c>
      <c r="G102" s="273" t="s">
        <v>9314</v>
      </c>
      <c r="H102" s="273" t="s">
        <v>9487</v>
      </c>
      <c r="I102" s="273" t="str">
        <f>HYPERLINK("https://casadahorta.pt","casadahorta.pt")</f>
        <v>casadahorta.pt</v>
      </c>
      <c r="J102" s="304" t="s">
        <v>9746</v>
      </c>
      <c r="K102" s="612" t="str">
        <f>HYPERLINK("https://maps.google.com/?q=Casa%20da%20Horta%20%E2%80%94%20Turismo%20Rural%20Loule%2C%20Faro%20Portugal","🧭 Casa da Horta — Turismo Rura")</f>
        <v>🧭 Casa da Horta — Turismo Rura</v>
      </c>
    </row>
    <row r="103" spans="1:11" ht="110" customHeight="1" x14ac:dyDescent="0.35">
      <c r="A103" s="354">
        <v>2</v>
      </c>
      <c r="B103" s="277" t="s">
        <v>9747</v>
      </c>
      <c r="C103" s="277" t="s">
        <v>767</v>
      </c>
      <c r="D103" s="278" t="s">
        <v>9748</v>
      </c>
      <c r="E103" s="277" t="s">
        <v>9493</v>
      </c>
      <c r="F103" s="277" t="s">
        <v>9749</v>
      </c>
      <c r="G103" s="277" t="s">
        <v>8717</v>
      </c>
      <c r="H103" s="277" t="s">
        <v>9512</v>
      </c>
      <c r="I103" s="277" t="str">
        <f>HYPERLINK("https://barrancoestrada.com","barrancoestrada.com")</f>
        <v>barrancoestrada.com</v>
      </c>
      <c r="J103" s="305" t="s">
        <v>9750</v>
      </c>
      <c r="K103" s="613" t="str">
        <f>HYPERLINK("https://maps.google.com/?q=Quinta%20do%20Barranco%20da%20Estrada%20Aljezur%2C%20Faro%20Portugal","🧭 Quinta do Barranco da Estrad")</f>
        <v>🧭 Quinta do Barranco da Estrad</v>
      </c>
    </row>
    <row r="104" spans="1:11" ht="110" customHeight="1" x14ac:dyDescent="0.35">
      <c r="A104" s="348">
        <v>3</v>
      </c>
      <c r="B104" s="273" t="s">
        <v>9751</v>
      </c>
      <c r="C104" s="273" t="s">
        <v>767</v>
      </c>
      <c r="D104" s="274" t="s">
        <v>9349</v>
      </c>
      <c r="E104" s="273" t="s">
        <v>9493</v>
      </c>
      <c r="F104" s="273" t="s">
        <v>9309</v>
      </c>
      <c r="G104" s="273" t="s">
        <v>9309</v>
      </c>
      <c r="H104" s="273" t="s">
        <v>9508</v>
      </c>
      <c r="I104" s="273" t="str">
        <f>HYPERLINK("https://quintapoetas.pt","quintapoetas.pt")</f>
        <v>quintapoetas.pt</v>
      </c>
      <c r="J104" s="304" t="s">
        <v>9752</v>
      </c>
      <c r="K104" s="612" t="str">
        <f>HYPERLINK("https://maps.google.com/?q=Quinta%20dos%20Poetas%20%E2%80%94%20Tavira%20Tavira%2C%20Faro%20Portugal","🧭 Quinta dos Poetas — Tavira")</f>
        <v>🧭 Quinta dos Poetas — Tavira</v>
      </c>
    </row>
    <row r="105" spans="1:11" ht="110" customHeight="1" x14ac:dyDescent="0.35">
      <c r="A105" s="354">
        <v>4</v>
      </c>
      <c r="B105" s="277" t="s">
        <v>9753</v>
      </c>
      <c r="C105" s="277" t="s">
        <v>767</v>
      </c>
      <c r="D105" s="278" t="s">
        <v>4184</v>
      </c>
      <c r="E105" s="277" t="s">
        <v>9493</v>
      </c>
      <c r="F105" s="277" t="s">
        <v>9754</v>
      </c>
      <c r="G105" s="277" t="s">
        <v>9755</v>
      </c>
      <c r="H105" s="277" t="s">
        <v>9499</v>
      </c>
      <c r="I105" s="277" t="str">
        <f>HYPERLINK("https://quintadosvales.eu","quintadosvales.eu")</f>
        <v>quintadosvales.eu</v>
      </c>
      <c r="J105" s="305" t="s">
        <v>9756</v>
      </c>
      <c r="K105" s="613" t="str">
        <f>HYPERLINK("https://maps.google.com/?q=Quinta%20dos%20Vales%20%E2%80%94%20Enoturismo%20Lagoa%2C%20Faro%20Portugal","🧭 Quinta dos Vales — Enoturism")</f>
        <v>🧭 Quinta dos Vales — Enoturism</v>
      </c>
    </row>
    <row r="106" spans="1:11" ht="110" customHeight="1" x14ac:dyDescent="0.35">
      <c r="A106" s="348">
        <v>5</v>
      </c>
      <c r="B106" s="273" t="s">
        <v>9757</v>
      </c>
      <c r="C106" s="273" t="s">
        <v>767</v>
      </c>
      <c r="D106" s="274" t="s">
        <v>9301</v>
      </c>
      <c r="E106" s="273" t="s">
        <v>9507</v>
      </c>
      <c r="F106" s="273" t="s">
        <v>9303</v>
      </c>
      <c r="G106" s="273" t="s">
        <v>9303</v>
      </c>
      <c r="H106" s="273" t="s">
        <v>9512</v>
      </c>
      <c r="I106" s="273" t="str">
        <f>HYPERLINK("https://monterosa-monchique.pt","monterosa-monchique.pt")</f>
        <v>monterosa-monchique.pt</v>
      </c>
      <c r="J106" s="304" t="s">
        <v>9758</v>
      </c>
      <c r="K106" s="612" t="str">
        <f>HYPERLINK("https://maps.google.com/?q=Monte%20Rosa%20%E2%80%94%20Monchique%20Monchique%2C%20Faro%20Portugal","🧭 Monte Rosa — Monchique")</f>
        <v>🧭 Monte Rosa — Monchique</v>
      </c>
    </row>
    <row r="107" spans="1:11" ht="110" customHeight="1" x14ac:dyDescent="0.35">
      <c r="A107" s="354">
        <v>6</v>
      </c>
      <c r="B107" s="277" t="s">
        <v>9759</v>
      </c>
      <c r="C107" s="277" t="s">
        <v>767</v>
      </c>
      <c r="D107" s="278" t="s">
        <v>9760</v>
      </c>
      <c r="E107" s="277" t="s">
        <v>9542</v>
      </c>
      <c r="F107" s="277" t="s">
        <v>9755</v>
      </c>
      <c r="G107" s="277" t="s">
        <v>9755</v>
      </c>
      <c r="H107" s="277" t="s">
        <v>9512</v>
      </c>
      <c r="I107" s="277" t="str">
        <f>HYPERLINK("https://morgadoquintao.com","morgadoquintao.com")</f>
        <v>morgadoquintao.com</v>
      </c>
      <c r="J107" s="305" t="s">
        <v>9761</v>
      </c>
      <c r="K107" s="613" t="str">
        <f>HYPERLINK("https://maps.google.com/?q=Adega%20Morgado%20Quintao%20Lagoa%2C%20Faro%20Portugal","🧭 Adega Morgado Quintao")</f>
        <v>🧭 Adega Morgado Quintao</v>
      </c>
    </row>
    <row r="108" spans="1:11" ht="110" customHeight="1" x14ac:dyDescent="0.35">
      <c r="A108" s="348">
        <v>7</v>
      </c>
      <c r="B108" s="273" t="s">
        <v>9762</v>
      </c>
      <c r="C108" s="273" t="s">
        <v>767</v>
      </c>
      <c r="D108" s="274" t="s">
        <v>9763</v>
      </c>
      <c r="E108" s="273" t="s">
        <v>9650</v>
      </c>
      <c r="F108" s="273" t="s">
        <v>6882</v>
      </c>
      <c r="G108" s="273" t="s">
        <v>6882</v>
      </c>
      <c r="H108" s="273" t="s">
        <v>9487</v>
      </c>
      <c r="I108" s="273" t="str">
        <f>HYPERLINK("https://tascacorvo.pt","tascacorvo.pt")</f>
        <v>tascacorvo.pt</v>
      </c>
      <c r="J108" s="304" t="s">
        <v>9764</v>
      </c>
      <c r="K108" s="612" t="str">
        <f>HYPERLINK("https://maps.google.com/?q=Tasca%20do%20Corvo%20%E2%80%94%20Peixe%20ao%20Barrao%20Vila%20do%20Bispo%2C%20Faro%20Portugal","🧭 Tasca do Corvo — Peixe ao Ba")</f>
        <v>🧭 Tasca do Corvo — Peixe ao Ba</v>
      </c>
    </row>
    <row r="109" spans="1:11" ht="22" customHeight="1" x14ac:dyDescent="0.35">
      <c r="A109" s="1370" t="s">
        <v>9765</v>
      </c>
      <c r="B109" s="1313"/>
      <c r="C109" s="1313"/>
      <c r="D109" s="1313"/>
      <c r="E109" s="1313"/>
      <c r="F109" s="1313"/>
      <c r="G109" s="1313"/>
      <c r="H109" s="1313"/>
      <c r="I109" s="1313"/>
      <c r="J109" s="1313"/>
    </row>
    <row r="110" spans="1:11" ht="110" customHeight="1" x14ac:dyDescent="0.35">
      <c r="A110" s="350">
        <v>1</v>
      </c>
      <c r="B110" s="251" t="s">
        <v>9766</v>
      </c>
      <c r="C110" s="251" t="s">
        <v>524</v>
      </c>
      <c r="D110" s="252" t="s">
        <v>4250</v>
      </c>
      <c r="E110" s="251" t="s">
        <v>9485</v>
      </c>
      <c r="F110" s="251" t="s">
        <v>779</v>
      </c>
      <c r="G110" s="251" t="s">
        <v>779</v>
      </c>
      <c r="H110" s="251" t="s">
        <v>9487</v>
      </c>
      <c r="I110" s="251" t="str">
        <f>HYPERLINK("https://ribeiroreal.pt","ribeiroreal.pt")</f>
        <v>ribeiroreal.pt</v>
      </c>
      <c r="J110" s="305" t="s">
        <v>9767</v>
      </c>
      <c r="K110" s="616" t="str">
        <f>HYPERLINK("https://maps.google.com/?q=Casa%20de%20Hospedes%20Ribeiro%20Real%20Funchal%2C%20Madeira%20Portugal","🧭 Casa de Hospedes Ribeiro Rea")</f>
        <v>🧭 Casa de Hospedes Ribeiro Rea</v>
      </c>
    </row>
    <row r="111" spans="1:11" ht="110" customHeight="1" x14ac:dyDescent="0.35">
      <c r="A111" s="356">
        <v>2</v>
      </c>
      <c r="B111" s="254" t="s">
        <v>9768</v>
      </c>
      <c r="C111" s="254" t="s">
        <v>524</v>
      </c>
      <c r="D111" s="255" t="s">
        <v>9432</v>
      </c>
      <c r="E111" s="254" t="s">
        <v>9493</v>
      </c>
      <c r="F111" s="254" t="s">
        <v>9434</v>
      </c>
      <c r="G111" s="254" t="s">
        <v>9434</v>
      </c>
      <c r="H111" s="254" t="s">
        <v>9512</v>
      </c>
      <c r="I111" s="254" t="str">
        <f>HYPERLINK("https://hoteldaslevadas.pt","hoteldaslevadas.pt")</f>
        <v>hoteldaslevadas.pt</v>
      </c>
      <c r="J111" s="304" t="s">
        <v>9769</v>
      </c>
      <c r="K111" s="617" t="str">
        <f>HYPERLINK("https://maps.google.com/?q=Hotel%20das%20Levadas%20%E2%80%94%20Ecoturismo%20Ribeira%20Brava%2C%20Madeira%20Portugal","🧭 Hotel das Levadas — Ecoturis")</f>
        <v>🧭 Hotel das Levadas — Ecoturis</v>
      </c>
    </row>
    <row r="112" spans="1:11" ht="110" customHeight="1" x14ac:dyDescent="0.35">
      <c r="A112" s="350">
        <v>3</v>
      </c>
      <c r="B112" s="251" t="s">
        <v>9770</v>
      </c>
      <c r="C112" s="251" t="s">
        <v>524</v>
      </c>
      <c r="D112" s="252" t="s">
        <v>9771</v>
      </c>
      <c r="E112" s="251" t="s">
        <v>9493</v>
      </c>
      <c r="F112" s="251" t="s">
        <v>9772</v>
      </c>
      <c r="G112" s="251" t="s">
        <v>779</v>
      </c>
      <c r="H112" s="251" t="s">
        <v>9512</v>
      </c>
      <c r="I112" s="251" t="str">
        <f>HYPERLINK("https://quintadalevada.com","quintadalevada.com")</f>
        <v>quintadalevada.com</v>
      </c>
      <c r="J112" s="305" t="s">
        <v>9773</v>
      </c>
      <c r="K112" s="616" t="str">
        <f>HYPERLINK("https://maps.google.com/?q=Quinta%20da%20Levada%20%E2%80%94%20Ponta%20do%20Sol%20Funchal%2C%20Madeira%20Portugal","🧭 Quinta da Levada — Ponta do ")</f>
        <v xml:space="preserve">🧭 Quinta da Levada — Ponta do </v>
      </c>
    </row>
    <row r="113" spans="1:11" ht="110" customHeight="1" x14ac:dyDescent="0.35">
      <c r="A113" s="356">
        <v>4</v>
      </c>
      <c r="B113" s="254" t="s">
        <v>9774</v>
      </c>
      <c r="C113" s="254" t="s">
        <v>524</v>
      </c>
      <c r="D113" s="255" t="s">
        <v>4277</v>
      </c>
      <c r="E113" s="254" t="s">
        <v>9559</v>
      </c>
      <c r="F113" s="254" t="s">
        <v>9775</v>
      </c>
      <c r="G113" s="254" t="s">
        <v>5687</v>
      </c>
      <c r="H113" s="254" t="s">
        <v>9499</v>
      </c>
      <c r="I113" s="254" t="str">
        <f>HYPERLINK("https://quintadofurao.com","quintadofurao.com")</f>
        <v>quintadofurao.com</v>
      </c>
      <c r="J113" s="304" t="s">
        <v>9776</v>
      </c>
      <c r="K113" s="617" t="str">
        <f>HYPERLINK("https://maps.google.com/?q=Quinta%20do%20Fur%C3%A3o%20%E2%80%94%20Santana%20Santana%2C%20Madeira%20Portugal","🧭 Quinta do Furão — Santana")</f>
        <v>🧭 Quinta do Furão — Santana</v>
      </c>
    </row>
    <row r="114" spans="1:11" ht="110" customHeight="1" x14ac:dyDescent="0.35">
      <c r="A114" s="350">
        <v>5</v>
      </c>
      <c r="B114" s="251" t="s">
        <v>9777</v>
      </c>
      <c r="C114" s="251" t="s">
        <v>524</v>
      </c>
      <c r="D114" s="252" t="s">
        <v>9470</v>
      </c>
      <c r="E114" s="251" t="s">
        <v>9516</v>
      </c>
      <c r="F114" s="251" t="s">
        <v>9778</v>
      </c>
      <c r="G114" s="251" t="s">
        <v>9472</v>
      </c>
      <c r="H114" s="251" t="s">
        <v>9508</v>
      </c>
      <c r="I114" s="251" t="str">
        <f>HYPERLINK("https://engenho-norte.com","engenho-norte.com")</f>
        <v>engenho-norte.com</v>
      </c>
      <c r="J114" s="305" t="s">
        <v>9779</v>
      </c>
      <c r="K114" s="616" t="str">
        <f>HYPERLINK("https://maps.google.com/?q=Engenho%20do%20Norte%20%E2%80%94%20Mel%20de%20Cana%20Sao%20Vicente%20Madeira%20Portugal","🧭 Engenho do Norte — Mel de Ca")</f>
        <v>🧭 Engenho do Norte — Mel de Ca</v>
      </c>
    </row>
    <row r="115" spans="1:11" ht="110" customHeight="1" x14ac:dyDescent="0.35">
      <c r="A115" s="356">
        <v>6</v>
      </c>
      <c r="B115" s="254" t="s">
        <v>9780</v>
      </c>
      <c r="C115" s="254" t="s">
        <v>524</v>
      </c>
      <c r="D115" s="255" t="s">
        <v>4250</v>
      </c>
      <c r="E115" s="254" t="s">
        <v>9542</v>
      </c>
      <c r="F115" s="254" t="s">
        <v>9781</v>
      </c>
      <c r="G115" s="254" t="s">
        <v>779</v>
      </c>
      <c r="H115" s="254" t="s">
        <v>9496</v>
      </c>
      <c r="I115" s="254" t="str">
        <f>HYPERLINK("https://blandys.com","blandys.com")</f>
        <v>blandys.com</v>
      </c>
      <c r="J115" s="304" t="s">
        <v>9782</v>
      </c>
      <c r="K115" s="617" t="str">
        <f>HYPERLINK("https://maps.google.com/?q=Adega%20Sao%20Francisco%20%E2%80%94%20Blandys%20Funchal%2C%20Madeira%20Portugal","🧭 Adega Sao Francisco — Blandy")</f>
        <v>🧭 Adega Sao Francisco — Blandy</v>
      </c>
    </row>
    <row r="116" spans="1:11" ht="110" customHeight="1" x14ac:dyDescent="0.35">
      <c r="A116" s="350">
        <v>7</v>
      </c>
      <c r="B116" s="251" t="s">
        <v>9783</v>
      </c>
      <c r="C116" s="251" t="s">
        <v>524</v>
      </c>
      <c r="D116" s="252" t="s">
        <v>9452</v>
      </c>
      <c r="E116" s="251" t="s">
        <v>9650</v>
      </c>
      <c r="F116" s="251" t="s">
        <v>9423</v>
      </c>
      <c r="G116" s="251" t="s">
        <v>9423</v>
      </c>
      <c r="H116" s="251" t="s">
        <v>9508</v>
      </c>
      <c r="I116" s="251" t="str">
        <f>HYPERLINK("https://gaviao-madeira.pt","gaviao-madeira.pt")</f>
        <v>gaviao-madeira.pt</v>
      </c>
      <c r="J116" s="305" t="s">
        <v>9784</v>
      </c>
      <c r="K116" s="616" t="str">
        <f>HYPERLINK("https://maps.google.com/?q=Restaurante%20Gavi%C3%A3o%20%E2%80%94%20Quinta%20Moledo%20Camara%20de%20Lobos%2C%20Madeira%20Portugal","🧭 Restaurante Gavião — Quinta ")</f>
        <v xml:space="preserve">🧭 Restaurante Gavião — Quinta </v>
      </c>
    </row>
    <row r="118" spans="1:11" x14ac:dyDescent="0.35">
      <c r="A118" s="1353" t="s">
        <v>9785</v>
      </c>
      <c r="B118" s="1354"/>
      <c r="C118" s="1354"/>
      <c r="D118" s="1354"/>
      <c r="E118" s="1354"/>
      <c r="F118" s="1354"/>
      <c r="G118" s="1354"/>
      <c r="H118" s="1354"/>
      <c r="I118" s="1354"/>
      <c r="J118" s="1354"/>
      <c r="K118" s="375" t="str">
        <f>HYPERLINK("https://maps.google.com/?q=Portugal","🧭 ")</f>
        <v xml:space="preserve">🧭 </v>
      </c>
    </row>
  </sheetData>
  <mergeCells count="8">
    <mergeCell ref="A2:J2"/>
    <mergeCell ref="A1:J1"/>
    <mergeCell ref="A118:J118"/>
    <mergeCell ref="A88:J88"/>
    <mergeCell ref="A77:J77"/>
    <mergeCell ref="A109:J109"/>
    <mergeCell ref="A4:J4"/>
    <mergeCell ref="A101:J10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08"/>
  <sheetViews>
    <sheetView workbookViewId="0">
      <pane ySplit="3" topLeftCell="A105" activePane="bottomLeft" state="frozen"/>
      <selection pane="bottomLeft" activeCell="C158" activeCellId="14" sqref="C130 C132 C134 C136 C138 C140 C142 C144 C146 C148 C150 C152 C154 C156 C158"/>
    </sheetView>
  </sheetViews>
  <sheetFormatPr defaultRowHeight="14.5" x14ac:dyDescent="0.35"/>
  <cols>
    <col min="1" max="1" width="4" customWidth="1"/>
    <col min="2" max="2" width="36" customWidth="1"/>
    <col min="3" max="3" width="12" customWidth="1"/>
    <col min="4" max="4" width="34" customWidth="1"/>
    <col min="5" max="5" width="22" customWidth="1"/>
    <col min="6" max="6" width="52" customWidth="1"/>
    <col min="7" max="7" width="28.08984375" customWidth="1"/>
    <col min="8" max="8" width="24" customWidth="1"/>
    <col min="9" max="9" width="26" customWidth="1"/>
  </cols>
  <sheetData>
    <row r="1" spans="1:9" ht="32" customHeight="1" x14ac:dyDescent="0.35">
      <c r="A1" s="1476" t="s">
        <v>19693</v>
      </c>
      <c r="B1" s="1313"/>
      <c r="C1" s="1313"/>
      <c r="D1" s="1313"/>
      <c r="E1" s="1313"/>
      <c r="F1" s="1313"/>
      <c r="G1" s="1313"/>
      <c r="H1" s="1313"/>
      <c r="I1" s="1313"/>
    </row>
    <row r="2" spans="1:9" ht="16" customHeight="1" x14ac:dyDescent="0.35">
      <c r="A2" s="1365" t="s">
        <v>15531</v>
      </c>
      <c r="B2" s="1313"/>
      <c r="C2" s="1313"/>
      <c r="D2" s="1313"/>
      <c r="E2" s="1313"/>
      <c r="F2" s="1313"/>
      <c r="G2" s="1313"/>
      <c r="H2" s="1313"/>
      <c r="I2" s="1313"/>
    </row>
    <row r="3" spans="1:9" ht="24" customHeight="1" x14ac:dyDescent="0.35">
      <c r="A3" s="238" t="s">
        <v>141</v>
      </c>
      <c r="B3" s="238" t="s">
        <v>15532</v>
      </c>
      <c r="C3" s="238" t="s">
        <v>619</v>
      </c>
      <c r="D3" s="238" t="s">
        <v>906</v>
      </c>
      <c r="E3" s="238" t="s">
        <v>15533</v>
      </c>
      <c r="F3" s="303" t="s">
        <v>8</v>
      </c>
      <c r="G3" s="238" t="s">
        <v>539</v>
      </c>
      <c r="H3" s="238" t="s">
        <v>8764</v>
      </c>
      <c r="I3" s="238" t="s">
        <v>789</v>
      </c>
    </row>
    <row r="4" spans="1:9" ht="22" customHeight="1" x14ac:dyDescent="0.35">
      <c r="A4" s="1479" t="s">
        <v>19690</v>
      </c>
      <c r="B4" s="1313"/>
      <c r="C4" s="1313"/>
      <c r="D4" s="1313"/>
      <c r="E4" s="1313"/>
      <c r="F4" s="1313"/>
      <c r="G4" s="1313"/>
      <c r="H4" s="1313"/>
      <c r="I4" s="1313"/>
    </row>
    <row r="5" spans="1:9" ht="110" customHeight="1" x14ac:dyDescent="0.35">
      <c r="A5" s="338">
        <v>1</v>
      </c>
      <c r="B5" s="239" t="s">
        <v>7612</v>
      </c>
      <c r="C5" s="240" t="s">
        <v>792</v>
      </c>
      <c r="D5" s="239" t="s">
        <v>15534</v>
      </c>
      <c r="E5" s="239" t="s">
        <v>15535</v>
      </c>
      <c r="F5" s="304" t="s">
        <v>15536</v>
      </c>
      <c r="G5" s="239" t="str">
        <f>HYPERLINK("https://palaciodabrejoeira.pt","palaciodabrejoeira.pt")</f>
        <v>palaciodabrejoeira.pt</v>
      </c>
      <c r="H5" s="239" t="s">
        <v>15537</v>
      </c>
      <c r="I5" s="257" t="str">
        <f>HYPERLINK("https://www.google.com/maps/search/Pal%C3%A1cio%20da%20Brejoeira%20Norte%20Portugal/@42.0416,-8.4831,17z","🍇 Palácio da Brejoeira")</f>
        <v>🍇 Palácio da Brejoeira</v>
      </c>
    </row>
    <row r="6" spans="1:9" ht="110" customHeight="1" x14ac:dyDescent="0.35">
      <c r="A6" s="336">
        <v>2</v>
      </c>
      <c r="B6" s="242" t="s">
        <v>15538</v>
      </c>
      <c r="C6" s="243" t="s">
        <v>792</v>
      </c>
      <c r="D6" s="242" t="s">
        <v>15539</v>
      </c>
      <c r="E6" s="242" t="s">
        <v>15540</v>
      </c>
      <c r="F6" s="305" t="s">
        <v>15541</v>
      </c>
      <c r="G6" s="242" t="str">
        <f>HYPERLINK("https://soalheiro.com","soalheiro.com")</f>
        <v>soalheiro.com</v>
      </c>
      <c r="H6" s="242" t="s">
        <v>15542</v>
      </c>
      <c r="I6" s="258" t="str">
        <f>HYPERLINK("https://www.google.com/maps/search/Quinta%20do%20Soalheiro%20Norte%20Portugal/@42.1033,-8.2731,17z","🍇 Quinta do Soalheiro")</f>
        <v>🍇 Quinta do Soalheiro</v>
      </c>
    </row>
    <row r="7" spans="1:9" ht="110" customHeight="1" x14ac:dyDescent="0.35">
      <c r="A7" s="338">
        <v>3</v>
      </c>
      <c r="B7" s="239" t="s">
        <v>6924</v>
      </c>
      <c r="C7" s="240" t="s">
        <v>792</v>
      </c>
      <c r="D7" s="239" t="s">
        <v>15543</v>
      </c>
      <c r="E7" s="239" t="s">
        <v>15544</v>
      </c>
      <c r="F7" s="304" t="s">
        <v>15545</v>
      </c>
      <c r="G7" s="239" t="str">
        <f>HYPERLINK("https://aveleda.com","aveleda.com")</f>
        <v>aveleda.com</v>
      </c>
      <c r="H7" s="239" t="s">
        <v>15546</v>
      </c>
      <c r="I7" s="257" t="str">
        <f>HYPERLINK("https://www.google.com/maps/search/Quinta%20da%20Aveleda%20Norte%20Portugal/@41.2072,-8.3055,17z","🍇 Quinta da Aveleda")</f>
        <v>🍇 Quinta da Aveleda</v>
      </c>
    </row>
    <row r="8" spans="1:9" ht="110" customHeight="1" x14ac:dyDescent="0.35">
      <c r="A8" s="336">
        <v>4</v>
      </c>
      <c r="B8" s="242" t="s">
        <v>12685</v>
      </c>
      <c r="C8" s="243" t="s">
        <v>792</v>
      </c>
      <c r="D8" s="242" t="s">
        <v>15547</v>
      </c>
      <c r="E8" s="242" t="s">
        <v>15548</v>
      </c>
      <c r="F8" s="305" t="s">
        <v>15549</v>
      </c>
      <c r="G8" s="242" t="str">
        <f>HYPERLINK("https://quintadovallado.com","quintadovallado.com")</f>
        <v>quintadovallado.com</v>
      </c>
      <c r="H8" s="242" t="s">
        <v>15550</v>
      </c>
      <c r="I8" s="258" t="str">
        <f>HYPERLINK("https://www.google.com/maps/search/Quinta%20do%20Vallado%20Norte%20Portugal/@41.1611,-7.7661,17z","🍇 Quinta do Vallado")</f>
        <v>🍇 Quinta do Vallado</v>
      </c>
    </row>
    <row r="9" spans="1:9" ht="110" customHeight="1" x14ac:dyDescent="0.35">
      <c r="A9" s="338">
        <v>5</v>
      </c>
      <c r="B9" s="239" t="s">
        <v>15551</v>
      </c>
      <c r="C9" s="240" t="s">
        <v>792</v>
      </c>
      <c r="D9" s="239" t="s">
        <v>15552</v>
      </c>
      <c r="E9" s="239" t="s">
        <v>15553</v>
      </c>
      <c r="F9" s="304" t="s">
        <v>15554</v>
      </c>
      <c r="G9" s="239" t="str">
        <f>HYPERLINK("https://quintadacorte.com","quintadacorte.com")</f>
        <v>quintadacorte.com</v>
      </c>
      <c r="H9" s="239" t="s">
        <v>15555</v>
      </c>
      <c r="I9" s="257" t="str">
        <f>HYPERLINK("https://www.google.com/maps/search/Quinta%20da%20C%C3%B4rte%20Norte%20Portugal/@41.1558,-7.5878,17z","🍇 Quinta da Côrte")</f>
        <v>🍇 Quinta da Côrte</v>
      </c>
    </row>
    <row r="10" spans="1:9" ht="110" customHeight="1" x14ac:dyDescent="0.35">
      <c r="A10" s="336">
        <v>6</v>
      </c>
      <c r="B10" s="242" t="s">
        <v>15556</v>
      </c>
      <c r="C10" s="243" t="s">
        <v>792</v>
      </c>
      <c r="D10" s="242" t="s">
        <v>15557</v>
      </c>
      <c r="E10" s="242" t="s">
        <v>15558</v>
      </c>
      <c r="F10" s="305" t="s">
        <v>15559</v>
      </c>
      <c r="G10" s="242" t="str">
        <f>HYPERLINK("https://adegapontelima.com","adegapontelima.com")</f>
        <v>adegapontelima.com</v>
      </c>
      <c r="H10" s="242" t="s">
        <v>15560</v>
      </c>
      <c r="I10" s="258" t="str">
        <f>HYPERLINK("https://www.google.com/maps/search/Adega%20de%20Ponte%20de%20Lima%20Norte%20Portugal/@41.7645,-8.5771,17z","🍇 Adega de Ponte de Lima")</f>
        <v>🍇 Adega de Ponte de Lima</v>
      </c>
    </row>
    <row r="11" spans="1:9" ht="110" customHeight="1" x14ac:dyDescent="0.35">
      <c r="A11" s="338">
        <v>7</v>
      </c>
      <c r="B11" s="239" t="s">
        <v>15561</v>
      </c>
      <c r="C11" s="240" t="s">
        <v>792</v>
      </c>
      <c r="D11" s="239" t="s">
        <v>15562</v>
      </c>
      <c r="E11" s="239" t="s">
        <v>15563</v>
      </c>
      <c r="F11" s="304" t="s">
        <v>15564</v>
      </c>
      <c r="G11" s="239" t="str">
        <f>HYPERLINK("https://garantiadasquintas.com","garantiadasquintas.com")</f>
        <v>garantiadasquintas.com</v>
      </c>
      <c r="H11" s="239" t="s">
        <v>15565</v>
      </c>
      <c r="I11" s="257" t="str">
        <f>HYPERLINK("https://www.google.com/maps/search/Quinta%20de%20Santa%20Cristina%20Norte%20Portugal/@41.3853,-8.0164,17z","🍇 Quinta de Santa Cristina")</f>
        <v>🍇 Quinta de Santa Cristina</v>
      </c>
    </row>
    <row r="12" spans="1:9" ht="110" customHeight="1" x14ac:dyDescent="0.35">
      <c r="A12" s="336">
        <v>8</v>
      </c>
      <c r="B12" s="242" t="s">
        <v>15566</v>
      </c>
      <c r="C12" s="243" t="s">
        <v>792</v>
      </c>
      <c r="D12" s="242" t="s">
        <v>15567</v>
      </c>
      <c r="E12" s="242" t="s">
        <v>15568</v>
      </c>
      <c r="F12" s="305" t="s">
        <v>15569</v>
      </c>
      <c r="G12" s="242" t="str">
        <f>HYPERLINK("https://churchills-port.com","churchills-port.com")</f>
        <v>churchills-port.com</v>
      </c>
      <c r="H12" s="242" t="s">
        <v>15570</v>
      </c>
      <c r="I12" s="258" t="str">
        <f>HYPERLINK("https://www.google.com/maps/search/Quinta%20da%20Gricha%20%28Churchill%27s%29%20Norte%20Portugal/@41.1517,-7.5255,17z","🍇 Quinta da Gricha (Churchill…")</f>
        <v>🍇 Quinta da Gricha (Churchill…</v>
      </c>
    </row>
    <row r="13" spans="1:9" ht="110" customHeight="1" x14ac:dyDescent="0.35">
      <c r="A13" s="338">
        <v>9</v>
      </c>
      <c r="B13" s="239" t="s">
        <v>15571</v>
      </c>
      <c r="C13" s="240" t="s">
        <v>792</v>
      </c>
      <c r="D13" s="239" t="s">
        <v>15572</v>
      </c>
      <c r="E13" s="239" t="s">
        <v>15573</v>
      </c>
      <c r="F13" s="304" t="s">
        <v>15574</v>
      </c>
      <c r="G13" s="239" t="str">
        <f>HYPERLINK("https://quintanova.com","quintanova.com")</f>
        <v>quintanova.com</v>
      </c>
      <c r="H13" s="239" t="s">
        <v>15575</v>
      </c>
      <c r="I13" s="257" t="str">
        <f>HYPERLINK("https://www.google.com/maps/search/Quinta%20Nova%20de%20N.%20Sra.%20do%20Carmo%20Norte%20Portugal/@41.1578,-7.5954,17z","🍇 Quinta Nova de N. Sra. do C…")</f>
        <v>🍇 Quinta Nova de N. Sra. do C…</v>
      </c>
    </row>
    <row r="14" spans="1:9" ht="110" customHeight="1" x14ac:dyDescent="0.35">
      <c r="A14" s="336">
        <v>10</v>
      </c>
      <c r="B14" s="242" t="s">
        <v>15576</v>
      </c>
      <c r="C14" s="243" t="s">
        <v>792</v>
      </c>
      <c r="D14" s="242" t="s">
        <v>15577</v>
      </c>
      <c r="E14" s="242" t="s">
        <v>15578</v>
      </c>
      <c r="F14" s="305" t="s">
        <v>15579</v>
      </c>
      <c r="G14" s="242" t="str">
        <f>HYPERLINK("https://symington.com","symington.com")</f>
        <v>symington.com</v>
      </c>
      <c r="H14" s="242" t="s">
        <v>15580</v>
      </c>
      <c r="I14" s="258" t="str">
        <f>HYPERLINK("https://www.google.com/maps/search/Quinta%20do%20Bonfim%20%28Symington%29%20Norte%20Portugal/@41.1925,-7.5458,17z","🍇 Quinta do Bonfim (Symington)")</f>
        <v>🍇 Quinta do Bonfim (Symington)</v>
      </c>
    </row>
    <row r="15" spans="1:9" ht="110" customHeight="1" x14ac:dyDescent="0.35">
      <c r="A15" s="338">
        <v>11</v>
      </c>
      <c r="B15" s="239" t="s">
        <v>15581</v>
      </c>
      <c r="C15" s="240" t="s">
        <v>792</v>
      </c>
      <c r="D15" s="239" t="s">
        <v>15582</v>
      </c>
      <c r="E15" s="239" t="s">
        <v>15563</v>
      </c>
      <c r="F15" s="304" t="s">
        <v>15583</v>
      </c>
      <c r="G15" s="239" t="str">
        <f>HYPERLINK("https://quintadelourosa.com","quintadelourosa.com")</f>
        <v>quintadelourosa.com</v>
      </c>
      <c r="H15" s="239" t="s">
        <v>15584</v>
      </c>
      <c r="I15" s="257" t="str">
        <f>HYPERLINK("https://www.google.com/maps/search/Quinta%20de%20Lourosa%20Norte%20Portugal/@41.2587,-8.2435,17z","🍇 Quinta de Lourosa")</f>
        <v>🍇 Quinta de Lourosa</v>
      </c>
    </row>
    <row r="16" spans="1:9" ht="110" customHeight="1" x14ac:dyDescent="0.35">
      <c r="A16" s="336">
        <v>12</v>
      </c>
      <c r="B16" s="242" t="s">
        <v>15585</v>
      </c>
      <c r="C16" s="243" t="s">
        <v>792</v>
      </c>
      <c r="D16" s="242" t="s">
        <v>15586</v>
      </c>
      <c r="E16" s="242" t="s">
        <v>15587</v>
      </c>
      <c r="F16" s="305" t="s">
        <v>15588</v>
      </c>
      <c r="G16" s="242" t="str">
        <f>HYPERLINK("https://covela.pt","covela.pt")</f>
        <v>covela.pt</v>
      </c>
      <c r="H16" s="242" t="s">
        <v>15589</v>
      </c>
      <c r="I16" s="258" t="str">
        <f>HYPERLINK("https://www.google.com/maps/search/Quinta%20de%20Covela%20Norte%20Portugal/@41.1442,-8.0214,17z","🍇 Quinta de Covela")</f>
        <v>🍇 Quinta de Covela</v>
      </c>
    </row>
    <row r="17" spans="1:9" ht="110" customHeight="1" x14ac:dyDescent="0.35">
      <c r="A17" s="338">
        <v>13</v>
      </c>
      <c r="B17" s="239" t="s">
        <v>15590</v>
      </c>
      <c r="C17" s="240" t="s">
        <v>792</v>
      </c>
      <c r="D17" s="239" t="s">
        <v>15591</v>
      </c>
      <c r="E17" s="239" t="s">
        <v>15592</v>
      </c>
      <c r="F17" s="304" t="s">
        <v>15593</v>
      </c>
      <c r="G17" s="239" t="str">
        <f>HYPERLINK("https://quintadoportal.com","quintadoportal.com")</f>
        <v>quintadoportal.com</v>
      </c>
      <c r="H17" s="239" t="s">
        <v>15594</v>
      </c>
      <c r="I17" s="257" t="str">
        <f>HYPERLINK("https://www.google.com/maps/search/Quinta%20do%20Portal%20Norte%20Portugal/@41.2312,-7.5841,17z","🍇 Quinta do Portal")</f>
        <v>🍇 Quinta do Portal</v>
      </c>
    </row>
    <row r="18" spans="1:9" ht="110" customHeight="1" x14ac:dyDescent="0.35">
      <c r="A18" s="336">
        <v>14</v>
      </c>
      <c r="B18" s="242" t="s">
        <v>15595</v>
      </c>
      <c r="C18" s="243" t="s">
        <v>792</v>
      </c>
      <c r="D18" s="242" t="s">
        <v>15596</v>
      </c>
      <c r="E18" s="242" t="s">
        <v>15597</v>
      </c>
      <c r="F18" s="305" t="s">
        <v>15598</v>
      </c>
      <c r="G18" s="242" t="str">
        <f>HYPERLINK("https://quintadefiaes.pt","quintadefiaes.pt")</f>
        <v>quintadefiaes.pt</v>
      </c>
      <c r="H18" s="242" t="s">
        <v>15599</v>
      </c>
      <c r="I18" s="258" t="str">
        <f>HYPERLINK("https://www.google.com/maps/search/Quinta%20de%20Fi%C3%A3es%20Norte%20Portugal/@41.3142,-7.5124,17z","🍇 Quinta de Fiães")</f>
        <v>🍇 Quinta de Fiães</v>
      </c>
    </row>
    <row r="19" spans="1:9" ht="110" customHeight="1" x14ac:dyDescent="0.35">
      <c r="A19" s="338">
        <v>15</v>
      </c>
      <c r="B19" s="239" t="s">
        <v>15600</v>
      </c>
      <c r="C19" s="240" t="s">
        <v>792</v>
      </c>
      <c r="D19" s="239" t="s">
        <v>15601</v>
      </c>
      <c r="E19" s="239" t="s">
        <v>15602</v>
      </c>
      <c r="F19" s="304" t="s">
        <v>15603</v>
      </c>
      <c r="G19" s="239" t="str">
        <f>HYPERLINK("https://provam.com","provam.com")</f>
        <v>provam.com</v>
      </c>
      <c r="H19" s="239" t="s">
        <v>15604</v>
      </c>
      <c r="I19" s="257" t="str">
        <f>HYPERLINK("https://www.google.com/maps/search/PROVAM%20%28Mon%C3%A7%C3%A3o%20e%20Melga%C3%A7o%29%20Norte%20Portugal/@42.0621,-8.4512,17z","🍇 PROVAM (Monção e Melgaço)")</f>
        <v>🍇 PROVAM (Monção e Melgaço)</v>
      </c>
    </row>
    <row r="20" spans="1:9" ht="110" customHeight="1" x14ac:dyDescent="0.35">
      <c r="A20" s="336">
        <v>16</v>
      </c>
      <c r="B20" s="242" t="s">
        <v>15605</v>
      </c>
      <c r="C20" s="243" t="s">
        <v>792</v>
      </c>
      <c r="D20" s="242" t="s">
        <v>15606</v>
      </c>
      <c r="E20" s="242" t="s">
        <v>15607</v>
      </c>
      <c r="F20" s="305" t="s">
        <v>15608</v>
      </c>
      <c r="G20" s="242" t="str">
        <f>HYPERLINK("https://quintadapacheca.com","quintadapacheca.com")</f>
        <v>quintadapacheca.com</v>
      </c>
      <c r="H20" s="242" t="s">
        <v>15609</v>
      </c>
      <c r="I20" s="258" t="str">
        <f>HYPERLINK("https://www.google.com/maps/search/Quinta%20da%20Pacheca%20Norte%20Portugal/@41.1554,-7.7972,17z","🍇 Quinta da Pacheca")</f>
        <v>🍇 Quinta da Pacheca</v>
      </c>
    </row>
    <row r="21" spans="1:9" ht="110" customHeight="1" x14ac:dyDescent="0.35">
      <c r="A21" s="338">
        <v>17</v>
      </c>
      <c r="B21" s="239" t="s">
        <v>15610</v>
      </c>
      <c r="C21" s="240" t="s">
        <v>792</v>
      </c>
      <c r="D21" s="239" t="s">
        <v>15611</v>
      </c>
      <c r="E21" s="239" t="s">
        <v>15568</v>
      </c>
      <c r="F21" s="304" t="s">
        <v>15612</v>
      </c>
      <c r="G21" s="239" t="str">
        <f>HYPERLINK("https://sandeman.com","sandeman.com")</f>
        <v>sandeman.com</v>
      </c>
      <c r="H21" s="239" t="s">
        <v>15613</v>
      </c>
      <c r="I21" s="257" t="str">
        <f>HYPERLINK("https://www.google.com/maps/search/Quinta%20do%20Seixo%20%28Sandeman%29%20Norte%20Portugal/@41.1614,-7.5539,17z","🍇 Quinta do Seixo (Sandeman)")</f>
        <v>🍇 Quinta do Seixo (Sandeman)</v>
      </c>
    </row>
    <row r="22" spans="1:9" ht="110" customHeight="1" x14ac:dyDescent="0.35">
      <c r="A22" s="336">
        <v>18</v>
      </c>
      <c r="B22" s="242" t="s">
        <v>15614</v>
      </c>
      <c r="C22" s="243" t="s">
        <v>792</v>
      </c>
      <c r="D22" s="242" t="s">
        <v>1811</v>
      </c>
      <c r="E22" s="242" t="s">
        <v>15615</v>
      </c>
      <c r="F22" s="305" t="s">
        <v>15616</v>
      </c>
      <c r="G22" s="242" t="str">
        <f>HYPERLINK("https://quintadegomariz.com","quintadegomariz.com")</f>
        <v>quintadegomariz.com</v>
      </c>
      <c r="H22" s="242" t="s">
        <v>15617</v>
      </c>
      <c r="I22" s="258" t="str">
        <f>HYPERLINK("https://www.google.com/maps/search/Quinta%20de%20Gomariz%20Norte%20Portugal/@41.5234,-8.2891,17z","🍇 Quinta de Gomariz")</f>
        <v>🍇 Quinta de Gomariz</v>
      </c>
    </row>
    <row r="23" spans="1:9" ht="110" customHeight="1" x14ac:dyDescent="0.35">
      <c r="A23" s="338">
        <v>19</v>
      </c>
      <c r="B23" s="239" t="s">
        <v>15618</v>
      </c>
      <c r="C23" s="240" t="s">
        <v>792</v>
      </c>
      <c r="D23" s="239" t="s">
        <v>15619</v>
      </c>
      <c r="E23" s="239" t="s">
        <v>15620</v>
      </c>
      <c r="F23" s="304" t="s">
        <v>15621</v>
      </c>
      <c r="G23" s="239" t="str">
        <f>HYPERLINK("https://quintadoameal.com","quintadoameal.com")</f>
        <v>quintadoameal.com</v>
      </c>
      <c r="H23" s="239" t="s">
        <v>15622</v>
      </c>
      <c r="I23" s="257" t="str">
        <f>HYPERLINK("https://www.google.com/maps/search/Quinta%20do%20Ameal%20Norte%20Portugal/@41.7451,-8.5614,17z","🍇 Quinta do Ameal")</f>
        <v>🍇 Quinta do Ameal</v>
      </c>
    </row>
    <row r="24" spans="1:9" ht="110" customHeight="1" x14ac:dyDescent="0.35">
      <c r="A24" s="336">
        <v>20</v>
      </c>
      <c r="B24" s="242" t="s">
        <v>15623</v>
      </c>
      <c r="C24" s="243" t="s">
        <v>792</v>
      </c>
      <c r="D24" s="242" t="s">
        <v>15624</v>
      </c>
      <c r="E24" s="242" t="s">
        <v>15548</v>
      </c>
      <c r="F24" s="305" t="s">
        <v>15625</v>
      </c>
      <c r="G24" s="242" t="str">
        <f>HYPERLINK("https://quintadocrasto.pt","quintadocrasto.pt")</f>
        <v>quintadocrasto.pt</v>
      </c>
      <c r="H24" s="242" t="s">
        <v>15626</v>
      </c>
      <c r="I24" s="258" t="str">
        <f>HYPERLINK("https://www.google.com/maps/search/Quinta%20do%20Crasto%20Norte%20Portugal/@41.1823,-7.6341,17z","🍇 Quinta do Crasto")</f>
        <v>🍇 Quinta do Crasto</v>
      </c>
    </row>
    <row r="25" spans="1:9" ht="110" customHeight="1" x14ac:dyDescent="0.35">
      <c r="A25" s="338">
        <v>21</v>
      </c>
      <c r="B25" s="239" t="s">
        <v>15627</v>
      </c>
      <c r="C25" s="240" t="s">
        <v>792</v>
      </c>
      <c r="D25" s="239" t="s">
        <v>13254</v>
      </c>
      <c r="E25" s="239" t="s">
        <v>15628</v>
      </c>
      <c r="F25" s="304" t="s">
        <v>15629</v>
      </c>
      <c r="G25" s="239" t="str">
        <f>HYPERLINK("https://ventozelo.com","ventozelo.com")</f>
        <v>ventozelo.com</v>
      </c>
      <c r="H25" s="239" t="s">
        <v>15630</v>
      </c>
      <c r="I25" s="257" t="str">
        <f>HYPERLINK("https://www.google.com/maps/search/Quinta%20de%20Ventozelo%20Norte%20Portugal/@41.1934,-7.5501,17z","🍇 Quinta de Ventozelo")</f>
        <v>🍇 Quinta de Ventozelo</v>
      </c>
    </row>
    <row r="26" spans="1:9" ht="110" customHeight="1" x14ac:dyDescent="0.35">
      <c r="A26" s="336">
        <v>22</v>
      </c>
      <c r="B26" s="242" t="s">
        <v>15631</v>
      </c>
      <c r="C26" s="243" t="s">
        <v>792</v>
      </c>
      <c r="D26" s="242" t="s">
        <v>7276</v>
      </c>
      <c r="E26" s="242" t="s">
        <v>15568</v>
      </c>
      <c r="F26" s="305" t="s">
        <v>15632</v>
      </c>
      <c r="G26" s="242" t="str">
        <f>HYPERLINK("https://quintadovaleméao.pt","quintadovaleméao.pt")</f>
        <v>quintadovaleméao.pt</v>
      </c>
      <c r="H26" s="242" t="s">
        <v>15633</v>
      </c>
      <c r="I26" s="258" t="str">
        <f>HYPERLINK("https://www.google.com/maps/search/Quinta%20do%20Vale%20Me%C3%A3o%20Norte%20Portugal/@41.1421,-6.8501,17z","🍇 Quinta do Vale Meão")</f>
        <v>🍇 Quinta do Vale Meão</v>
      </c>
    </row>
    <row r="27" spans="1:9" ht="110" customHeight="1" x14ac:dyDescent="0.35">
      <c r="A27" s="338">
        <v>23</v>
      </c>
      <c r="B27" s="239" t="s">
        <v>15634</v>
      </c>
      <c r="C27" s="240" t="s">
        <v>792</v>
      </c>
      <c r="D27" s="239" t="s">
        <v>1791</v>
      </c>
      <c r="E27" s="239" t="s">
        <v>15635</v>
      </c>
      <c r="F27" s="304" t="s">
        <v>15636</v>
      </c>
      <c r="G27" s="239" t="str">
        <f>HYPERLINK("https://sezim.pt","sezim.pt")</f>
        <v>sezim.pt</v>
      </c>
      <c r="H27" s="239" t="s">
        <v>15637</v>
      </c>
      <c r="I27" s="257" t="str">
        <f>HYPERLINK("https://www.google.com/maps/search/Casa%20de%20Sezim%20Norte%20Portugal/@41.4512,-8.4021,17z","🍇 Casa de Sezim")</f>
        <v>🍇 Casa de Sezim</v>
      </c>
    </row>
    <row r="28" spans="1:9" ht="110" customHeight="1" x14ac:dyDescent="0.35">
      <c r="A28" s="336">
        <v>24</v>
      </c>
      <c r="B28" s="242" t="s">
        <v>15638</v>
      </c>
      <c r="C28" s="243" t="s">
        <v>792</v>
      </c>
      <c r="D28" s="242" t="s">
        <v>6369</v>
      </c>
      <c r="E28" s="242" t="s">
        <v>15639</v>
      </c>
      <c r="F28" s="305" t="s">
        <v>15640</v>
      </c>
      <c r="G28" s="242" t="str">
        <f>HYPERLINK("https://rcv.pt","rcv.pt")</f>
        <v>rcv.pt</v>
      </c>
      <c r="H28" s="242" t="s">
        <v>15641</v>
      </c>
      <c r="I28" s="258" t="str">
        <f>HYPERLINK("https://www.google.com/maps/search/Quinta%20das%20Carvalhas%20%28RCV%29%20Norte%20Portugal/@41.1701,-7.5501,17z","🍇 Quinta das Carvalhas (RCV)")</f>
        <v>🍇 Quinta das Carvalhas (RCV)</v>
      </c>
    </row>
    <row r="29" spans="1:9" ht="110" customHeight="1" x14ac:dyDescent="0.35">
      <c r="A29" s="338">
        <v>25</v>
      </c>
      <c r="B29" s="239" t="s">
        <v>15642</v>
      </c>
      <c r="C29" s="240" t="s">
        <v>792</v>
      </c>
      <c r="D29" s="239" t="s">
        <v>8280</v>
      </c>
      <c r="E29" s="239" t="s">
        <v>15643</v>
      </c>
      <c r="F29" s="304" t="s">
        <v>15644</v>
      </c>
      <c r="G29" s="239" t="str">
        <f>HYPERLINK("https://adegapontedarabarca.pt","adegapontedarabarca.pt")</f>
        <v>adegapontedarabarca.pt</v>
      </c>
      <c r="H29" s="239" t="s">
        <v>15645</v>
      </c>
      <c r="I29" s="257" t="str">
        <f>HYPERLINK("https://www.google.com/maps/search/Adega%20da%20Ponte%20da%20Barca%20Norte%20Portugal/@41.8034,-8.4271,17z","🍇 Adega da Ponte da Barca")</f>
        <v>🍇 Adega da Ponte da Barca</v>
      </c>
    </row>
    <row r="30" spans="1:9" ht="110" customHeight="1" x14ac:dyDescent="0.35">
      <c r="A30" s="336">
        <v>26</v>
      </c>
      <c r="B30" s="242" t="s">
        <v>15646</v>
      </c>
      <c r="C30" s="243" t="s">
        <v>792</v>
      </c>
      <c r="D30" s="242" t="s">
        <v>1902</v>
      </c>
      <c r="E30" s="242" t="s">
        <v>15647</v>
      </c>
      <c r="F30" s="305" t="s">
        <v>15648</v>
      </c>
      <c r="G30" s="242" t="str">
        <f>HYPERLINK("https://solardasbourg.pt","solardasbourg.pt")</f>
        <v>solardasbourg.pt</v>
      </c>
      <c r="H30" s="242" t="s">
        <v>15649</v>
      </c>
      <c r="I30" s="258" t="str">
        <f>HYPERLINK("https://www.google.com/maps/search/Solar%20das%20Bou%C3%A7as%20Norte%20Portugal/@41.6512,-8.3401,17z","🍇 Solar das Bouças")</f>
        <v>🍇 Solar das Bouças</v>
      </c>
    </row>
    <row r="31" spans="1:9" ht="110" customHeight="1" x14ac:dyDescent="0.35">
      <c r="A31" s="338">
        <v>27</v>
      </c>
      <c r="B31" s="239" t="s">
        <v>15650</v>
      </c>
      <c r="C31" s="240" t="s">
        <v>792</v>
      </c>
      <c r="D31" s="239" t="s">
        <v>1996</v>
      </c>
      <c r="E31" s="239" t="s">
        <v>15651</v>
      </c>
      <c r="F31" s="304" t="s">
        <v>15652</v>
      </c>
      <c r="G31" s="239" t="str">
        <f>HYPERLINK("https://quintadepacos.pt","quintadepacos.pt")</f>
        <v>quintadepacos.pt</v>
      </c>
      <c r="H31" s="239" t="s">
        <v>15653</v>
      </c>
      <c r="I31" s="257" t="str">
        <f>HYPERLINK("https://www.google.com/maps/search/Quinta%20de%20Pa%C3%A7os%20Norte%20Portugal/@41.5312,-8.6121,17z","🍇 Quinta de Paços")</f>
        <v>🍇 Quinta de Paços</v>
      </c>
    </row>
    <row r="32" spans="1:9" ht="110" customHeight="1" x14ac:dyDescent="0.35">
      <c r="A32" s="336">
        <v>28</v>
      </c>
      <c r="B32" s="242" t="s">
        <v>15654</v>
      </c>
      <c r="C32" s="243" t="s">
        <v>792</v>
      </c>
      <c r="D32" s="242" t="s">
        <v>1184</v>
      </c>
      <c r="E32" s="242" t="s">
        <v>15655</v>
      </c>
      <c r="F32" s="305" t="s">
        <v>15656</v>
      </c>
      <c r="G32" s="242" t="str">
        <f>HYPERLINK("https://casadecello.pt","casadecello.pt")</f>
        <v>casadecello.pt</v>
      </c>
      <c r="H32" s="242" t="s">
        <v>15657</v>
      </c>
      <c r="I32" s="258" t="str">
        <f>HYPERLINK("https://www.google.com/maps/search/Casa%20de%20Cello%20Norte%20Portugal/@41.2701,-8.0621,17z","🍇 Casa de Cello")</f>
        <v>🍇 Casa de Cello</v>
      </c>
    </row>
    <row r="33" spans="1:9" ht="110" customHeight="1" x14ac:dyDescent="0.35">
      <c r="A33" s="338">
        <v>29</v>
      </c>
      <c r="B33" s="239" t="s">
        <v>15658</v>
      </c>
      <c r="C33" s="240" t="s">
        <v>792</v>
      </c>
      <c r="D33" s="239" t="s">
        <v>4579</v>
      </c>
      <c r="E33" s="239" t="s">
        <v>15659</v>
      </c>
      <c r="F33" s="304" t="s">
        <v>15660</v>
      </c>
      <c r="G33" s="239" t="str">
        <f>HYPERLINK("https://escomoeiras.pt","escomoeiras.pt")</f>
        <v>escomoeiras.pt</v>
      </c>
      <c r="H33" s="239" t="s">
        <v>15661</v>
      </c>
      <c r="I33" s="257" t="str">
        <f>HYPERLINK("https://www.google.com/maps/search/Quinta%20das%20Escomoeiras%20Norte%20Portugal/@41.6821,-8.2401,17z","🍇 Quinta das Escomoeiras")</f>
        <v>🍇 Quinta das Escomoeiras</v>
      </c>
    </row>
    <row r="34" spans="1:9" ht="110" customHeight="1" x14ac:dyDescent="0.35">
      <c r="A34" s="336">
        <v>30</v>
      </c>
      <c r="B34" s="242" t="s">
        <v>15662</v>
      </c>
      <c r="C34" s="243" t="s">
        <v>792</v>
      </c>
      <c r="D34" s="242" t="s">
        <v>15663</v>
      </c>
      <c r="E34" s="242" t="s">
        <v>15664</v>
      </c>
      <c r="F34" s="305" t="s">
        <v>15665</v>
      </c>
      <c r="G34" s="242" t="str">
        <f>HYPERLINK("https://quintadaavessada.com","quintadaavessada.com")</f>
        <v>quintadaavessada.com</v>
      </c>
      <c r="H34" s="242" t="s">
        <v>15666</v>
      </c>
      <c r="I34" s="258" t="str">
        <f>HYPERLINK("https://www.google.com/maps/search/Quinta%20da%20Avessada%20%28Favaios%29%20Norte%20Portugal/@41.3512,-7.3901,17z","🍇 Quinta da Avessada (Favaios)")</f>
        <v>🍇 Quinta da Avessada (Favaios)</v>
      </c>
    </row>
    <row r="35" spans="1:9" ht="110" customHeight="1" x14ac:dyDescent="0.35">
      <c r="A35" s="686">
        <v>31</v>
      </c>
      <c r="B35" s="687" t="s">
        <v>19650</v>
      </c>
      <c r="C35" s="688" t="s">
        <v>792</v>
      </c>
      <c r="D35" s="687" t="s">
        <v>19652</v>
      </c>
      <c r="E35" s="687" t="s">
        <v>15578</v>
      </c>
      <c r="F35" s="689" t="s">
        <v>19653</v>
      </c>
      <c r="G35" s="684" t="str">
        <f>HYPERLINK("https://symington.com","symington.com")</f>
        <v>symington.com</v>
      </c>
      <c r="H35" s="690" t="s">
        <v>19651</v>
      </c>
      <c r="I35" s="685" t="str">
        <f>HYPERLINK("https://www.google.com/maps/search/Quinta+do+Bomfim+Pinhao+Douro+Portugal","🍇 Quinta do Bomfim")</f>
        <v>🍇 Quinta do Bomfim</v>
      </c>
    </row>
    <row r="36" spans="1:9" ht="110" customHeight="1" x14ac:dyDescent="0.35">
      <c r="A36" s="693">
        <v>32</v>
      </c>
      <c r="B36" s="694" t="s">
        <v>19654</v>
      </c>
      <c r="C36" s="695" t="s">
        <v>792</v>
      </c>
      <c r="D36" s="694" t="s">
        <v>19655</v>
      </c>
      <c r="E36" s="694" t="s">
        <v>19656</v>
      </c>
      <c r="F36" s="696" t="s">
        <v>19657</v>
      </c>
      <c r="G36" s="691" t="str">
        <f>HYPERLINK("https://www.croft.pt","croft.pt")</f>
        <v>croft.pt</v>
      </c>
      <c r="H36" s="697" t="s">
        <v>19658</v>
      </c>
      <c r="I36" s="692" t="str">
        <f>HYPERLINK("https://www.google.com/maps/search/Quinta+da+Roeda+Croft+Pinhao+Douro","🍇 Quinta da Roêda (Croft)")</f>
        <v>🍇 Quinta da Roêda (Croft)</v>
      </c>
    </row>
    <row r="37" spans="1:9" ht="110" customHeight="1" x14ac:dyDescent="0.35">
      <c r="A37" s="686">
        <v>33</v>
      </c>
      <c r="B37" s="687" t="s">
        <v>19659</v>
      </c>
      <c r="C37" s="688" t="s">
        <v>792</v>
      </c>
      <c r="D37" s="687" t="s">
        <v>19660</v>
      </c>
      <c r="E37" s="687" t="s">
        <v>15568</v>
      </c>
      <c r="F37" s="689" t="s">
        <v>19661</v>
      </c>
      <c r="G37" s="684" t="str">
        <f>HYPERLINK("https://quintadelarosa.com","quintadelarosa.com")</f>
        <v>quintadelarosa.com</v>
      </c>
      <c r="H37" s="690" t="s">
        <v>19662</v>
      </c>
      <c r="I37" s="685" t="str">
        <f>HYPERLINK("https://www.google.com/maps/search/Quinta+de+La+Rosa+Pinhao+Douro","🍇 Quinta de La Rosa")</f>
        <v>🍇 Quinta de La Rosa</v>
      </c>
    </row>
    <row r="38" spans="1:9" ht="110" customHeight="1" x14ac:dyDescent="0.35">
      <c r="A38" s="693">
        <v>34</v>
      </c>
      <c r="B38" s="694" t="s">
        <v>19663</v>
      </c>
      <c r="C38" s="695" t="s">
        <v>792</v>
      </c>
      <c r="D38" s="694" t="s">
        <v>19664</v>
      </c>
      <c r="E38" s="694" t="s">
        <v>19665</v>
      </c>
      <c r="F38" s="696" t="s">
        <v>19666</v>
      </c>
      <c r="G38" s="691" t="str">
        <f>HYPERLINK("https://quintadosmurças.pt","quintadosmurças.pt")</f>
        <v>quintadosmurças.pt</v>
      </c>
      <c r="H38" s="697" t="s">
        <v>19667</v>
      </c>
      <c r="I38" s="692" t="str">
        <f>HYPERLINK("https://www.google.com/maps/search/Quinta+dos+Murcas+Covas+Douro+Portugal","🍇 Quinta dos Murças")</f>
        <v>🍇 Quinta dos Murças</v>
      </c>
    </row>
    <row r="39" spans="1:9" ht="110" customHeight="1" x14ac:dyDescent="0.35">
      <c r="A39" s="336"/>
      <c r="B39" s="242"/>
      <c r="C39" s="243"/>
      <c r="D39" s="242"/>
      <c r="E39" s="242"/>
      <c r="F39" s="305"/>
      <c r="G39" s="242"/>
      <c r="H39" s="242"/>
      <c r="I39" s="258"/>
    </row>
    <row r="40" spans="1:9" ht="110" customHeight="1" x14ac:dyDescent="0.35">
      <c r="A40" s="336"/>
      <c r="B40" s="242"/>
      <c r="C40" s="243"/>
      <c r="D40" s="242"/>
      <c r="E40" s="242"/>
      <c r="F40" s="305"/>
      <c r="G40" s="242"/>
      <c r="H40" s="242"/>
      <c r="I40" s="258"/>
    </row>
    <row r="41" spans="1:9" ht="110" customHeight="1" x14ac:dyDescent="0.35">
      <c r="A41" s="336"/>
      <c r="B41" s="242"/>
      <c r="C41" s="243"/>
      <c r="D41" s="242"/>
      <c r="E41" s="242"/>
      <c r="F41" s="305"/>
      <c r="G41" s="242"/>
      <c r="H41" s="242"/>
      <c r="I41" s="258"/>
    </row>
    <row r="42" spans="1:9" ht="110" customHeight="1" x14ac:dyDescent="0.35">
      <c r="A42" s="336"/>
      <c r="B42" s="242"/>
      <c r="C42" s="243"/>
      <c r="D42" s="242"/>
      <c r="E42" s="242"/>
      <c r="F42" s="305"/>
      <c r="G42" s="242"/>
      <c r="H42" s="242"/>
      <c r="I42" s="258"/>
    </row>
    <row r="43" spans="1:9" ht="110" customHeight="1" x14ac:dyDescent="0.35">
      <c r="A43" s="336"/>
      <c r="B43" s="242"/>
      <c r="C43" s="243"/>
      <c r="D43" s="242"/>
      <c r="E43" s="242"/>
      <c r="F43" s="305"/>
      <c r="G43" s="242"/>
      <c r="H43" s="242"/>
      <c r="I43" s="258"/>
    </row>
    <row r="44" spans="1:9" ht="110" customHeight="1" x14ac:dyDescent="0.35">
      <c r="A44" s="336"/>
      <c r="B44" s="242"/>
      <c r="C44" s="243"/>
      <c r="D44" s="242"/>
      <c r="E44" s="242"/>
      <c r="F44" s="305"/>
      <c r="G44" s="242"/>
      <c r="H44" s="242"/>
      <c r="I44" s="258"/>
    </row>
    <row r="45" spans="1:9" ht="110" customHeight="1" x14ac:dyDescent="0.35">
      <c r="A45" s="336"/>
      <c r="B45" s="242"/>
      <c r="C45" s="243"/>
      <c r="D45" s="242"/>
      <c r="E45" s="242"/>
      <c r="F45" s="305"/>
      <c r="G45" s="242"/>
      <c r="H45" s="242"/>
      <c r="I45" s="258"/>
    </row>
    <row r="46" spans="1:9" ht="110" customHeight="1" x14ac:dyDescent="0.35">
      <c r="A46" s="336"/>
      <c r="B46" s="242"/>
      <c r="C46" s="243"/>
      <c r="D46" s="242"/>
      <c r="E46" s="242"/>
      <c r="F46" s="305"/>
      <c r="G46" s="242"/>
      <c r="H46" s="242"/>
      <c r="I46" s="258"/>
    </row>
    <row r="47" spans="1:9" ht="22" customHeight="1" x14ac:dyDescent="0.35">
      <c r="A47" s="1475" t="s">
        <v>19691</v>
      </c>
      <c r="B47" s="1313"/>
      <c r="C47" s="1313"/>
      <c r="D47" s="1313"/>
      <c r="E47" s="1313"/>
      <c r="F47" s="1313"/>
      <c r="G47" s="1313"/>
      <c r="H47" s="1313"/>
      <c r="I47" s="1313"/>
    </row>
    <row r="48" spans="1:9" ht="110" customHeight="1" x14ac:dyDescent="0.35">
      <c r="A48" s="358">
        <v>1</v>
      </c>
      <c r="B48" s="259" t="s">
        <v>15667</v>
      </c>
      <c r="C48" s="260" t="s">
        <v>836</v>
      </c>
      <c r="D48" s="259" t="s">
        <v>15668</v>
      </c>
      <c r="E48" s="259" t="s">
        <v>15669</v>
      </c>
      <c r="F48" s="304" t="s">
        <v>15670</v>
      </c>
      <c r="G48" s="259" t="str">
        <f>HYPERLINK("https://quintadostrevos.com","quintadostrevos.com")</f>
        <v>quintadostrevos.com</v>
      </c>
      <c r="H48" s="259" t="s">
        <v>15671</v>
      </c>
      <c r="I48" s="286" t="str">
        <f>HYPERLINK("https://www.google.com/maps/search/Quinta%20dos%20Trevos%20Centro%20Portugal/@39.8512,-7.1645,17z","🍇 Quinta dos Trevos")</f>
        <v>🍇 Quinta dos Trevos</v>
      </c>
    </row>
    <row r="49" spans="1:9" ht="110" customHeight="1" x14ac:dyDescent="0.35">
      <c r="A49" s="352">
        <v>2</v>
      </c>
      <c r="B49" s="262" t="s">
        <v>15672</v>
      </c>
      <c r="C49" s="263" t="s">
        <v>836</v>
      </c>
      <c r="D49" s="262" t="s">
        <v>15673</v>
      </c>
      <c r="E49" s="262" t="s">
        <v>15674</v>
      </c>
      <c r="F49" s="305" t="s">
        <v>15675</v>
      </c>
      <c r="G49" s="262" t="str">
        <f>HYPERLINK("https://museudoazeite.pt","museudoazeite.pt")</f>
        <v>museudoazeite.pt</v>
      </c>
      <c r="H49" s="262" t="s">
        <v>15676</v>
      </c>
      <c r="I49" s="287" t="str">
        <f>HYPERLINK("https://www.google.com/maps/search/Museu%20do%20Azeite%20%28Oliveira%20do%20Hospital%29%20Centro%20Portugal/@40.3541,-7.9421,17z","🍇 Museu do Azeite (Oliveira d…")</f>
        <v>🍇 Museu do Azeite (Oliveira d…</v>
      </c>
    </row>
    <row r="50" spans="1:9" ht="110" customHeight="1" x14ac:dyDescent="0.35">
      <c r="A50" s="358">
        <v>3</v>
      </c>
      <c r="B50" s="259" t="s">
        <v>15677</v>
      </c>
      <c r="C50" s="260" t="s">
        <v>836</v>
      </c>
      <c r="D50" s="259" t="s">
        <v>15678</v>
      </c>
      <c r="E50" s="259" t="s">
        <v>15679</v>
      </c>
      <c r="F50" s="304" t="s">
        <v>15680</v>
      </c>
      <c r="G50" s="259" t="str">
        <f>HYPERLINK("https://quintamadredeagua.pt","quintamadredeagua.pt")</f>
        <v>quintamadredeagua.pt</v>
      </c>
      <c r="H50" s="259" t="s">
        <v>15681</v>
      </c>
      <c r="I50" s="286" t="str">
        <f>HYPERLINK("https://www.google.com/maps/search/Madre%20de%20%C3%81gua%20Hotel%20Rural%20Centro%20Portugal/@40.5052,-7.5843,17z","🍇 Madre de Água Hotel Rural")</f>
        <v>🍇 Madre de Água Hotel Rural</v>
      </c>
    </row>
    <row r="51" spans="1:9" ht="110" customHeight="1" x14ac:dyDescent="0.35">
      <c r="A51" s="352">
        <v>4</v>
      </c>
      <c r="B51" s="262" t="s">
        <v>15682</v>
      </c>
      <c r="C51" s="263" t="s">
        <v>836</v>
      </c>
      <c r="D51" s="262" t="s">
        <v>15683</v>
      </c>
      <c r="E51" s="262" t="s">
        <v>15684</v>
      </c>
      <c r="F51" s="305" t="s">
        <v>15685</v>
      </c>
      <c r="G51" s="262" t="str">
        <f>HYPERLINK("https://quintadoarneiro.pt","quintadoarneiro.pt")</f>
        <v>quintadoarneiro.pt</v>
      </c>
      <c r="H51" s="262" t="s">
        <v>15686</v>
      </c>
      <c r="I51" s="287" t="str">
        <f>HYPERLINK("https://www.google.com/maps/search/Quinta%20do%20Arneiro%20Centro%20Portugal/@38.9958,-9.3142,17z","🍇 Quinta do Arneiro")</f>
        <v>🍇 Quinta do Arneiro</v>
      </c>
    </row>
    <row r="52" spans="1:9" ht="110" customHeight="1" x14ac:dyDescent="0.35">
      <c r="A52" s="358">
        <v>5</v>
      </c>
      <c r="B52" s="259" t="s">
        <v>15687</v>
      </c>
      <c r="C52" s="260" t="s">
        <v>836</v>
      </c>
      <c r="D52" s="259" t="s">
        <v>15688</v>
      </c>
      <c r="E52" s="259" t="s">
        <v>15689</v>
      </c>
      <c r="F52" s="304" t="s">
        <v>15690</v>
      </c>
      <c r="G52" s="259" t="str">
        <f>HYPERLINK("https://quintademirtilos.pt","quintademirtilos.pt")</f>
        <v>quintademirtilos.pt</v>
      </c>
      <c r="H52" s="259" t="s">
        <v>15691</v>
      </c>
      <c r="I52" s="286" t="str">
        <f>HYPERLINK("https://www.google.com/maps/search/Quinta%20de%20Mirtilos%20%28Sintra%29%20Centro%20Portugal/@38.8354,-9.3621,17z","🍇 Quinta de Mirtilos (Sintra)")</f>
        <v>🍇 Quinta de Mirtilos (Sintra)</v>
      </c>
    </row>
    <row r="53" spans="1:9" ht="110" customHeight="1" x14ac:dyDescent="0.35">
      <c r="A53" s="352">
        <v>6</v>
      </c>
      <c r="B53" s="262" t="s">
        <v>15692</v>
      </c>
      <c r="C53" s="263" t="s">
        <v>836</v>
      </c>
      <c r="D53" s="262" t="s">
        <v>15693</v>
      </c>
      <c r="E53" s="262" t="s">
        <v>15694</v>
      </c>
      <c r="F53" s="305" t="s">
        <v>15695</v>
      </c>
      <c r="G53" s="262" t="str">
        <f>HYPERLINK("https://casalinho.com","casalinho.com")</f>
        <v>casalinho.com</v>
      </c>
      <c r="H53" s="262" t="s">
        <v>15696</v>
      </c>
      <c r="I53" s="287" t="str">
        <f>HYPERLINK("https://www.google.com/maps/search/Caves%20Casalinho%20Centro%20Portugal/@39.2415,-8.6742,17z","🍇 Caves Casalinho")</f>
        <v>🍇 Caves Casalinho</v>
      </c>
    </row>
    <row r="54" spans="1:9" ht="110" customHeight="1" x14ac:dyDescent="0.35">
      <c r="A54" s="358">
        <v>7</v>
      </c>
      <c r="B54" s="259" t="s">
        <v>15697</v>
      </c>
      <c r="C54" s="260" t="s">
        <v>836</v>
      </c>
      <c r="D54" s="259" t="s">
        <v>15698</v>
      </c>
      <c r="E54" s="259" t="s">
        <v>15699</v>
      </c>
      <c r="F54" s="304" t="s">
        <v>15700</v>
      </c>
      <c r="G54" s="259" t="str">
        <f>HYPERLINK("https://quintadacholda.pt","quintadacholda.pt")</f>
        <v>quintadacholda.pt</v>
      </c>
      <c r="H54" s="259" t="s">
        <v>15701</v>
      </c>
      <c r="I54" s="286" t="str">
        <f>HYPERLINK("https://www.google.com/maps/search/Quinta%20da%20Cholda%20Centro%20Portugal/@39.3145,-8.5312,17z","🍇 Quinta da Cholda")</f>
        <v>🍇 Quinta da Cholda</v>
      </c>
    </row>
    <row r="55" spans="1:9" ht="110" customHeight="1" x14ac:dyDescent="0.35">
      <c r="A55" s="352">
        <v>8</v>
      </c>
      <c r="B55" s="262" t="s">
        <v>15702</v>
      </c>
      <c r="C55" s="263" t="s">
        <v>836</v>
      </c>
      <c r="D55" s="262" t="s">
        <v>15703</v>
      </c>
      <c r="E55" s="262" t="s">
        <v>15704</v>
      </c>
      <c r="F55" s="305" t="s">
        <v>15705</v>
      </c>
      <c r="G55" s="262" t="str">
        <f>HYPERLINK("https://casadatojeira.pt","casadatojeira.pt")</f>
        <v>casadatojeira.pt</v>
      </c>
      <c r="H55" s="262" t="s">
        <v>15706</v>
      </c>
      <c r="I55" s="287" t="str">
        <f>HYPERLINK("https://www.google.com/maps/search/Casa%20da%20Tojeira%20Centro%20Portugal/@41.4851,-8.0432,17z","🍇 Casa da Tojeira")</f>
        <v>🍇 Casa da Tojeira</v>
      </c>
    </row>
    <row r="56" spans="1:9" ht="110" customHeight="1" x14ac:dyDescent="0.35">
      <c r="A56" s="358">
        <v>9</v>
      </c>
      <c r="B56" s="259" t="s">
        <v>15707</v>
      </c>
      <c r="C56" s="260" t="s">
        <v>836</v>
      </c>
      <c r="D56" s="259" t="s">
        <v>15708</v>
      </c>
      <c r="E56" s="259" t="s">
        <v>15709</v>
      </c>
      <c r="F56" s="304" t="s">
        <v>15710</v>
      </c>
      <c r="G56" s="259" t="str">
        <f>HYPERLINK("https://quintadoencontro.pt","quintadoencontro.pt")</f>
        <v>quintadoencontro.pt</v>
      </c>
      <c r="H56" s="259" t="s">
        <v>15711</v>
      </c>
      <c r="I56" s="286" t="str">
        <f>HYPERLINK("https://www.google.com/maps/search/Quinta%20do%20Encontro%20Centro%20Portugal/@40.4435,-8.4682,17z","🍇 Quinta do Encontro")</f>
        <v>🍇 Quinta do Encontro</v>
      </c>
    </row>
    <row r="57" spans="1:9" ht="110" customHeight="1" x14ac:dyDescent="0.35">
      <c r="A57" s="352">
        <v>10</v>
      </c>
      <c r="B57" s="262" t="s">
        <v>15712</v>
      </c>
      <c r="C57" s="263" t="s">
        <v>836</v>
      </c>
      <c r="D57" s="262" t="s">
        <v>15713</v>
      </c>
      <c r="E57" s="262" t="s">
        <v>15714</v>
      </c>
      <c r="F57" s="305" t="s">
        <v>15715</v>
      </c>
      <c r="G57" s="262" t="str">
        <f>HYPERLINK("https://alianca.pt","alianca.pt")</f>
        <v>alianca.pt</v>
      </c>
      <c r="H57" s="262" t="s">
        <v>15716</v>
      </c>
      <c r="I57" s="287" t="str">
        <f>HYPERLINK("https://www.google.com/maps/search/Alian%C3%A7a%20Underground%20Museum%20Centro%20Portugal/@40.4851,-8.4695,17z","🍇 Aliança Underground Museum")</f>
        <v>🍇 Aliança Underground Museum</v>
      </c>
    </row>
    <row r="58" spans="1:9" ht="110" customHeight="1" x14ac:dyDescent="0.35">
      <c r="A58" s="358">
        <v>11</v>
      </c>
      <c r="B58" s="259" t="s">
        <v>15717</v>
      </c>
      <c r="C58" s="260" t="s">
        <v>836</v>
      </c>
      <c r="D58" s="259" t="s">
        <v>15718</v>
      </c>
      <c r="E58" s="259" t="s">
        <v>15719</v>
      </c>
      <c r="F58" s="304" t="s">
        <v>15720</v>
      </c>
      <c r="G58" s="259" t="str">
        <f>HYPERLINK("https://quintadesantana.com","quintadesantana.com")</f>
        <v>quintadesantana.com</v>
      </c>
      <c r="H58" s="259" t="s">
        <v>15721</v>
      </c>
      <c r="I58" s="286" t="str">
        <f>HYPERLINK("https://www.google.com/maps/search/Quinta%20de%20Sant%27Ana%20%28Gradil%29%20Centro%20Portugal/@38.9712,-9.2814,17z","🍇 Quinta de Sant'Ana (Gradil)")</f>
        <v>🍇 Quinta de Sant'Ana (Gradil)</v>
      </c>
    </row>
    <row r="59" spans="1:9" ht="110" customHeight="1" x14ac:dyDescent="0.35">
      <c r="A59" s="352">
        <v>12</v>
      </c>
      <c r="B59" s="262" t="s">
        <v>15722</v>
      </c>
      <c r="C59" s="263" t="s">
        <v>836</v>
      </c>
      <c r="D59" s="262" t="s">
        <v>15723</v>
      </c>
      <c r="E59" s="262" t="s">
        <v>15724</v>
      </c>
      <c r="F59" s="305" t="s">
        <v>15725</v>
      </c>
      <c r="G59" s="262" t="str">
        <f>HYPERLINK("https://arcolares.pt","arcolares.pt")</f>
        <v>arcolares.pt</v>
      </c>
      <c r="H59" s="262" t="s">
        <v>15726</v>
      </c>
      <c r="I59" s="287" t="str">
        <f>HYPERLINK("https://www.google.com/maps/search/Adega%20de%20Colares%20Centro%20Portugal/@38.8052,-9.4614,17z","🍇 Adega de Colares")</f>
        <v>🍇 Adega de Colares</v>
      </c>
    </row>
    <row r="60" spans="1:9" ht="110" customHeight="1" x14ac:dyDescent="0.35">
      <c r="A60" s="358">
        <v>13</v>
      </c>
      <c r="B60" s="259" t="s">
        <v>15727</v>
      </c>
      <c r="C60" s="260" t="s">
        <v>836</v>
      </c>
      <c r="D60" s="259" t="s">
        <v>15728</v>
      </c>
      <c r="E60" s="259" t="s">
        <v>15729</v>
      </c>
      <c r="F60" s="304" t="s">
        <v>15730</v>
      </c>
      <c r="G60" s="259" t="str">
        <f>HYPERLINK("https://quintadogradil.pt","quintadogradil.pt")</f>
        <v>quintadogradil.pt</v>
      </c>
      <c r="H60" s="259" t="s">
        <v>15731</v>
      </c>
      <c r="I60" s="286" t="str">
        <f>HYPERLINK("https://www.google.com/maps/search/Quinta%20do%20Gradil%20Centro%20Portugal/@39.2141,-9.1054,17z","🍇 Quinta do Gradil")</f>
        <v>🍇 Quinta do Gradil</v>
      </c>
    </row>
    <row r="61" spans="1:9" ht="110" customHeight="1" x14ac:dyDescent="0.35">
      <c r="A61" s="352">
        <v>14</v>
      </c>
      <c r="B61" s="262" t="s">
        <v>15732</v>
      </c>
      <c r="C61" s="263" t="s">
        <v>836</v>
      </c>
      <c r="D61" s="262" t="s">
        <v>15733</v>
      </c>
      <c r="E61" s="262" t="s">
        <v>15734</v>
      </c>
      <c r="F61" s="305" t="s">
        <v>15735</v>
      </c>
      <c r="G61" s="262" t="str">
        <f>HYPERLINK("https://cabriz.pt","cabriz.pt")</f>
        <v>cabriz.pt</v>
      </c>
      <c r="H61" s="262" t="s">
        <v>15736</v>
      </c>
      <c r="I61" s="287" t="str">
        <f>HYPERLINK("https://www.google.com/maps/search/Quinta%20de%20Cabriz%20Centro%20Portugal/@40.4285,-8.0124,17z","🍇 Quinta de Cabriz")</f>
        <v>🍇 Quinta de Cabriz</v>
      </c>
    </row>
    <row r="62" spans="1:9" ht="110" customHeight="1" x14ac:dyDescent="0.35">
      <c r="A62" s="358">
        <v>15</v>
      </c>
      <c r="B62" s="259" t="s">
        <v>15737</v>
      </c>
      <c r="C62" s="260" t="s">
        <v>836</v>
      </c>
      <c r="D62" s="259" t="s">
        <v>7019</v>
      </c>
      <c r="E62" s="259" t="s">
        <v>15738</v>
      </c>
      <c r="F62" s="304" t="s">
        <v>15739</v>
      </c>
      <c r="G62" s="259" t="str">
        <f>HYPERLINK("https://pacodecunhassantar.pt","pacodecunhassantar.pt")</f>
        <v>pacodecunhassantar.pt</v>
      </c>
      <c r="H62" s="259" t="s">
        <v>15740</v>
      </c>
      <c r="I62" s="286" t="str">
        <f>HYPERLINK("https://www.google.com/maps/search/Pa%C3%A7o%20dos%20Cunhas%20de%20Santar%20Centro%20Portugal/@40.5512,-7.8401,17z","🍇 Paço dos Cunhas de Santar")</f>
        <v>🍇 Paço dos Cunhas de Santar</v>
      </c>
    </row>
    <row r="63" spans="1:9" ht="110" customHeight="1" x14ac:dyDescent="0.35">
      <c r="A63" s="352">
        <v>16</v>
      </c>
      <c r="B63" s="262" t="s">
        <v>15741</v>
      </c>
      <c r="C63" s="263" t="s">
        <v>836</v>
      </c>
      <c r="D63" s="262" t="s">
        <v>15742</v>
      </c>
      <c r="E63" s="262" t="s">
        <v>15743</v>
      </c>
      <c r="F63" s="305" t="s">
        <v>15744</v>
      </c>
      <c r="G63" s="262" t="str">
        <f>HYPERLINK("https://quintadosroques.pt","quintadosroques.pt")</f>
        <v>quintadosroques.pt</v>
      </c>
      <c r="H63" s="262" t="s">
        <v>15745</v>
      </c>
      <c r="I63" s="287" t="str">
        <f>HYPERLINK("https://www.google.com/maps/search/Quinta%20dos%20Roques%20Centro%20Portugal/@40.5901,-7.6201,17z","🍇 Quinta dos Roques")</f>
        <v>🍇 Quinta dos Roques</v>
      </c>
    </row>
    <row r="64" spans="1:9" ht="110" customHeight="1" x14ac:dyDescent="0.35">
      <c r="A64" s="358">
        <v>17</v>
      </c>
      <c r="B64" s="259" t="s">
        <v>15746</v>
      </c>
      <c r="C64" s="260" t="s">
        <v>836</v>
      </c>
      <c r="D64" s="259" t="s">
        <v>15747</v>
      </c>
      <c r="E64" s="259" t="s">
        <v>15729</v>
      </c>
      <c r="F64" s="304" t="s">
        <v>15748</v>
      </c>
      <c r="G64" s="259" t="str">
        <f>HYPERLINK("https://vinhos-sanguinhal.pt","vinhos-sanguinhal.pt")</f>
        <v>vinhos-sanguinhal.pt</v>
      </c>
      <c r="H64" s="259" t="s">
        <v>15749</v>
      </c>
      <c r="I64" s="286" t="str">
        <f>HYPERLINK("https://www.google.com/maps/search/Quinta%20do%20Sanguinhal%20Centro%20Portugal/@39.2638,-9.1452,17z","🍇 Quinta do Sanguinhal")</f>
        <v>🍇 Quinta do Sanguinhal</v>
      </c>
    </row>
    <row r="65" spans="1:9" ht="110" customHeight="1" x14ac:dyDescent="0.35">
      <c r="A65" s="352">
        <v>18</v>
      </c>
      <c r="B65" s="262" t="s">
        <v>15750</v>
      </c>
      <c r="C65" s="263" t="s">
        <v>836</v>
      </c>
      <c r="D65" s="262" t="s">
        <v>15751</v>
      </c>
      <c r="E65" s="262" t="s">
        <v>15752</v>
      </c>
      <c r="F65" s="305" t="s">
        <v>15753</v>
      </c>
      <c r="G65" s="262" t="str">
        <f>HYPERLINK("https://quintadosabibes.com","quintadosabibes.com")</f>
        <v>quintadosabibes.com</v>
      </c>
      <c r="H65" s="262" t="s">
        <v>15754</v>
      </c>
      <c r="I65" s="287" t="str">
        <f>HYPERLINK("https://www.google.com/maps/search/Quinta%20dos%20Abibes%20Centro%20Portugal/@40.4801,-8.3901,17z","🍇 Quinta dos Abibes")</f>
        <v>🍇 Quinta dos Abibes</v>
      </c>
    </row>
    <row r="66" spans="1:9" ht="110" customHeight="1" x14ac:dyDescent="0.35">
      <c r="A66" s="358">
        <v>19</v>
      </c>
      <c r="B66" s="259" t="s">
        <v>15755</v>
      </c>
      <c r="C66" s="260" t="s">
        <v>836</v>
      </c>
      <c r="D66" s="259" t="s">
        <v>15756</v>
      </c>
      <c r="E66" s="259" t="s">
        <v>15757</v>
      </c>
      <c r="F66" s="304" t="s">
        <v>15758</v>
      </c>
      <c r="G66" s="259" t="str">
        <f>HYPERLINK("https://casaldecoelheira.com","casaldecoelheira.com")</f>
        <v>casaldecoelheira.com</v>
      </c>
      <c r="H66" s="259" t="s">
        <v>15759</v>
      </c>
      <c r="I66" s="286" t="str">
        <f>HYPERLINK("https://www.google.com/maps/search/Casal%20da%20Coelheira%20Centro%20Portugal/@39.4201,-8.1501,17z","🍇 Casal da Coelheira")</f>
        <v>🍇 Casal da Coelheira</v>
      </c>
    </row>
    <row r="67" spans="1:9" ht="110" customHeight="1" x14ac:dyDescent="0.35">
      <c r="A67" s="352">
        <v>20</v>
      </c>
      <c r="B67" s="262" t="s">
        <v>15760</v>
      </c>
      <c r="C67" s="263" t="s">
        <v>836</v>
      </c>
      <c r="D67" s="262" t="s">
        <v>15761</v>
      </c>
      <c r="E67" s="262" t="s">
        <v>15762</v>
      </c>
      <c r="F67" s="305" t="s">
        <v>15763</v>
      </c>
      <c r="G67" s="262" t="str">
        <f>HYPERLINK("https://quintadalagoalva.pt","quintadalagoalva.pt")</f>
        <v>quintadalagoalva.pt</v>
      </c>
      <c r="H67" s="262" t="s">
        <v>15764</v>
      </c>
      <c r="I67" s="287" t="str">
        <f>HYPERLINK("https://www.google.com/maps/search/Quinta%20da%20Lagoalva%20Centro%20Portugal/@39.2301,-8.6401,17z","🍇 Quinta da Lagoalva")</f>
        <v>🍇 Quinta da Lagoalva</v>
      </c>
    </row>
    <row r="68" spans="1:9" ht="110" customHeight="1" x14ac:dyDescent="0.35">
      <c r="A68" s="358">
        <v>21</v>
      </c>
      <c r="B68" s="259" t="s">
        <v>15765</v>
      </c>
      <c r="C68" s="260" t="s">
        <v>836</v>
      </c>
      <c r="D68" s="259" t="s">
        <v>1131</v>
      </c>
      <c r="E68" s="259" t="s">
        <v>15766</v>
      </c>
      <c r="F68" s="304" t="s">
        <v>15767</v>
      </c>
      <c r="G68" s="259" t="str">
        <f>HYPERLINK("https://adegadecantanhede.pt","adegadecantanhede.pt")</f>
        <v>adegadecantanhede.pt</v>
      </c>
      <c r="H68" s="259" t="s">
        <v>15768</v>
      </c>
      <c r="I68" s="286" t="str">
        <f>HYPERLINK("https://www.google.com/maps/search/Adega%20de%20Cantanhede%20Centro%20Portugal/@40.3501,-8.5901,17z","🍇 Adega de Cantanhede")</f>
        <v>🍇 Adega de Cantanhede</v>
      </c>
    </row>
    <row r="69" spans="1:9" ht="110" customHeight="1" x14ac:dyDescent="0.35">
      <c r="A69" s="352">
        <v>22</v>
      </c>
      <c r="B69" s="262" t="s">
        <v>15769</v>
      </c>
      <c r="C69" s="263" t="s">
        <v>836</v>
      </c>
      <c r="D69" s="262" t="s">
        <v>5922</v>
      </c>
      <c r="E69" s="262" t="s">
        <v>15770</v>
      </c>
      <c r="F69" s="305" t="s">
        <v>15771</v>
      </c>
      <c r="G69" s="262" t="str">
        <f>HYPERLINK("https://quintadostermos.pt","quintadostermos.pt")</f>
        <v>quintadostermos.pt</v>
      </c>
      <c r="H69" s="262" t="s">
        <v>15772</v>
      </c>
      <c r="I69" s="287" t="str">
        <f>HYPERLINK("https://www.google.com/maps/search/Quinta%20dos%20Termos%20Centro%20Portugal/@40.3812,-7.3601,17z","🍇 Quinta dos Termos")</f>
        <v>🍇 Quinta dos Termos</v>
      </c>
    </row>
    <row r="70" spans="1:9" ht="110" customHeight="1" x14ac:dyDescent="0.35">
      <c r="A70" s="358">
        <v>23</v>
      </c>
      <c r="B70" s="259" t="s">
        <v>15773</v>
      </c>
      <c r="C70" s="260" t="s">
        <v>836</v>
      </c>
      <c r="D70" s="259" t="s">
        <v>8782</v>
      </c>
      <c r="E70" s="259" t="s">
        <v>15774</v>
      </c>
      <c r="F70" s="304" t="s">
        <v>15775</v>
      </c>
      <c r="G70" s="259" t="str">
        <f>HYPERLINK("https://solardogeira.pt","solardogeira.pt")</f>
        <v>solardogeira.pt</v>
      </c>
      <c r="H70" s="259" t="s">
        <v>15776</v>
      </c>
      <c r="I70" s="286" t="str">
        <f>HYPERLINK("https://www.google.com/maps/search/Solar%20do%20Geira%20Centro%20Portugal/@39.8901,-7.4301,17z","🍇 Solar do Geira")</f>
        <v>🍇 Solar do Geira</v>
      </c>
    </row>
    <row r="71" spans="1:9" ht="110" customHeight="1" x14ac:dyDescent="0.35">
      <c r="A71" s="352">
        <v>24</v>
      </c>
      <c r="B71" s="262" t="s">
        <v>15777</v>
      </c>
      <c r="C71" s="263" t="s">
        <v>836</v>
      </c>
      <c r="D71" s="262" t="s">
        <v>6555</v>
      </c>
      <c r="E71" s="262" t="s">
        <v>15778</v>
      </c>
      <c r="F71" s="305" t="s">
        <v>15779</v>
      </c>
      <c r="G71" s="262" t="str">
        <f>HYPERLINK("https://quintadaboavista.pt","quintadaboavista.pt")</f>
        <v>quintadaboavista.pt</v>
      </c>
      <c r="H71" s="262" t="s">
        <v>15780</v>
      </c>
      <c r="I71" s="287" t="str">
        <f>HYPERLINK("https://www.google.com/maps/search/Quinta%20da%20Boavista%20Centro%20Portugal/@39.1401,-9.2601,17z","🍇 Quinta da Boavista")</f>
        <v>🍇 Quinta da Boavista</v>
      </c>
    </row>
    <row r="72" spans="1:9" ht="110" customHeight="1" x14ac:dyDescent="0.35">
      <c r="A72" s="358">
        <v>25</v>
      </c>
      <c r="B72" s="259" t="s">
        <v>15781</v>
      </c>
      <c r="C72" s="260" t="s">
        <v>836</v>
      </c>
      <c r="D72" s="259" t="s">
        <v>6555</v>
      </c>
      <c r="E72" s="259" t="s">
        <v>15782</v>
      </c>
      <c r="F72" s="304" t="s">
        <v>15783</v>
      </c>
      <c r="G72" s="259" t="str">
        <f>HYPERLINK("https://quintadaalmiara.pt","quintadaalmiara.pt")</f>
        <v>quintadaalmiara.pt</v>
      </c>
      <c r="H72" s="259" t="s">
        <v>15784</v>
      </c>
      <c r="I72" s="286" t="str">
        <f>HYPERLINK("https://www.google.com/maps/search/Quinta%20da%20Almiara%20Centro%20Portugal/@39.1001,-9.0501,17z","🍇 Quinta da Almiara")</f>
        <v>🍇 Quinta da Almiara</v>
      </c>
    </row>
    <row r="73" spans="1:9" ht="110" customHeight="1" x14ac:dyDescent="0.35">
      <c r="A73" s="352">
        <v>26</v>
      </c>
      <c r="B73" s="262" t="s">
        <v>7711</v>
      </c>
      <c r="C73" s="263" t="s">
        <v>836</v>
      </c>
      <c r="D73" s="262" t="s">
        <v>15785</v>
      </c>
      <c r="E73" s="262" t="s">
        <v>15786</v>
      </c>
      <c r="F73" s="305" t="s">
        <v>15787</v>
      </c>
      <c r="G73" s="262" t="str">
        <f>HYPERLINK("https://casadainsua.pt","casadainsua.pt")</f>
        <v>casadainsua.pt</v>
      </c>
      <c r="H73" s="262" t="s">
        <v>15788</v>
      </c>
      <c r="I73" s="287" t="str">
        <f>HYPERLINK("https://www.google.com/maps/search/Casa%20da%20%C3%8Dnsua%20Centro%20Portugal/@40.6801,-7.6201,17z","🍇 Casa da Ínsua")</f>
        <v>🍇 Casa da Ínsua</v>
      </c>
    </row>
    <row r="74" spans="1:9" ht="110" customHeight="1" x14ac:dyDescent="0.35">
      <c r="A74" s="358">
        <v>27</v>
      </c>
      <c r="B74" s="259" t="s">
        <v>15789</v>
      </c>
      <c r="C74" s="260" t="s">
        <v>836</v>
      </c>
      <c r="D74" s="259" t="s">
        <v>950</v>
      </c>
      <c r="E74" s="259" t="s">
        <v>15790</v>
      </c>
      <c r="F74" s="304" t="s">
        <v>15791</v>
      </c>
      <c r="G74" s="259" t="str">
        <f>HYPERLINK("https://qdelemos.com","qdelemos.com")</f>
        <v>qdelemos.com</v>
      </c>
      <c r="H74" s="259" t="s">
        <v>15792</v>
      </c>
      <c r="I74" s="286" t="str">
        <f>HYPERLINK("https://www.google.com/maps/search/Quinta%20de%20Lemos%20Centro%20Portugal/@40.6501,-7.9401,17z","🍇 Quinta de Lemos")</f>
        <v>🍇 Quinta de Lemos</v>
      </c>
    </row>
    <row r="75" spans="1:9" ht="110" customHeight="1" x14ac:dyDescent="0.35">
      <c r="A75" s="352">
        <v>28</v>
      </c>
      <c r="B75" s="262" t="s">
        <v>15793</v>
      </c>
      <c r="C75" s="263" t="s">
        <v>836</v>
      </c>
      <c r="D75" s="262" t="s">
        <v>2054</v>
      </c>
      <c r="E75" s="262" t="s">
        <v>15794</v>
      </c>
      <c r="F75" s="305" t="s">
        <v>15795</v>
      </c>
      <c r="G75" s="262" t="str">
        <f>HYPERLINK("https://caoliveiradohospital.pt","caoliveiradohospital.pt")</f>
        <v>caoliveiradohospital.pt</v>
      </c>
      <c r="H75" s="262" t="s">
        <v>15796</v>
      </c>
      <c r="I75" s="287" t="str">
        <f>HYPERLINK("https://www.google.com/maps/search/Cooperativa%20de%20Oliveira%20do%20Hospital%20Centro%20Portugal/@40.3612,-7.9101,17z","🍇 Cooperativa de Oliveira do …")</f>
        <v>🍇 Cooperativa de Oliveira do …</v>
      </c>
    </row>
    <row r="76" spans="1:9" ht="110" customHeight="1" x14ac:dyDescent="0.35">
      <c r="A76" s="358">
        <v>29</v>
      </c>
      <c r="B76" s="259" t="s">
        <v>15797</v>
      </c>
      <c r="C76" s="260" t="s">
        <v>836</v>
      </c>
      <c r="D76" s="259" t="s">
        <v>1276</v>
      </c>
      <c r="E76" s="259" t="s">
        <v>15798</v>
      </c>
      <c r="F76" s="304" t="s">
        <v>15799</v>
      </c>
      <c r="G76" s="259" t="str">
        <f>HYPERLINK("https://quintadasbasculas.pt","quintadasbasculas.pt")</f>
        <v>quintadasbasculas.pt</v>
      </c>
      <c r="H76" s="259" t="s">
        <v>15800</v>
      </c>
      <c r="I76" s="286" t="str">
        <f>HYPERLINK("https://www.google.com/maps/search/Quinta%20das%20B%C3%A1sculas%20Centro%20Portugal/@39.6101,-8.4101,17z","🍇 Quinta das Básculas")</f>
        <v>🍇 Quinta das Básculas</v>
      </c>
    </row>
    <row r="77" spans="1:9" ht="110" customHeight="1" x14ac:dyDescent="0.35">
      <c r="A77" s="352">
        <v>30</v>
      </c>
      <c r="B77" s="262" t="s">
        <v>15801</v>
      </c>
      <c r="C77" s="263" t="s">
        <v>836</v>
      </c>
      <c r="D77" s="262" t="s">
        <v>7015</v>
      </c>
      <c r="E77" s="262" t="s">
        <v>15802</v>
      </c>
      <c r="F77" s="305" t="s">
        <v>15803</v>
      </c>
      <c r="G77" s="262" t="str">
        <f>HYPERLINK("https://solarsaodomingos.pt","solarsaodomingos.pt")</f>
        <v>solarsaodomingos.pt</v>
      </c>
      <c r="H77" s="262" t="s">
        <v>15804</v>
      </c>
      <c r="I77" s="287" t="str">
        <f>HYPERLINK("https://www.google.com/maps/search/Caves%20Solar%20de%20S%C3%A3o%20Domingos%20Centro%20Portugal/@40.4701,-8.4601,17z","🍇 Caves Solar de São Domingos")</f>
        <v>🍇 Caves Solar de São Domingos</v>
      </c>
    </row>
    <row r="78" spans="1:9" ht="110" customHeight="1" x14ac:dyDescent="0.35">
      <c r="A78" s="700">
        <v>31</v>
      </c>
      <c r="B78" s="701" t="s">
        <v>19668</v>
      </c>
      <c r="C78" s="702" t="s">
        <v>836</v>
      </c>
      <c r="D78" s="701" t="s">
        <v>19669</v>
      </c>
      <c r="E78" s="701" t="s">
        <v>19670</v>
      </c>
      <c r="F78" s="703" t="s">
        <v>19671</v>
      </c>
      <c r="G78" s="698" t="str">
        <f>HYPERLINK("https://bacalhoa.pt","bacalhoa.pt")</f>
        <v>bacalhoa.pt</v>
      </c>
      <c r="H78" s="704" t="s">
        <v>19672</v>
      </c>
      <c r="I78" s="699" t="str">
        <f>HYPERLINK("https://www.google.com/maps/search/Quinta+da+Bacalhoa+Azeitao+Setubal+Portugal","🍇 Quinta da Bacalhôa")</f>
        <v>🍇 Quinta da Bacalhôa</v>
      </c>
    </row>
    <row r="79" spans="1:9" ht="110" customHeight="1" x14ac:dyDescent="0.35">
      <c r="A79" s="707">
        <v>32</v>
      </c>
      <c r="B79" s="708" t="s">
        <v>19673</v>
      </c>
      <c r="C79" s="709" t="s">
        <v>836</v>
      </c>
      <c r="D79" s="708" t="s">
        <v>19674</v>
      </c>
      <c r="E79" s="708" t="s">
        <v>19675</v>
      </c>
      <c r="F79" s="710" t="s">
        <v>19676</v>
      </c>
      <c r="G79" s="705" t="str">
        <f>HYPERLINK("https://adegamae.pt","adegamae.pt")</f>
        <v>adegamae.pt</v>
      </c>
      <c r="H79" s="711" t="s">
        <v>19677</v>
      </c>
      <c r="I79" s="706" t="str">
        <f>HYPERLINK("https://www.google.com/maps/search/Adega+Mae+Torres+Vedras+Lisboa+Portugal","🍇 Adega Mãe")</f>
        <v>🍇 Adega Mãe</v>
      </c>
    </row>
    <row r="80" spans="1:9" ht="110" customHeight="1" x14ac:dyDescent="0.35">
      <c r="A80" s="700">
        <v>33</v>
      </c>
      <c r="B80" s="701" t="s">
        <v>19678</v>
      </c>
      <c r="C80" s="702" t="s">
        <v>836</v>
      </c>
      <c r="D80" s="701" t="s">
        <v>15723</v>
      </c>
      <c r="E80" s="701" t="s">
        <v>19679</v>
      </c>
      <c r="F80" s="703" t="s">
        <v>19680</v>
      </c>
      <c r="G80" s="698" t="str">
        <f>HYPERLINK("https://arcolares.pt","arcolares.pt")</f>
        <v>arcolares.pt</v>
      </c>
      <c r="H80" s="704" t="s">
        <v>19681</v>
      </c>
      <c r="I80" s="699" t="str">
        <f>HYPERLINK("https://www.google.com/maps/search/Adega+Regional+de+Colares+Sintra+Portugal","🍇 Adega Regional de Colares")</f>
        <v>🍇 Adega Regional de Colares</v>
      </c>
    </row>
    <row r="81" spans="1:9" ht="22" customHeight="1" x14ac:dyDescent="0.35">
      <c r="A81" s="1478" t="s">
        <v>19692</v>
      </c>
      <c r="B81" s="1313"/>
      <c r="C81" s="1313"/>
      <c r="D81" s="1313"/>
      <c r="E81" s="1313"/>
      <c r="F81" s="1313"/>
      <c r="G81" s="1313"/>
      <c r="H81" s="1313"/>
      <c r="I81" s="1313"/>
    </row>
    <row r="82" spans="1:9" ht="110" customHeight="1" x14ac:dyDescent="0.35">
      <c r="A82" s="346">
        <v>1</v>
      </c>
      <c r="B82" s="267" t="s">
        <v>9732</v>
      </c>
      <c r="C82" s="268" t="s">
        <v>853</v>
      </c>
      <c r="D82" s="267" t="s">
        <v>15805</v>
      </c>
      <c r="E82" s="267" t="s">
        <v>15806</v>
      </c>
      <c r="F82" s="304" t="s">
        <v>15807</v>
      </c>
      <c r="G82" s="267" t="str">
        <f>HYPERLINK("https://malhadinhanova.pt","malhadinhanova.pt")</f>
        <v>malhadinhanova.pt</v>
      </c>
      <c r="H82" s="267" t="s">
        <v>15808</v>
      </c>
      <c r="I82" s="288" t="str">
        <f>HYPERLINK("https://www.google.com/maps/search/Herdade%20da%20Malhadinha%20Nova%20Alentejo%20Portugal/@37.8341,-7.9942,17z","🍇 Herdade da Malhadinha Nova")</f>
        <v>🍇 Herdade da Malhadinha Nova</v>
      </c>
    </row>
    <row r="83" spans="1:9" ht="110" customHeight="1" x14ac:dyDescent="0.35">
      <c r="A83" s="362">
        <v>2</v>
      </c>
      <c r="B83" s="270" t="s">
        <v>15809</v>
      </c>
      <c r="C83" s="271" t="s">
        <v>853</v>
      </c>
      <c r="D83" s="270" t="s">
        <v>15810</v>
      </c>
      <c r="E83" s="270" t="s">
        <v>15811</v>
      </c>
      <c r="F83" s="305" t="s">
        <v>15812</v>
      </c>
      <c r="G83" s="270" t="str">
        <f>HYPERLINK("https://quintadoquetzal.com","quintadoquetzal.com")</f>
        <v>quintadoquetzal.com</v>
      </c>
      <c r="H83" s="270" t="s">
        <v>15813</v>
      </c>
      <c r="I83" s="289" t="str">
        <f>HYPERLINK("https://www.google.com/maps/search/Quinta%20do%20Quetzal%20Alentejo%20Portugal/@38.2045,-7.7812,17z","🍇 Quinta do Quetzal")</f>
        <v>🍇 Quinta do Quetzal</v>
      </c>
    </row>
    <row r="84" spans="1:9" ht="110" customHeight="1" x14ac:dyDescent="0.35">
      <c r="A84" s="346">
        <v>3</v>
      </c>
      <c r="B84" s="267" t="s">
        <v>15814</v>
      </c>
      <c r="C84" s="268" t="s">
        <v>853</v>
      </c>
      <c r="D84" s="267" t="s">
        <v>15815</v>
      </c>
      <c r="E84" s="267" t="s">
        <v>15816</v>
      </c>
      <c r="F84" s="304" t="s">
        <v>15817</v>
      </c>
      <c r="G84" s="267" t="str">
        <f>HYPERLINK("https://coelheiros.pt","coelheiros.pt")</f>
        <v>coelheiros.pt</v>
      </c>
      <c r="H84" s="267" t="s">
        <v>15818</v>
      </c>
      <c r="I84" s="288" t="str">
        <f>HYPERLINK("https://www.google.com/maps/search/Herdade%20de%20Coelheiros%20Alentejo%20Portugal/@38.6942,-7.9541,17z","🍇 Herdade de Coelheiros")</f>
        <v>🍇 Herdade de Coelheiros</v>
      </c>
    </row>
    <row r="85" spans="1:9" ht="110" customHeight="1" x14ac:dyDescent="0.35">
      <c r="A85" s="362">
        <v>4</v>
      </c>
      <c r="B85" s="270" t="s">
        <v>15819</v>
      </c>
      <c r="C85" s="271" t="s">
        <v>853</v>
      </c>
      <c r="D85" s="270" t="s">
        <v>15820</v>
      </c>
      <c r="E85" s="270" t="s">
        <v>15821</v>
      </c>
      <c r="F85" s="305" t="s">
        <v>15822</v>
      </c>
      <c r="G85" s="270" t="str">
        <f>HYPERLINK("https://jmf.pt","jmf.pt")</f>
        <v>jmf.pt</v>
      </c>
      <c r="H85" s="270" t="s">
        <v>15823</v>
      </c>
      <c r="I85" s="289" t="str">
        <f>HYPERLINK("https://www.google.com/maps/search/Jos%C3%A9%20Maria%20da%20Fonseca%20Alentejo%20Portugal/@38.5192,-9.0154,17z","🍇 José Maria da Fonseca")</f>
        <v>🍇 José Maria da Fonseca</v>
      </c>
    </row>
    <row r="86" spans="1:9" ht="110" customHeight="1" x14ac:dyDescent="0.35">
      <c r="A86" s="346">
        <v>5</v>
      </c>
      <c r="B86" s="267" t="s">
        <v>15824</v>
      </c>
      <c r="C86" s="268" t="s">
        <v>853</v>
      </c>
      <c r="D86" s="267" t="s">
        <v>15825</v>
      </c>
      <c r="E86" s="267" t="s">
        <v>15826</v>
      </c>
      <c r="F86" s="304" t="s">
        <v>15827</v>
      </c>
      <c r="G86" s="267" t="str">
        <f>HYPERLINK("https://figueirinha.pt","figueirinha.pt")</f>
        <v>figueirinha.pt</v>
      </c>
      <c r="H86" s="267" t="s">
        <v>15828</v>
      </c>
      <c r="I86" s="288" t="str">
        <f>HYPERLINK("https://www.google.com/maps/search/Herdade%20da%20Figueirinha%20Alentejo%20Portugal/@37.9512,-7.9814,17z","🍇 Herdade da Figueirinha")</f>
        <v>🍇 Herdade da Figueirinha</v>
      </c>
    </row>
    <row r="87" spans="1:9" ht="110" customHeight="1" x14ac:dyDescent="0.35">
      <c r="A87" s="362">
        <v>6</v>
      </c>
      <c r="B87" s="270" t="s">
        <v>15829</v>
      </c>
      <c r="C87" s="271" t="s">
        <v>853</v>
      </c>
      <c r="D87" s="270" t="s">
        <v>15830</v>
      </c>
      <c r="E87" s="270" t="s">
        <v>15831</v>
      </c>
      <c r="F87" s="305" t="s">
        <v>15832</v>
      </c>
      <c r="G87" s="270" t="str">
        <f>HYPERLINK("https://adegamayor.pt","adegamayor.pt")</f>
        <v>adegamayor.pt</v>
      </c>
      <c r="H87" s="270" t="s">
        <v>15833</v>
      </c>
      <c r="I87" s="289" t="str">
        <f>HYPERLINK("https://www.google.com/maps/search/Adega%20Mayor%20Alentejo%20Portugal/@39.0214,-7.0541,17z","🍇 Adega Mayor")</f>
        <v>🍇 Adega Mayor</v>
      </c>
    </row>
    <row r="88" spans="1:9" ht="110" customHeight="1" x14ac:dyDescent="0.35">
      <c r="A88" s="346">
        <v>7</v>
      </c>
      <c r="B88" s="267" t="s">
        <v>10587</v>
      </c>
      <c r="C88" s="268" t="s">
        <v>853</v>
      </c>
      <c r="D88" s="267" t="s">
        <v>15834</v>
      </c>
      <c r="E88" s="267" t="s">
        <v>15835</v>
      </c>
      <c r="F88" s="304" t="s">
        <v>15836</v>
      </c>
      <c r="G88" s="267" t="str">
        <f>HYPERLINK("https://esporao.com","esporao.com")</f>
        <v>esporao.com</v>
      </c>
      <c r="H88" s="267" t="s">
        <v>15837</v>
      </c>
      <c r="I88" s="288" t="str">
        <f>HYPERLINK("https://www.google.com/maps/search/Herdade%20do%20Espor%C3%A3o%20Alentejo%20Portugal/@38.3792,-7.5342,17z","🍇 Herdade do Esporão")</f>
        <v>🍇 Herdade do Esporão</v>
      </c>
    </row>
    <row r="89" spans="1:9" ht="110" customHeight="1" x14ac:dyDescent="0.35">
      <c r="A89" s="362">
        <v>8</v>
      </c>
      <c r="B89" s="270" t="s">
        <v>15838</v>
      </c>
      <c r="C89" s="271" t="s">
        <v>853</v>
      </c>
      <c r="D89" s="270" t="s">
        <v>15839</v>
      </c>
      <c r="E89" s="270" t="s">
        <v>15840</v>
      </c>
      <c r="F89" s="305" t="s">
        <v>15841</v>
      </c>
      <c r="G89" s="270" t="str">
        <f>HYPERLINK("https://cartuxa.pt","cartuxa.pt")</f>
        <v>cartuxa.pt</v>
      </c>
      <c r="H89" s="270" t="s">
        <v>15842</v>
      </c>
      <c r="I89" s="289" t="str">
        <f>HYPERLINK("https://www.google.com/maps/search/Cartuxa%20%28Enoturismo%29%20Alentejo%20Portugal/@38.5794,-7.9341,17z","🍇 Cartuxa (Enoturismo)")</f>
        <v>🍇 Cartuxa (Enoturismo)</v>
      </c>
    </row>
    <row r="90" spans="1:9" ht="110" customHeight="1" x14ac:dyDescent="0.35">
      <c r="A90" s="346">
        <v>9</v>
      </c>
      <c r="B90" s="267" t="s">
        <v>15843</v>
      </c>
      <c r="C90" s="268" t="s">
        <v>853</v>
      </c>
      <c r="D90" s="267" t="s">
        <v>15844</v>
      </c>
      <c r="E90" s="267" t="s">
        <v>15845</v>
      </c>
      <c r="F90" s="304" t="s">
        <v>15846</v>
      </c>
      <c r="G90" s="267" t="str">
        <f>HYPERLINK("https://casarelvas.pt","casarelvas.pt")</f>
        <v>casarelvas.pt</v>
      </c>
      <c r="H90" s="267" t="s">
        <v>15847</v>
      </c>
      <c r="I90" s="288" t="str">
        <f>HYPERLINK("https://www.google.com/maps/search/Herdade%20de%20S.%20Miguel%20%28Casa%20Relvas%29%20Alentejo%20Portugal/@38.6512,-7.5421,17z","🍇 Herdade de S. Miguel (Casa …")</f>
        <v>🍇 Herdade de S. Miguel (Casa …</v>
      </c>
    </row>
    <row r="91" spans="1:9" ht="110" customHeight="1" x14ac:dyDescent="0.35">
      <c r="A91" s="362">
        <v>10</v>
      </c>
      <c r="B91" s="270" t="s">
        <v>15848</v>
      </c>
      <c r="C91" s="271" t="s">
        <v>853</v>
      </c>
      <c r="D91" s="270" t="s">
        <v>15849</v>
      </c>
      <c r="E91" s="270" t="s">
        <v>15850</v>
      </c>
      <c r="F91" s="305" t="s">
        <v>15851</v>
      </c>
      <c r="G91" s="270" t="str">
        <f>HYPERLINK("https://jmf.pt","jmf.pt")</f>
        <v>jmf.pt</v>
      </c>
      <c r="H91" s="270" t="s">
        <v>15852</v>
      </c>
      <c r="I91" s="289" t="str">
        <f>HYPERLINK("https://www.google.com/maps/search/Adega%20Jos%C3%A9%20de%20Sousa%20%28JMF%29%20Alentejo%20Portugal/@38.4245,-7.5314,17z","🍇 Adega José de Sousa (JMF)")</f>
        <v>🍇 Adega José de Sousa (JMF)</v>
      </c>
    </row>
    <row r="92" spans="1:9" ht="110" customHeight="1" x14ac:dyDescent="0.35">
      <c r="A92" s="346">
        <v>11</v>
      </c>
      <c r="B92" s="267" t="s">
        <v>9729</v>
      </c>
      <c r="C92" s="268" t="s">
        <v>853</v>
      </c>
      <c r="D92" s="267" t="s">
        <v>5668</v>
      </c>
      <c r="E92" s="267" t="s">
        <v>15853</v>
      </c>
      <c r="F92" s="304" t="s">
        <v>15854</v>
      </c>
      <c r="G92" s="267" t="str">
        <f>HYPERLINK("https://torredepalma.com","torredepalma.com")</f>
        <v>torredepalma.com</v>
      </c>
      <c r="H92" s="267" t="s">
        <v>15855</v>
      </c>
      <c r="I92" s="288" t="str">
        <f>HYPERLINK("https://www.google.com/maps/search/Torre%20de%20Palma%20Wine%20Hotel%20Alentejo%20Portugal/@39.1412,-7.5101,17z","🍇 Torre de Palma Wine Hotel")</f>
        <v>🍇 Torre de Palma Wine Hotel</v>
      </c>
    </row>
    <row r="93" spans="1:9" ht="110" customHeight="1" x14ac:dyDescent="0.35">
      <c r="A93" s="362">
        <v>12</v>
      </c>
      <c r="B93" s="270" t="s">
        <v>10584</v>
      </c>
      <c r="C93" s="271" t="s">
        <v>853</v>
      </c>
      <c r="D93" s="270" t="s">
        <v>9733</v>
      </c>
      <c r="E93" s="270" t="s">
        <v>15856</v>
      </c>
      <c r="F93" s="305" t="s">
        <v>15857</v>
      </c>
      <c r="G93" s="270" t="str">
        <f>HYPERLINK("https://herdadedosgrous.com","herdadedosgrous.com")</f>
        <v>herdadedosgrous.com</v>
      </c>
      <c r="H93" s="270" t="s">
        <v>15858</v>
      </c>
      <c r="I93" s="289" t="str">
        <f>HYPERLINK("https://www.google.com/maps/search/Herdade%20dos%20Grous%20Alentejo%20Portugal/@37.9341,-7.9501,17z","🍇 Herdade dos Grous")</f>
        <v>🍇 Herdade dos Grous</v>
      </c>
    </row>
    <row r="94" spans="1:9" ht="110" customHeight="1" x14ac:dyDescent="0.35">
      <c r="A94" s="346">
        <v>13</v>
      </c>
      <c r="B94" s="267" t="s">
        <v>15859</v>
      </c>
      <c r="C94" s="268" t="s">
        <v>853</v>
      </c>
      <c r="D94" s="267" t="s">
        <v>7808</v>
      </c>
      <c r="E94" s="267" t="s">
        <v>15860</v>
      </c>
      <c r="F94" s="304" t="s">
        <v>15861</v>
      </c>
      <c r="G94" s="267" t="str">
        <f>HYPERLINK("https://jportugalramos.com","jportugalramos.com")</f>
        <v>jportugalramos.com</v>
      </c>
      <c r="H94" s="267" t="s">
        <v>15862</v>
      </c>
      <c r="I94" s="288" t="str">
        <f>HYPERLINK("https://www.google.com/maps/search/Jo%C3%A3o%20Portugal%20Ramos%20Alentejo%20Portugal/@38.8412,-7.4101,17z","🍇 João Portugal Ramos")</f>
        <v>🍇 João Portugal Ramos</v>
      </c>
    </row>
    <row r="95" spans="1:9" ht="110" customHeight="1" x14ac:dyDescent="0.35">
      <c r="A95" s="362">
        <v>14</v>
      </c>
      <c r="B95" s="270" t="s">
        <v>15863</v>
      </c>
      <c r="C95" s="271" t="s">
        <v>853</v>
      </c>
      <c r="D95" s="270" t="s">
        <v>7808</v>
      </c>
      <c r="E95" s="270" t="s">
        <v>15864</v>
      </c>
      <c r="F95" s="305" t="s">
        <v>15865</v>
      </c>
      <c r="G95" s="270" t="str">
        <f>HYPERLINK("https://donamaria.pt","donamaria.pt")</f>
        <v>donamaria.pt</v>
      </c>
      <c r="H95" s="270" t="s">
        <v>15866</v>
      </c>
      <c r="I95" s="289" t="str">
        <f>HYPERLINK("https://www.google.com/maps/search/Dona%20Maria%20%E2%80%94%20J%C3%BAlio%20Bastos%20Alentejo%20Portugal/@38.8512,-7.3901,17z","🍇 Dona Maria — Júlio Bastos")</f>
        <v>🍇 Dona Maria — Júlio Bastos</v>
      </c>
    </row>
    <row r="96" spans="1:9" ht="110" customHeight="1" x14ac:dyDescent="0.35">
      <c r="A96" s="346">
        <v>15</v>
      </c>
      <c r="B96" s="267" t="s">
        <v>15867</v>
      </c>
      <c r="C96" s="268" t="s">
        <v>853</v>
      </c>
      <c r="D96" s="267" t="s">
        <v>10612</v>
      </c>
      <c r="E96" s="267" t="s">
        <v>15868</v>
      </c>
      <c r="F96" s="304" t="s">
        <v>15869</v>
      </c>
      <c r="G96" s="267" t="str">
        <f>HYPERLINK("https://herdadedosobroso.pt","herdadedosobroso.pt")</f>
        <v>herdadedosobroso.pt</v>
      </c>
      <c r="H96" s="267" t="s">
        <v>15870</v>
      </c>
      <c r="I96" s="288" t="str">
        <f>HYPERLINK("https://www.google.com/maps/search/Herdade%20do%20Sobroso%20Alentejo%20Portugal/@38.1901,-7.5101,17z","🍇 Herdade do Sobroso")</f>
        <v>🍇 Herdade do Sobroso</v>
      </c>
    </row>
    <row r="97" spans="1:9" ht="110" customHeight="1" x14ac:dyDescent="0.35">
      <c r="A97" s="362">
        <v>16</v>
      </c>
      <c r="B97" s="270" t="s">
        <v>15871</v>
      </c>
      <c r="C97" s="271" t="s">
        <v>853</v>
      </c>
      <c r="D97" s="270" t="s">
        <v>7808</v>
      </c>
      <c r="E97" s="270" t="s">
        <v>15872</v>
      </c>
      <c r="F97" s="305" t="s">
        <v>15873</v>
      </c>
      <c r="G97" s="270" t="str">
        <f>HYPERLINK("https://quintadomouro.com","quintadomouro.com")</f>
        <v>quintadomouro.com</v>
      </c>
      <c r="H97" s="270" t="s">
        <v>15874</v>
      </c>
      <c r="I97" s="289" t="str">
        <f>HYPERLINK("https://www.google.com/maps/search/Quinta%20do%20Mouro%20Alentejo%20Portugal/@38.8301,-7.4201,17z","🍇 Quinta do Mouro")</f>
        <v>🍇 Quinta do Mouro</v>
      </c>
    </row>
    <row r="98" spans="1:9" ht="110" customHeight="1" x14ac:dyDescent="0.35">
      <c r="A98" s="346">
        <v>17</v>
      </c>
      <c r="B98" s="267" t="s">
        <v>15875</v>
      </c>
      <c r="C98" s="268" t="s">
        <v>853</v>
      </c>
      <c r="D98" s="267" t="s">
        <v>7458</v>
      </c>
      <c r="E98" s="267" t="s">
        <v>15876</v>
      </c>
      <c r="F98" s="304" t="s">
        <v>15877</v>
      </c>
      <c r="G98" s="267" t="str">
        <f>HYPERLINK("https://mainova.pt","mainova.pt")</f>
        <v>mainova.pt</v>
      </c>
      <c r="H98" s="267" t="s">
        <v>15878</v>
      </c>
      <c r="I98" s="288" t="str">
        <f>HYPERLINK("https://www.google.com/maps/search/Mainova%20Alentejo%20Portugal/@38.7112,-7.9801,17z","🍇 Mainova")</f>
        <v>🍇 Mainova</v>
      </c>
    </row>
    <row r="99" spans="1:9" ht="110" customHeight="1" x14ac:dyDescent="0.35">
      <c r="A99" s="362">
        <v>18</v>
      </c>
      <c r="B99" s="270" t="s">
        <v>15879</v>
      </c>
      <c r="C99" s="271" t="s">
        <v>853</v>
      </c>
      <c r="D99" s="270" t="s">
        <v>15880</v>
      </c>
      <c r="E99" s="270" t="s">
        <v>15881</v>
      </c>
      <c r="F99" s="305" t="s">
        <v>15882</v>
      </c>
      <c r="G99" s="270" t="str">
        <f>HYPERLINK("https://mouchao.pt","mouchao.pt")</f>
        <v>mouchao.pt</v>
      </c>
      <c r="H99" s="270" t="s">
        <v>15883</v>
      </c>
      <c r="I99" s="289" t="str">
        <f>HYPERLINK("https://www.google.com/maps/search/Herdade%20do%20Mouch%C3%A3o%20Alentejo%20Portugal/@39.0212,-7.5601,17z","🍇 Herdade do Mouchão")</f>
        <v>🍇 Herdade do Mouchão</v>
      </c>
    </row>
    <row r="100" spans="1:9" ht="110" customHeight="1" x14ac:dyDescent="0.35">
      <c r="A100" s="346">
        <v>19</v>
      </c>
      <c r="B100" s="267" t="s">
        <v>15884</v>
      </c>
      <c r="C100" s="268" t="s">
        <v>853</v>
      </c>
      <c r="D100" s="267" t="s">
        <v>7090</v>
      </c>
      <c r="E100" s="267" t="s">
        <v>15885</v>
      </c>
      <c r="F100" s="304" t="s">
        <v>15886</v>
      </c>
      <c r="G100" s="267" t="str">
        <f>HYPERLINK("https://herdadedofreixo.com","herdadedofreixo.com")</f>
        <v>herdadedofreixo.com</v>
      </c>
      <c r="H100" s="267" t="s">
        <v>15887</v>
      </c>
      <c r="I100" s="288" t="str">
        <f>HYPERLINK("https://www.google.com/maps/search/Herdade%20do%20Freixo%20Alentejo%20Portugal/@38.5401,-7.3901,17z","🍇 Herdade do Freixo")</f>
        <v>🍇 Herdade do Freixo</v>
      </c>
    </row>
    <row r="101" spans="1:9" ht="110" customHeight="1" x14ac:dyDescent="0.35">
      <c r="A101" s="362">
        <v>20</v>
      </c>
      <c r="B101" s="270" t="s">
        <v>15888</v>
      </c>
      <c r="C101" s="271" t="s">
        <v>853</v>
      </c>
      <c r="D101" s="270" t="s">
        <v>7808</v>
      </c>
      <c r="E101" s="270" t="s">
        <v>15889</v>
      </c>
      <c r="F101" s="305" t="s">
        <v>15890</v>
      </c>
      <c r="G101" s="270" t="str">
        <f>HYPERLINK("https://tiagocabaco.com","tiagocabaco.com")</f>
        <v>tiagocabaco.com</v>
      </c>
      <c r="H101" s="270" t="s">
        <v>15891</v>
      </c>
      <c r="I101" s="289" t="str">
        <f>HYPERLINK("https://www.google.com/maps/search/Tiago%20Caba%C3%A7o%20Winery%20Alentejo%20Portugal/@38.8401,-7.4101,17z","🍇 Tiago Cabaço Winery")</f>
        <v>🍇 Tiago Cabaço Winery</v>
      </c>
    </row>
    <row r="102" spans="1:9" ht="110" customHeight="1" x14ac:dyDescent="0.35">
      <c r="A102" s="346">
        <v>21</v>
      </c>
      <c r="B102" s="267" t="s">
        <v>9735</v>
      </c>
      <c r="C102" s="268" t="s">
        <v>853</v>
      </c>
      <c r="D102" s="267" t="s">
        <v>15892</v>
      </c>
      <c r="E102" s="267" t="s">
        <v>15893</v>
      </c>
      <c r="F102" s="304" t="s">
        <v>15894</v>
      </c>
      <c r="G102" s="267" t="str">
        <f>HYPERLINK("https://ravasqueira.com","ravasqueira.com")</f>
        <v>ravasqueira.com</v>
      </c>
      <c r="H102" s="267" t="s">
        <v>15895</v>
      </c>
      <c r="I102" s="288" t="str">
        <f>HYPERLINK("https://www.google.com/maps/search/Monte%20da%20Ravasqueira%20Alentejo%20Portugal/@38.7421,-7.9854,17z","🍇 Monte da Ravasqueira")</f>
        <v>🍇 Monte da Ravasqueira</v>
      </c>
    </row>
    <row r="103" spans="1:9" ht="110" customHeight="1" x14ac:dyDescent="0.35">
      <c r="A103" s="362">
        <v>22</v>
      </c>
      <c r="B103" s="270" t="s">
        <v>15896</v>
      </c>
      <c r="C103" s="271" t="s">
        <v>853</v>
      </c>
      <c r="D103" s="270" t="s">
        <v>7422</v>
      </c>
      <c r="E103" s="270" t="s">
        <v>15897</v>
      </c>
      <c r="F103" s="305" t="s">
        <v>15898</v>
      </c>
      <c r="G103" s="270" t="str">
        <f>HYPERLINK("https://adegas-borba.pt","adegas-borba.pt")</f>
        <v>adegas-borba.pt</v>
      </c>
      <c r="H103" s="270" t="s">
        <v>15899</v>
      </c>
      <c r="I103" s="289" t="str">
        <f>HYPERLINK("https://www.google.com/maps/search/Adega%20de%20Borba%20Alentejo%20Portugal/@38.8012,-7.4601,17z","🍇 Adega de Borba")</f>
        <v>🍇 Adega de Borba</v>
      </c>
    </row>
    <row r="104" spans="1:9" ht="110" customHeight="1" x14ac:dyDescent="0.35">
      <c r="A104" s="346">
        <v>23</v>
      </c>
      <c r="B104" s="267" t="s">
        <v>15900</v>
      </c>
      <c r="C104" s="268" t="s">
        <v>853</v>
      </c>
      <c r="D104" s="267" t="s">
        <v>7980</v>
      </c>
      <c r="E104" s="267" t="s">
        <v>15901</v>
      </c>
      <c r="F104" s="304" t="s">
        <v>15902</v>
      </c>
      <c r="G104" s="267" t="str">
        <f>HYPERLINK("https://carmim.pt","carmim.pt")</f>
        <v>carmim.pt</v>
      </c>
      <c r="H104" s="267" t="s">
        <v>15903</v>
      </c>
      <c r="I104" s="288" t="str">
        <f>HYPERLINK("https://www.google.com/maps/search/CARMIM%20%28Reguengos%29%20Alentejo%20Portugal/@38.4201,-7.5301,17z","🍇 CARMIM (Reguengos)")</f>
        <v>🍇 CARMIM (Reguengos)</v>
      </c>
    </row>
    <row r="105" spans="1:9" ht="110" customHeight="1" x14ac:dyDescent="0.35">
      <c r="A105" s="362">
        <v>24</v>
      </c>
      <c r="B105" s="270" t="s">
        <v>15904</v>
      </c>
      <c r="C105" s="271" t="s">
        <v>853</v>
      </c>
      <c r="D105" s="270" t="s">
        <v>10612</v>
      </c>
      <c r="E105" s="270" t="s">
        <v>15905</v>
      </c>
      <c r="F105" s="305" t="s">
        <v>15906</v>
      </c>
      <c r="G105" s="270" t="str">
        <f>HYPERLINK("https://vidigueira.pt","vidigueira.pt")</f>
        <v>vidigueira.pt</v>
      </c>
      <c r="H105" s="270" t="s">
        <v>15907</v>
      </c>
      <c r="I105" s="289" t="str">
        <f>HYPERLINK("https://www.google.com/maps/search/Vidigueira%20Wine%20Village%20Alentejo%20Portugal/@38.2101,-7.8001,17z","🍇 Vidigueira Wine Village")</f>
        <v>🍇 Vidigueira Wine Village</v>
      </c>
    </row>
    <row r="106" spans="1:9" ht="110" customHeight="1" x14ac:dyDescent="0.35">
      <c r="A106" s="346">
        <v>25</v>
      </c>
      <c r="B106" s="267" t="s">
        <v>15908</v>
      </c>
      <c r="C106" s="268" t="s">
        <v>853</v>
      </c>
      <c r="D106" s="267" t="s">
        <v>15909</v>
      </c>
      <c r="E106" s="267" t="s">
        <v>15910</v>
      </c>
      <c r="F106" s="304" t="s">
        <v>15911</v>
      </c>
      <c r="G106" s="267" t="str">
        <f>HYPERLINK("https://corticarte.pt","corticarte.pt")</f>
        <v>corticarte.pt</v>
      </c>
      <c r="H106" s="267" t="s">
        <v>15912</v>
      </c>
      <c r="I106" s="288" t="str">
        <f>HYPERLINK("https://www.google.com/maps/search/Corti%C3%A7arte%20%28Azaruja%29%20Alentejo%20Portugal/@38.5401,-8.0101,17z","🍇 Cortiçarte (Azaruja)")</f>
        <v>🍇 Cortiçarte (Azaruja)</v>
      </c>
    </row>
    <row r="107" spans="1:9" ht="110" customHeight="1" x14ac:dyDescent="0.35">
      <c r="A107" s="362">
        <v>26</v>
      </c>
      <c r="B107" s="270" t="s">
        <v>15913</v>
      </c>
      <c r="C107" s="271" t="s">
        <v>853</v>
      </c>
      <c r="D107" s="270" t="s">
        <v>7980</v>
      </c>
      <c r="E107" s="270" t="s">
        <v>15914</v>
      </c>
      <c r="F107" s="305" t="s">
        <v>15915</v>
      </c>
      <c r="G107" s="270" t="str">
        <f>HYPERLINK("https://ervideira.pt","ervideira.pt")</f>
        <v>ervideira.pt</v>
      </c>
      <c r="H107" s="270" t="s">
        <v>15916</v>
      </c>
      <c r="I107" s="289" t="str">
        <f>HYPERLINK("https://www.google.com/maps/search/Herdade%20da%20Ervideira%20Alentejo%20Portugal/@38.4301,-7.5101,17z","🍇 Herdade da Ervideira")</f>
        <v>🍇 Herdade da Ervideira</v>
      </c>
    </row>
    <row r="108" spans="1:9" ht="110" customHeight="1" x14ac:dyDescent="0.35">
      <c r="A108" s="346">
        <v>27</v>
      </c>
      <c r="B108" s="267" t="s">
        <v>15917</v>
      </c>
      <c r="C108" s="268" t="s">
        <v>853</v>
      </c>
      <c r="D108" s="267" t="s">
        <v>2135</v>
      </c>
      <c r="E108" s="267" t="s">
        <v>15918</v>
      </c>
      <c r="F108" s="304" t="s">
        <v>15919</v>
      </c>
      <c r="G108" s="267" t="str">
        <f>HYPERLINK("https://ribeiradomouro.pt","ribeiradomouro.pt")</f>
        <v>ribeiradomouro.pt</v>
      </c>
      <c r="H108" s="267" t="s">
        <v>15920</v>
      </c>
      <c r="I108" s="288" t="str">
        <f>HYPERLINK("https://www.google.com/maps/search/Ribeira%20do%20Mouro%20Alentejo%20Portugal/@38.0901,-7.4501,17z","🍇 Ribeira do Mouro")</f>
        <v>🍇 Ribeira do Mouro</v>
      </c>
    </row>
    <row r="109" spans="1:9" ht="110" customHeight="1" x14ac:dyDescent="0.35">
      <c r="A109" s="362">
        <v>28</v>
      </c>
      <c r="B109" s="270" t="s">
        <v>15921</v>
      </c>
      <c r="C109" s="271" t="s">
        <v>853</v>
      </c>
      <c r="D109" s="270" t="s">
        <v>2538</v>
      </c>
      <c r="E109" s="270" t="s">
        <v>15922</v>
      </c>
      <c r="F109" s="305" t="s">
        <v>15923</v>
      </c>
      <c r="G109" s="270" t="str">
        <f>HYPERLINK("https://tapadachaves.pt","tapadachaves.pt")</f>
        <v>tapadachaves.pt</v>
      </c>
      <c r="H109" s="270" t="s">
        <v>15924</v>
      </c>
      <c r="I109" s="289" t="str">
        <f>HYPERLINK("https://www.google.com/maps/search/Tapada%20do%20Chaves%20Alentejo%20Portugal/@39.3201,-7.6501,17z","🍇 Tapada do Chaves")</f>
        <v>🍇 Tapada do Chaves</v>
      </c>
    </row>
    <row r="110" spans="1:9" ht="110" customHeight="1" x14ac:dyDescent="0.35">
      <c r="A110" s="346">
        <v>29</v>
      </c>
      <c r="B110" s="267" t="s">
        <v>15925</v>
      </c>
      <c r="C110" s="268" t="s">
        <v>853</v>
      </c>
      <c r="D110" s="267" t="s">
        <v>10612</v>
      </c>
      <c r="E110" s="267" t="s">
        <v>15905</v>
      </c>
      <c r="F110" s="304" t="s">
        <v>15926</v>
      </c>
      <c r="G110" s="267" t="str">
        <f>HYPERLINK("https://adegavidigueira.pt","adegavidigueira.pt")</f>
        <v>adegavidigueira.pt</v>
      </c>
      <c r="H110" s="267" t="s">
        <v>15927</v>
      </c>
      <c r="I110" s="288" t="str">
        <f>HYPERLINK("https://www.google.com/maps/search/Adega%20da%20Vidigueira%20Cuba%20e%20Alvito%20Alentejo%20Portugal/@38.2101,-7.8001,17z","🍇 Adega da Vidigueira Cuba e …")</f>
        <v>🍇 Adega da Vidigueira Cuba e …</v>
      </c>
    </row>
    <row r="111" spans="1:9" ht="110" customHeight="1" x14ac:dyDescent="0.35">
      <c r="A111" s="362">
        <v>30</v>
      </c>
      <c r="B111" s="270" t="s">
        <v>15928</v>
      </c>
      <c r="C111" s="271" t="s">
        <v>853</v>
      </c>
      <c r="D111" s="270" t="s">
        <v>1412</v>
      </c>
      <c r="E111" s="270" t="s">
        <v>15929</v>
      </c>
      <c r="F111" s="305" t="s">
        <v>15930</v>
      </c>
      <c r="G111" s="270" t="str">
        <f>HYPERLINK("https://herdadedacalada.pt","herdadedacalada.pt")</f>
        <v>herdadedacalada.pt</v>
      </c>
      <c r="H111" s="270" t="s">
        <v>15931</v>
      </c>
      <c r="I111" s="289" t="str">
        <f>HYPERLINK("https://www.google.com/maps/search/Herdade%20da%20Calada%20Alentejo%20Portugal/@38.5712,-7.9201,17z","🍇 Herdade da Calada")</f>
        <v>🍇 Herdade da Calada</v>
      </c>
    </row>
    <row r="112" spans="1:9" ht="110" customHeight="1" x14ac:dyDescent="0.35">
      <c r="A112" s="712">
        <v>31</v>
      </c>
      <c r="B112" s="708" t="s">
        <v>9294</v>
      </c>
      <c r="C112" s="709" t="s">
        <v>853</v>
      </c>
      <c r="D112" s="708" t="s">
        <v>19682</v>
      </c>
      <c r="E112" s="708" t="s">
        <v>19683</v>
      </c>
      <c r="F112" s="710" t="s">
        <v>19684</v>
      </c>
      <c r="G112" s="705" t="str">
        <f>HYPERLINK("https://herdadedorocim.com","herdadedorocim.com")</f>
        <v>herdadedorocim.com</v>
      </c>
      <c r="H112" s="711" t="s">
        <v>19685</v>
      </c>
      <c r="I112" s="706" t="str">
        <f>HYPERLINK("https://www.google.com/maps/search/Herdade+do+Rocim+Cuba+Beja+Alentejo+Portugal","🍇 Herdade do Rocim")</f>
        <v>🍇 Herdade do Rocim</v>
      </c>
    </row>
    <row r="113" spans="1:9" ht="110" customHeight="1" x14ac:dyDescent="0.35">
      <c r="A113" s="712">
        <v>32</v>
      </c>
      <c r="B113" s="708" t="s">
        <v>19686</v>
      </c>
      <c r="C113" s="709" t="s">
        <v>853</v>
      </c>
      <c r="D113" s="708" t="s">
        <v>19687</v>
      </c>
      <c r="E113" s="708" t="s">
        <v>19688</v>
      </c>
      <c r="F113" s="710" t="s">
        <v>19689</v>
      </c>
      <c r="G113" s="705" t="str">
        <f>HYPERLINK("https://cartuxa.pt","cartuxa.pt")</f>
        <v>cartuxa.pt</v>
      </c>
      <c r="H113" s="711" t="s">
        <v>15842</v>
      </c>
      <c r="I113" s="706" t="str">
        <f>HYPERLINK("https://www.google.com/maps/search/Adega+Cartuxa+Evora+Alentejo+Portugal","🍇 Adega Cartuxa")</f>
        <v>🍇 Adega Cartuxa</v>
      </c>
    </row>
    <row r="114" spans="1:9" ht="22" customHeight="1" x14ac:dyDescent="0.35">
      <c r="A114" s="1477" t="s">
        <v>5239</v>
      </c>
      <c r="B114" s="1313"/>
      <c r="C114" s="1313"/>
      <c r="D114" s="1313"/>
      <c r="E114" s="1313"/>
      <c r="F114" s="1313"/>
      <c r="G114" s="1313"/>
      <c r="H114" s="1313"/>
      <c r="I114" s="1313"/>
    </row>
    <row r="115" spans="1:9" ht="110" customHeight="1" x14ac:dyDescent="0.35">
      <c r="A115" s="348">
        <v>1</v>
      </c>
      <c r="B115" s="273" t="s">
        <v>15932</v>
      </c>
      <c r="C115" s="274" t="s">
        <v>767</v>
      </c>
      <c r="D115" s="273" t="s">
        <v>15933</v>
      </c>
      <c r="E115" s="273" t="s">
        <v>15934</v>
      </c>
      <c r="F115" s="304" t="s">
        <v>15935</v>
      </c>
      <c r="G115" s="273" t="str">
        <f>HYPERLINK("https://quintadoscapinhas.com","quintadoscapinhas.com")</f>
        <v>quintadoscapinhas.com</v>
      </c>
      <c r="H115" s="273" t="s">
        <v>15936</v>
      </c>
      <c r="I115" s="275" t="str">
        <f>HYPERLINK("https://www.google.com/maps/search/Quinta%20dos%20Capinhas%20Algarve%20Portugal/@37.1352,-8.3841,17z","🍇 Quinta dos Capinhas")</f>
        <v>🍇 Quinta dos Capinhas</v>
      </c>
    </row>
    <row r="116" spans="1:9" ht="110" customHeight="1" x14ac:dyDescent="0.35">
      <c r="A116" s="354">
        <v>2</v>
      </c>
      <c r="B116" s="277" t="s">
        <v>15937</v>
      </c>
      <c r="C116" s="278" t="s">
        <v>767</v>
      </c>
      <c r="D116" s="277" t="s">
        <v>15938</v>
      </c>
      <c r="E116" s="277" t="s">
        <v>15939</v>
      </c>
      <c r="F116" s="305" t="s">
        <v>15940</v>
      </c>
      <c r="G116" s="277" t="str">
        <f>HYPERLINK("https://quintadocanhoto.com","quintadocanhoto.com")</f>
        <v>quintadocanhoto.com</v>
      </c>
      <c r="H116" s="277" t="s">
        <v>15941</v>
      </c>
      <c r="I116" s="280" t="str">
        <f>HYPERLINK("https://www.google.com/maps/search/Quinta%20do%20Canhoto%20Algarve%20Portugal/@37.1145,-8.2241,17z","🍇 Quinta do Canhoto")</f>
        <v>🍇 Quinta do Canhoto</v>
      </c>
    </row>
    <row r="117" spans="1:9" ht="110" customHeight="1" x14ac:dyDescent="0.35">
      <c r="A117" s="348">
        <v>3</v>
      </c>
      <c r="B117" s="273" t="s">
        <v>15942</v>
      </c>
      <c r="C117" s="274" t="s">
        <v>767</v>
      </c>
      <c r="D117" s="273" t="s">
        <v>15943</v>
      </c>
      <c r="E117" s="273" t="s">
        <v>15944</v>
      </c>
      <c r="F117" s="304" t="s">
        <v>15945</v>
      </c>
      <c r="G117" s="273" t="str">
        <f>HYPERLINK("https://quintadosvales.pt","quintadosvales.pt")</f>
        <v>quintadosvales.pt</v>
      </c>
      <c r="H117" s="273" t="s">
        <v>15946</v>
      </c>
      <c r="I117" s="275" t="str">
        <f>HYPERLINK("https://www.google.com/maps/search/Quinta%20dos%20Vales%20Algarve%20Portugal/@37.1451,-8.4842,17z","🍇 Quinta dos Vales")</f>
        <v>🍇 Quinta dos Vales</v>
      </c>
    </row>
    <row r="118" spans="1:9" ht="110" customHeight="1" x14ac:dyDescent="0.35">
      <c r="A118" s="354">
        <v>4</v>
      </c>
      <c r="B118" s="277" t="s">
        <v>15947</v>
      </c>
      <c r="C118" s="278" t="s">
        <v>767</v>
      </c>
      <c r="D118" s="277" t="s">
        <v>15948</v>
      </c>
      <c r="E118" s="277" t="s">
        <v>15949</v>
      </c>
      <c r="F118" s="305" t="s">
        <v>15950</v>
      </c>
      <c r="G118" s="277" t="str">
        <f>HYPERLINK("https://morgadodoquintao.pt","morgadodoquintao.pt")</f>
        <v>morgadodoquintao.pt</v>
      </c>
      <c r="H118" s="277" t="s">
        <v>15951</v>
      </c>
      <c r="I118" s="280" t="str">
        <f>HYPERLINK("https://www.google.com/maps/search/Morgado%20do%20Quint%C3%A3o%20Algarve%20Portugal/@37.1542,-8.4141,17z","🍇 Morgado do Quintão")</f>
        <v>🍇 Morgado do Quintão</v>
      </c>
    </row>
    <row r="119" spans="1:9" ht="110" customHeight="1" x14ac:dyDescent="0.35">
      <c r="A119" s="348">
        <v>5</v>
      </c>
      <c r="B119" s="273" t="s">
        <v>15952</v>
      </c>
      <c r="C119" s="274" t="s">
        <v>767</v>
      </c>
      <c r="D119" s="273" t="s">
        <v>15953</v>
      </c>
      <c r="E119" s="273" t="s">
        <v>15954</v>
      </c>
      <c r="F119" s="304" t="s">
        <v>15955</v>
      </c>
      <c r="G119" s="273" t="str">
        <f>HYPERLINK("https://quintadator.com","quintadator.com")</f>
        <v>quintadator.com</v>
      </c>
      <c r="H119" s="273" t="s">
        <v>15956</v>
      </c>
      <c r="I119" s="275" t="str">
        <f>HYPERLINK("https://www.google.com/maps/search/Quinta%20da%20T%C3%B4r%20Algarve%20Portugal/@37.1852,-8.0341,17z","🍇 Quinta da Tôr")</f>
        <v>🍇 Quinta da Tôr</v>
      </c>
    </row>
    <row r="120" spans="1:9" ht="110" customHeight="1" x14ac:dyDescent="0.35">
      <c r="A120" s="354">
        <v>6</v>
      </c>
      <c r="B120" s="277" t="s">
        <v>15957</v>
      </c>
      <c r="C120" s="278" t="s">
        <v>767</v>
      </c>
      <c r="D120" s="277" t="s">
        <v>15958</v>
      </c>
      <c r="E120" s="277" t="s">
        <v>15959</v>
      </c>
      <c r="F120" s="305" t="s">
        <v>15960</v>
      </c>
      <c r="G120" s="277" t="str">
        <f>HYPERLINK("https://cabritawines.com","cabritawines.com")</f>
        <v>cabritawines.com</v>
      </c>
      <c r="H120" s="277" t="s">
        <v>15961</v>
      </c>
      <c r="I120" s="280" t="str">
        <f>HYPERLINK("https://www.google.com/maps/search/Cabrita%20Wines%20Algarve%20Portugal/@37.1942,-8.4341,17z","🍇 Cabrita Wines")</f>
        <v>🍇 Cabrita Wines</v>
      </c>
    </row>
    <row r="121" spans="1:9" ht="110" customHeight="1" x14ac:dyDescent="0.35">
      <c r="A121" s="348">
        <v>7</v>
      </c>
      <c r="B121" s="273" t="s">
        <v>15962</v>
      </c>
      <c r="C121" s="274" t="s">
        <v>767</v>
      </c>
      <c r="D121" s="273" t="s">
        <v>15963</v>
      </c>
      <c r="E121" s="273" t="s">
        <v>15964</v>
      </c>
      <c r="F121" s="304" t="s">
        <v>15965</v>
      </c>
      <c r="G121" s="273" t="str">
        <f>HYPERLINK("https://salmarim.com","salmarim.com")</f>
        <v>salmarim.com</v>
      </c>
      <c r="H121" s="273" t="s">
        <v>15966</v>
      </c>
      <c r="I121" s="275" t="str">
        <f>HYPERLINK("https://www.google.com/maps/search/Salmarim%20%28Salinas%20Castro%20Marim%29%20Algarve%20Portugal/@37.2145,-7.4412,17z","🍇 Salmarim (Salinas Castro Ma…")</f>
        <v>🍇 Salmarim (Salinas Castro Ma…</v>
      </c>
    </row>
    <row r="122" spans="1:9" ht="110" customHeight="1" x14ac:dyDescent="0.35">
      <c r="A122" s="354">
        <v>8</v>
      </c>
      <c r="B122" s="277" t="s">
        <v>15967</v>
      </c>
      <c r="C122" s="278" t="s">
        <v>767</v>
      </c>
      <c r="D122" s="277" t="s">
        <v>15968</v>
      </c>
      <c r="E122" s="277" t="s">
        <v>15969</v>
      </c>
      <c r="F122" s="305" t="s">
        <v>15970</v>
      </c>
      <c r="G122" s="277" t="str">
        <f>HYPERLINK("https://quintadofrances.com","quintadofrances.com")</f>
        <v>quintadofrances.com</v>
      </c>
      <c r="H122" s="277" t="s">
        <v>15971</v>
      </c>
      <c r="I122" s="280" t="str">
        <f>HYPERLINK("https://www.google.com/maps/search/Quinta%20do%20Franc%C3%AAs%20Algarve%20Portugal/@37.2415,-8.4912,17z","🍇 Quinta do Francês")</f>
        <v>🍇 Quinta do Francês</v>
      </c>
    </row>
    <row r="123" spans="1:9" ht="110" customHeight="1" x14ac:dyDescent="0.35">
      <c r="A123" s="348">
        <v>9</v>
      </c>
      <c r="B123" s="273" t="s">
        <v>15972</v>
      </c>
      <c r="C123" s="274" t="s">
        <v>767</v>
      </c>
      <c r="D123" s="273" t="s">
        <v>15973</v>
      </c>
      <c r="E123" s="273" t="s">
        <v>15974</v>
      </c>
      <c r="F123" s="304" t="s">
        <v>15975</v>
      </c>
      <c r="G123" s="273" t="str">
        <f>HYPERLINK("https://quintadomel.com","quintadomel.com")</f>
        <v>quintadomel.com</v>
      </c>
      <c r="H123" s="273" t="s">
        <v>15976</v>
      </c>
      <c r="I123" s="275" t="str">
        <f>HYPERLINK("https://www.google.com/maps/search/Quinta%20do%20Mel%20Algarve%20Portugal/@37.1082,-8.1512,17z","🍇 Quinta do Mel")</f>
        <v>🍇 Quinta do Mel</v>
      </c>
    </row>
    <row r="124" spans="1:9" ht="110" customHeight="1" x14ac:dyDescent="0.35">
      <c r="A124" s="354">
        <v>10</v>
      </c>
      <c r="B124" s="277" t="s">
        <v>15977</v>
      </c>
      <c r="C124" s="278" t="s">
        <v>767</v>
      </c>
      <c r="D124" s="277" t="s">
        <v>15978</v>
      </c>
      <c r="E124" s="277" t="s">
        <v>15979</v>
      </c>
      <c r="F124" s="305" t="s">
        <v>15980</v>
      </c>
      <c r="G124" s="277" t="str">
        <f>HYPERLINK("https://adegadocantor.com","adegadocantor.com")</f>
        <v>adegadocantor.com</v>
      </c>
      <c r="H124" s="277" t="s">
        <v>15981</v>
      </c>
      <c r="I124" s="280" t="str">
        <f>HYPERLINK("https://www.google.com/maps/search/Adega%20do%20Cantor%20%28Sir%20Cliff%20Richard%29%20Algarve%20Portugal/@37.1312,-8.3054,17z","🍇 Adega do Cantor (Sir Cliff …")</f>
        <v>🍇 Adega do Cantor (Sir Cliff …</v>
      </c>
    </row>
    <row r="125" spans="1:9" ht="110" customHeight="1" x14ac:dyDescent="0.35">
      <c r="A125" s="348">
        <v>11</v>
      </c>
      <c r="B125" s="273" t="s">
        <v>15982</v>
      </c>
      <c r="C125" s="274" t="s">
        <v>767</v>
      </c>
      <c r="D125" s="273" t="s">
        <v>2201</v>
      </c>
      <c r="E125" s="273" t="s">
        <v>15983</v>
      </c>
      <c r="F125" s="304" t="s">
        <v>15984</v>
      </c>
      <c r="G125" s="273" t="str">
        <f>HYPERLINK("https://montedacasteleja.com","montedacasteleja.com")</f>
        <v>montedacasteleja.com</v>
      </c>
      <c r="H125" s="273" t="s">
        <v>15985</v>
      </c>
      <c r="I125" s="275" t="str">
        <f>HYPERLINK("https://www.google.com/maps/search/Monte%20da%20Casteleja%20Algarve%20Portugal/@37.1212,-8.6751,17z","🍇 Monte da Casteleja")</f>
        <v>🍇 Monte da Casteleja</v>
      </c>
    </row>
    <row r="126" spans="1:9" ht="110" customHeight="1" x14ac:dyDescent="0.35">
      <c r="A126" s="354">
        <v>12</v>
      </c>
      <c r="B126" s="277" t="s">
        <v>15986</v>
      </c>
      <c r="C126" s="278" t="s">
        <v>767</v>
      </c>
      <c r="D126" s="277" t="s">
        <v>5532</v>
      </c>
      <c r="E126" s="277" t="s">
        <v>15987</v>
      </c>
      <c r="F126" s="305" t="s">
        <v>15988</v>
      </c>
      <c r="G126" s="277" t="str">
        <f>HYPERLINK("https://quintadafornalha.com","quintadafornalha.com")</f>
        <v>quintadafornalha.com</v>
      </c>
      <c r="H126" s="277" t="s">
        <v>15989</v>
      </c>
      <c r="I126" s="280" t="str">
        <f>HYPERLINK("https://www.google.com/maps/search/Quinta%20da%20Fornalha%20Algarve%20Portugal/@37.2012,-7.4401,17z","🍇 Quinta da Fornalha")</f>
        <v>🍇 Quinta da Fornalha</v>
      </c>
    </row>
    <row r="127" spans="1:9" ht="110" customHeight="1" x14ac:dyDescent="0.35">
      <c r="A127" s="348">
        <v>13</v>
      </c>
      <c r="B127" s="273" t="s">
        <v>15990</v>
      </c>
      <c r="C127" s="274" t="s">
        <v>767</v>
      </c>
      <c r="D127" s="273" t="s">
        <v>6391</v>
      </c>
      <c r="E127" s="273" t="s">
        <v>15991</v>
      </c>
      <c r="F127" s="304" t="s">
        <v>15992</v>
      </c>
      <c r="G127" s="273" t="str">
        <f>HYPERLINK("https://arvadwine.com","arvadwine.com")</f>
        <v>arvadwine.com</v>
      </c>
      <c r="H127" s="273" t="s">
        <v>15993</v>
      </c>
      <c r="I127" s="275" t="str">
        <f>HYPERLINK("https://www.google.com/maps/search/Arvad%20Wine%20Algarve%20Portugal/@37.1501,-8.4801,17z","🍇 Arvad Wine")</f>
        <v>🍇 Arvad Wine</v>
      </c>
    </row>
    <row r="128" spans="1:9" ht="110" customHeight="1" x14ac:dyDescent="0.35">
      <c r="A128" s="354">
        <v>14</v>
      </c>
      <c r="B128" s="277" t="s">
        <v>15994</v>
      </c>
      <c r="C128" s="278" t="s">
        <v>767</v>
      </c>
      <c r="D128" s="277" t="s">
        <v>2180</v>
      </c>
      <c r="E128" s="277" t="s">
        <v>15995</v>
      </c>
      <c r="F128" s="305" t="s">
        <v>15996</v>
      </c>
      <c r="G128" s="277" t="str">
        <f>HYPERLINK("https://paxawines.com","paxawines.com")</f>
        <v>paxawines.com</v>
      </c>
      <c r="H128" s="277" t="s">
        <v>15997</v>
      </c>
      <c r="I128" s="280" t="str">
        <f>HYPERLINK("https://www.google.com/maps/search/Pax%C3%A1%20Wines%20Algarve%20Portugal/@37.1901,-8.4401,17z","🍇 Paxá Wines")</f>
        <v>🍇 Paxá Wines</v>
      </c>
    </row>
    <row r="129" spans="1:9" ht="110" customHeight="1" x14ac:dyDescent="0.35">
      <c r="A129" s="348">
        <v>15</v>
      </c>
      <c r="B129" s="273" t="s">
        <v>15998</v>
      </c>
      <c r="C129" s="274" t="s">
        <v>767</v>
      </c>
      <c r="D129" s="273" t="s">
        <v>15999</v>
      </c>
      <c r="E129" s="273" t="s">
        <v>16000</v>
      </c>
      <c r="F129" s="304" t="s">
        <v>16001</v>
      </c>
      <c r="G129" s="273" t="str">
        <f>HYPERLINK("https://quintadapalmeirinha.com","quintadapalmeirinha.com")</f>
        <v>quintadapalmeirinha.com</v>
      </c>
      <c r="H129" s="273" t="s">
        <v>16002</v>
      </c>
      <c r="I129" s="275" t="str">
        <f>HYPERLINK("https://www.google.com/maps/search/Quinta%20da%20Palmeirinha%20Algarve%20Portugal/@37.1201,-8.1401,17z","🍇 Quinta da Palmeirinha")</f>
        <v>🍇 Quinta da Palmeirinha</v>
      </c>
    </row>
    <row r="130" spans="1:9" ht="110" customHeight="1" x14ac:dyDescent="0.35">
      <c r="A130" s="354">
        <v>16</v>
      </c>
      <c r="B130" s="277" t="s">
        <v>16003</v>
      </c>
      <c r="C130" s="278" t="s">
        <v>767</v>
      </c>
      <c r="D130" s="277" t="s">
        <v>16004</v>
      </c>
      <c r="E130" s="277" t="s">
        <v>16005</v>
      </c>
      <c r="F130" s="305" t="s">
        <v>16006</v>
      </c>
      <c r="G130" s="277" t="str">
        <f>HYPERLINK("https://hortadofelix.pt","hortadofelix.pt")</f>
        <v>hortadofelix.pt</v>
      </c>
      <c r="H130" s="277" t="s">
        <v>16007</v>
      </c>
      <c r="I130" s="280" t="str">
        <f>HYPERLINK("https://www.google.com/maps/search/Horta%20do%20Felix%20Algarve%20Portugal/@37.0801,-7.8201,17z","🍇 Horta do Felix")</f>
        <v>🍇 Horta do Felix</v>
      </c>
    </row>
    <row r="131" spans="1:9" ht="110" customHeight="1" x14ac:dyDescent="0.35">
      <c r="A131" s="348">
        <v>17</v>
      </c>
      <c r="B131" s="273" t="s">
        <v>16008</v>
      </c>
      <c r="C131" s="274" t="s">
        <v>767</v>
      </c>
      <c r="D131" s="273" t="s">
        <v>2201</v>
      </c>
      <c r="E131" s="273" t="s">
        <v>16009</v>
      </c>
      <c r="F131" s="304" t="s">
        <v>16010</v>
      </c>
      <c r="G131" s="273" t="str">
        <f>HYPERLINK("https://quintasaosebastiao.pt","quintasaosebastiao.pt")</f>
        <v>quintasaosebastiao.pt</v>
      </c>
      <c r="H131" s="273" t="s">
        <v>16011</v>
      </c>
      <c r="I131" s="275" t="str">
        <f>HYPERLINK("https://www.google.com/maps/search/Quinta%20de%20S%C3%A3o%20Sebasti%C3%A3o%20Algarve%20Portugal/@37.1001,-8.6601,17z","🍇 Quinta de São Sebastião")</f>
        <v>🍇 Quinta de São Sebastião</v>
      </c>
    </row>
    <row r="132" spans="1:9" ht="110" customHeight="1" x14ac:dyDescent="0.35">
      <c r="A132" s="354">
        <v>18</v>
      </c>
      <c r="B132" s="277" t="s">
        <v>16012</v>
      </c>
      <c r="C132" s="278" t="s">
        <v>767</v>
      </c>
      <c r="D132" s="277" t="s">
        <v>2190</v>
      </c>
      <c r="E132" s="277" t="s">
        <v>16013</v>
      </c>
      <c r="F132" s="305" t="s">
        <v>16014</v>
      </c>
      <c r="G132" s="277" t="str">
        <f>HYPERLINK("https://adegalagoa.pt","adegalagoa.pt")</f>
        <v>adegalagoa.pt</v>
      </c>
      <c r="H132" s="277" t="s">
        <v>16015</v>
      </c>
      <c r="I132" s="280" t="str">
        <f>HYPERLINK("https://www.google.com/maps/search/Adega%20Cooperativa%20de%20Lagoa%20Algarve%20Portugal/@37.1351,-8.4621,17z","🍇 Adega Cooperativa de Lagoa")</f>
        <v>🍇 Adega Cooperativa de Lagoa</v>
      </c>
    </row>
    <row r="133" spans="1:9" ht="110" customHeight="1" x14ac:dyDescent="0.35">
      <c r="A133" s="348">
        <v>19</v>
      </c>
      <c r="B133" s="273" t="s">
        <v>16016</v>
      </c>
      <c r="C133" s="274" t="s">
        <v>767</v>
      </c>
      <c r="D133" s="273" t="s">
        <v>6376</v>
      </c>
      <c r="E133" s="273" t="s">
        <v>16017</v>
      </c>
      <c r="F133" s="304" t="s">
        <v>16018</v>
      </c>
      <c r="G133" s="273" t="str">
        <f>HYPERLINK("https://quintadamalaca.pt","quintadamalaca.pt")</f>
        <v>quintadamalaca.pt</v>
      </c>
      <c r="H133" s="273" t="s">
        <v>16019</v>
      </c>
      <c r="I133" s="275" t="str">
        <f>HYPERLINK("https://www.google.com/maps/search/Quinta%20da%20Malaca%20Algarve%20Portugal/@37.1312,-8.3001,17z","🍇 Quinta da Malaca")</f>
        <v>🍇 Quinta da Malaca</v>
      </c>
    </row>
    <row r="134" spans="1:9" ht="110" customHeight="1" x14ac:dyDescent="0.35">
      <c r="A134" s="354">
        <v>20</v>
      </c>
      <c r="B134" s="277" t="s">
        <v>16020</v>
      </c>
      <c r="C134" s="278" t="s">
        <v>767</v>
      </c>
      <c r="D134" s="277" t="s">
        <v>5764</v>
      </c>
      <c r="E134" s="277" t="s">
        <v>16021</v>
      </c>
      <c r="F134" s="305" t="s">
        <v>16022</v>
      </c>
      <c r="G134" s="277" t="str">
        <f>HYPERLINK("https://tiamorgado.pt","tiamorgado.pt")</f>
        <v>tiamorgado.pt</v>
      </c>
      <c r="H134" s="277" t="s">
        <v>16023</v>
      </c>
      <c r="I134" s="280" t="str">
        <f>HYPERLINK("https://www.google.com/maps/search/Fazenda%20Ti%27Morgado%20Algarve%20Portugal/@37.1212,-7.6501,17z","🍇 Fazenda Ti'Morgado")</f>
        <v>🍇 Fazenda Ti'Morgado</v>
      </c>
    </row>
    <row r="135" spans="1:9" ht="110" customHeight="1" x14ac:dyDescent="0.35">
      <c r="A135" s="348">
        <v>21</v>
      </c>
      <c r="B135" s="273" t="s">
        <v>16024</v>
      </c>
      <c r="C135" s="274" t="s">
        <v>767</v>
      </c>
      <c r="D135" s="273" t="s">
        <v>16025</v>
      </c>
      <c r="E135" s="273" t="s">
        <v>16026</v>
      </c>
      <c r="F135" s="304" t="s">
        <v>16027</v>
      </c>
      <c r="G135" s="273" t="str">
        <f>HYPERLINK("https://pachamum.pt","pachamum.pt")</f>
        <v>pachamum.pt</v>
      </c>
      <c r="H135" s="273" t="s">
        <v>16028</v>
      </c>
      <c r="I135" s="275" t="str">
        <f>HYPERLINK("https://www.google.com/maps/search/Pacha%20Mum%20Algarve%20Portugal/@37.0901,-7.8501,17z","🍇 Pacha Mum")</f>
        <v>🍇 Pacha Mum</v>
      </c>
    </row>
    <row r="136" spans="1:9" ht="110" customHeight="1" x14ac:dyDescent="0.35">
      <c r="A136" s="354">
        <v>22</v>
      </c>
      <c r="B136" s="277" t="s">
        <v>16029</v>
      </c>
      <c r="C136" s="278" t="s">
        <v>767</v>
      </c>
      <c r="D136" s="277" t="s">
        <v>5761</v>
      </c>
      <c r="E136" s="277" t="s">
        <v>16030</v>
      </c>
      <c r="F136" s="305" t="s">
        <v>16031</v>
      </c>
      <c r="G136" s="277" t="str">
        <f>HYPERLINK("https://quintadoludo.pt","quintadoludo.pt")</f>
        <v>quintadoludo.pt</v>
      </c>
      <c r="H136" s="277" t="s">
        <v>16032</v>
      </c>
      <c r="I136" s="280" t="str">
        <f>HYPERLINK("https://www.google.com/maps/search/Quinta%20do%20Ludo%20Algarve%20Portugal/@37.0501,-7.9501,17z","🍇 Quinta do Ludo")</f>
        <v>🍇 Quinta do Ludo</v>
      </c>
    </row>
    <row r="137" spans="1:9" ht="110" customHeight="1" x14ac:dyDescent="0.35">
      <c r="A137" s="348">
        <v>23</v>
      </c>
      <c r="B137" s="273" t="s">
        <v>16033</v>
      </c>
      <c r="C137" s="274" t="s">
        <v>767</v>
      </c>
      <c r="D137" s="273" t="s">
        <v>2180</v>
      </c>
      <c r="E137" s="273" t="s">
        <v>16034</v>
      </c>
      <c r="F137" s="304" t="s">
        <v>16035</v>
      </c>
      <c r="G137" s="273" t="str">
        <f>HYPERLINK("https://saffronalgarve.com","saffronalgarve.com")</f>
        <v>saffronalgarve.com</v>
      </c>
      <c r="H137" s="273" t="s">
        <v>16036</v>
      </c>
      <c r="I137" s="275" t="str">
        <f>HYPERLINK("https://www.google.com/maps/search/Saffron%20Algarve%20Portugal/@37.1901,-8.4401,17z","🍇 Saffron Algarve")</f>
        <v>🍇 Saffron Algarve</v>
      </c>
    </row>
    <row r="138" spans="1:9" ht="110" customHeight="1" x14ac:dyDescent="0.35">
      <c r="A138" s="354">
        <v>24</v>
      </c>
      <c r="B138" s="277" t="s">
        <v>16037</v>
      </c>
      <c r="C138" s="278" t="s">
        <v>767</v>
      </c>
      <c r="D138" s="277" t="s">
        <v>16038</v>
      </c>
      <c r="E138" s="277" t="s">
        <v>16039</v>
      </c>
      <c r="F138" s="305" t="s">
        <v>16040</v>
      </c>
      <c r="G138" s="277" t="str">
        <f>HYPERLINK("https://montedoalem.pt","montedoalem.pt")</f>
        <v>montedoalem.pt</v>
      </c>
      <c r="H138" s="277" t="s">
        <v>16041</v>
      </c>
      <c r="I138" s="280" t="str">
        <f>HYPERLINK("https://www.google.com/maps/search/Monte%20do%20Al%C3%A9m%20Algarve%20Portugal/@37.1401,-8.6401,17z","🍇 Monte do Além")</f>
        <v>🍇 Monte do Além</v>
      </c>
    </row>
    <row r="139" spans="1:9" ht="110" customHeight="1" x14ac:dyDescent="0.35">
      <c r="A139" s="348">
        <v>25</v>
      </c>
      <c r="B139" s="273" t="s">
        <v>16042</v>
      </c>
      <c r="C139" s="274" t="s">
        <v>767</v>
      </c>
      <c r="D139" s="273" t="s">
        <v>9985</v>
      </c>
      <c r="E139" s="273" t="s">
        <v>16043</v>
      </c>
      <c r="F139" s="304" t="s">
        <v>16044</v>
      </c>
      <c r="G139" s="273" t="str">
        <f>HYPERLINK("https://pimenteis.pt","pimenteis.pt")</f>
        <v>pimenteis.pt</v>
      </c>
      <c r="H139" s="273" t="s">
        <v>16045</v>
      </c>
      <c r="I139" s="275" t="str">
        <f>HYPERLINK("https://www.google.com/maps/search/Herdade%20dos%20Piment%C3%A9is%20Algarve%20Portugal/@37.0512,-8.9001,17z","🍇 Herdade dos Pimentéis")</f>
        <v>🍇 Herdade dos Pimentéis</v>
      </c>
    </row>
    <row r="140" spans="1:9" ht="110" customHeight="1" x14ac:dyDescent="0.35">
      <c r="A140" s="354">
        <v>26</v>
      </c>
      <c r="B140" s="277" t="s">
        <v>16046</v>
      </c>
      <c r="C140" s="278" t="s">
        <v>767</v>
      </c>
      <c r="D140" s="277" t="s">
        <v>5761</v>
      </c>
      <c r="E140" s="277" t="s">
        <v>16047</v>
      </c>
      <c r="F140" s="305" t="s">
        <v>16048</v>
      </c>
      <c r="G140" s="277" t="str">
        <f>HYPERLINK("https://algarverock.pt","algarverock.pt")</f>
        <v>algarverock.pt</v>
      </c>
      <c r="H140" s="277" t="s">
        <v>16049</v>
      </c>
      <c r="I140" s="280" t="str">
        <f>HYPERLINK("https://www.google.com/maps/search/Algarve%20Rock%20%28Cervejaria%29%20Portugal/@37.0151,-7.9351,17z","🍇 Algarve Rock (Cervejaria)")</f>
        <v>🍇 Algarve Rock (Cervejaria)</v>
      </c>
    </row>
    <row r="141" spans="1:9" ht="110" customHeight="1" x14ac:dyDescent="0.35">
      <c r="A141" s="348">
        <v>27</v>
      </c>
      <c r="B141" s="273" t="s">
        <v>16050</v>
      </c>
      <c r="C141" s="274" t="s">
        <v>767</v>
      </c>
      <c r="D141" s="273" t="s">
        <v>2205</v>
      </c>
      <c r="E141" s="273" t="s">
        <v>16051</v>
      </c>
      <c r="F141" s="304" t="s">
        <v>16052</v>
      </c>
      <c r="G141" s="273" t="str">
        <f>HYPERLINK("https://quintamaravilha.pt","quintamaravilha.pt")</f>
        <v>quintamaravilha.pt</v>
      </c>
      <c r="H141" s="273" t="s">
        <v>16053</v>
      </c>
      <c r="I141" s="275" t="str">
        <f>HYPERLINK("https://www.google.com/maps/search/Quinta%20Maravilha%20Algarve%20Portugal/@37.1351,-8.5301,17z","🍇 Quinta Maravilha")</f>
        <v>🍇 Quinta Maravilha</v>
      </c>
    </row>
    <row r="142" spans="1:9" ht="110" customHeight="1" x14ac:dyDescent="0.35">
      <c r="A142" s="354">
        <v>28</v>
      </c>
      <c r="B142" s="277" t="s">
        <v>16054</v>
      </c>
      <c r="C142" s="278" t="s">
        <v>767</v>
      </c>
      <c r="D142" s="277" t="s">
        <v>2172</v>
      </c>
      <c r="E142" s="277" t="s">
        <v>16055</v>
      </c>
      <c r="F142" s="305" t="s">
        <v>16056</v>
      </c>
      <c r="G142" s="277" t="str">
        <f>HYPERLINK("https://casademondim.pt","casademondim.pt")</f>
        <v>casademondim.pt</v>
      </c>
      <c r="H142" s="277" t="s">
        <v>16057</v>
      </c>
      <c r="I142" s="280" t="str">
        <f>HYPERLINK("https://www.google.com/maps/search/Casa%20de%20Mondim%20Algarve%20Portugal/@37.1401,-8.0241,17z","🍇 Casa de Mondim")</f>
        <v>🍇 Casa de Mondim</v>
      </c>
    </row>
    <row r="143" spans="1:9" ht="110" customHeight="1" x14ac:dyDescent="0.35">
      <c r="A143" s="348">
        <v>29</v>
      </c>
      <c r="B143" s="273" t="s">
        <v>16058</v>
      </c>
      <c r="C143" s="274" t="s">
        <v>767</v>
      </c>
      <c r="D143" s="273" t="s">
        <v>2180</v>
      </c>
      <c r="E143" s="273" t="s">
        <v>16059</v>
      </c>
      <c r="F143" s="304" t="s">
        <v>16060</v>
      </c>
      <c r="G143" s="273" t="str">
        <f>HYPERLINK("https://figueirinha-silves.pt","figueirinha-silves.pt")</f>
        <v>figueirinha-silves.pt</v>
      </c>
      <c r="H143" s="273" t="s">
        <v>16061</v>
      </c>
      <c r="I143" s="275" t="str">
        <f>HYPERLINK("https://www.google.com/maps/search/Quinta%20da%20Figueirinha%20%28Silves%29%20Algarve%20Portugal/@37.1941,-8.4241,17z","🍇 Quinta da Figueirinha (Silv…")</f>
        <v>🍇 Quinta da Figueirinha (Silv…</v>
      </c>
    </row>
    <row r="144" spans="1:9" ht="110" customHeight="1" x14ac:dyDescent="0.35">
      <c r="A144" s="354">
        <v>30</v>
      </c>
      <c r="B144" s="277" t="s">
        <v>16062</v>
      </c>
      <c r="C144" s="278" t="s">
        <v>767</v>
      </c>
      <c r="D144" s="277" t="s">
        <v>2164</v>
      </c>
      <c r="E144" s="277" t="s">
        <v>16063</v>
      </c>
      <c r="F144" s="305" t="s">
        <v>16064</v>
      </c>
      <c r="G144" s="277" t="str">
        <f>HYPERLINK("https://bioalgarve.pt","bioalgarve.pt")</f>
        <v>bioalgarve.pt</v>
      </c>
      <c r="H144" s="277" t="s">
        <v>16065</v>
      </c>
      <c r="I144" s="280" t="str">
        <f>HYPERLINK("https://www.google.com/maps/search/Bio-Algarve%20%28Monchique%29%20Portugal/@37.3241,-8.5601,17z","🍇 Bio-Algarve (Monchique)")</f>
        <v>🍇 Bio-Algarve (Monchique)</v>
      </c>
    </row>
    <row r="145" spans="1:9" ht="22" customHeight="1" x14ac:dyDescent="0.35">
      <c r="A145" s="1369" t="s">
        <v>16066</v>
      </c>
      <c r="B145" s="1313"/>
      <c r="C145" s="1313"/>
      <c r="D145" s="1313"/>
      <c r="E145" s="1313"/>
      <c r="F145" s="1313"/>
      <c r="G145" s="1313"/>
      <c r="H145" s="1313"/>
      <c r="I145" s="1313"/>
    </row>
    <row r="146" spans="1:9" ht="110" customHeight="1" x14ac:dyDescent="0.35">
      <c r="A146" s="344">
        <v>1</v>
      </c>
      <c r="B146" s="281" t="s">
        <v>16067</v>
      </c>
      <c r="C146" s="282" t="s">
        <v>522</v>
      </c>
      <c r="D146" s="281" t="s">
        <v>16068</v>
      </c>
      <c r="E146" s="281" t="s">
        <v>16069</v>
      </c>
      <c r="F146" s="304" t="s">
        <v>16070</v>
      </c>
      <c r="G146" s="281" t="str">
        <f>HYPERLINK("https://cvpico.pt","cvpico.pt")</f>
        <v>cvpico.pt</v>
      </c>
      <c r="H146" s="281" t="s">
        <v>16071</v>
      </c>
      <c r="I146" s="290" t="str">
        <f>HYPERLINK("https://www.google.com/maps/search/Cooperativa%20Vitivin%C3%ADcola%20do%20Pico%20A%C3%A7ores%20Portugal/@38.5301,-28.3901,17z","🍇 Cooperativa Vitivinícola do…")</f>
        <v>🍇 Cooperativa Vitivinícola do…</v>
      </c>
    </row>
    <row r="147" spans="1:9" ht="110" customHeight="1" x14ac:dyDescent="0.35">
      <c r="A147" s="342">
        <v>2</v>
      </c>
      <c r="B147" s="284" t="s">
        <v>16072</v>
      </c>
      <c r="C147" s="367" t="s">
        <v>522</v>
      </c>
      <c r="D147" s="284" t="s">
        <v>16073</v>
      </c>
      <c r="E147" s="284" t="s">
        <v>16074</v>
      </c>
      <c r="F147" s="305" t="s">
        <v>16075</v>
      </c>
      <c r="G147" s="284" t="str">
        <f>HYPERLINK("https://adegapadrepedro.pt","adegapadrepedro.pt")</f>
        <v>adegapadrepedro.pt</v>
      </c>
      <c r="H147" s="284" t="s">
        <v>16076</v>
      </c>
      <c r="I147" s="364" t="str">
        <f>HYPERLINK("https://www.google.com/maps/search/Adega%20do%20Padre%20Pedro%20A%C3%A7ores%20Portugal/@38.5201,-28.3801,17z","🍇 Adega do Padre Pedro")</f>
        <v>🍇 Adega do Padre Pedro</v>
      </c>
    </row>
    <row r="148" spans="1:9" ht="110" customHeight="1" x14ac:dyDescent="0.35">
      <c r="A148" s="344">
        <v>3</v>
      </c>
      <c r="B148" s="281" t="s">
        <v>16077</v>
      </c>
      <c r="C148" s="282" t="s">
        <v>522</v>
      </c>
      <c r="D148" s="281" t="s">
        <v>8900</v>
      </c>
      <c r="E148" s="281" t="s">
        <v>16078</v>
      </c>
      <c r="F148" s="304" t="s">
        <v>16079</v>
      </c>
      <c r="G148" s="281" t="str">
        <f>HYPERLINK("https://coopropeice.pt","coopropeice.pt")</f>
        <v>coopropeice.pt</v>
      </c>
      <c r="H148" s="281" t="s">
        <v>16080</v>
      </c>
      <c r="I148" s="290" t="str">
        <f>HYPERLINK("https://www.google.com/maps/search/Cooperativa%20Agr%C3%ADcola%20de%20Rabo%20de%20Peixe%20A%C3%A7ores%20Portugal/@37.8101,-25.3401,17z","🍇 Cooperativa Agrícola de Rab…")</f>
        <v>🍇 Cooperativa Agrícola de Rab…</v>
      </c>
    </row>
    <row r="149" spans="1:9" ht="110" customHeight="1" x14ac:dyDescent="0.35">
      <c r="A149" s="342">
        <v>4</v>
      </c>
      <c r="B149" s="284" t="s">
        <v>16081</v>
      </c>
      <c r="C149" s="367" t="s">
        <v>522</v>
      </c>
      <c r="D149" s="284" t="s">
        <v>16082</v>
      </c>
      <c r="E149" s="284" t="s">
        <v>16083</v>
      </c>
      <c r="F149" s="305" t="s">
        <v>16084</v>
      </c>
      <c r="G149" s="284" t="str">
        <f>HYPERLINK("https://gorreana.pt","gorreana.pt")</f>
        <v>gorreana.pt</v>
      </c>
      <c r="H149" s="284" t="s">
        <v>16085</v>
      </c>
      <c r="I149" s="364" t="str">
        <f>HYPERLINK("https://www.google.com/maps/search/Quinta%20dos%20A%C3%A7ores%20%28Gorreana%29%20Portugal/@37.8201,-25.4901,17z","🍇 Quinta dos Açores (Gorreana)")</f>
        <v>🍇 Quinta dos Açores (Gorreana)</v>
      </c>
    </row>
    <row r="150" spans="1:9" ht="110" customHeight="1" x14ac:dyDescent="0.35">
      <c r="A150" s="344">
        <v>5</v>
      </c>
      <c r="B150" s="281" t="s">
        <v>16086</v>
      </c>
      <c r="C150" s="282" t="s">
        <v>522</v>
      </c>
      <c r="D150" s="281" t="s">
        <v>16087</v>
      </c>
      <c r="E150" s="281" t="s">
        <v>16088</v>
      </c>
      <c r="F150" s="304" t="s">
        <v>16089</v>
      </c>
      <c r="G150" s="281" t="str">
        <f>HYPERLINK("https://portformosotea.pt","portformosotea.pt")</f>
        <v>portformosotea.pt</v>
      </c>
      <c r="H150" s="281" t="s">
        <v>16090</v>
      </c>
      <c r="I150" s="290" t="str">
        <f>HYPERLINK("https://www.google.com/maps/search/F%C3%A1brica%20de%20Ch%C3%A1%20Porto%20Formoso%20A%C3%A7ores%20Portugal/@37.8401,-25.5101,17z","🍇 Fábrica de Chá Porto Formoso")</f>
        <v>🍇 Fábrica de Chá Porto Formoso</v>
      </c>
    </row>
    <row r="151" spans="1:9" ht="110" customHeight="1" x14ac:dyDescent="0.35">
      <c r="A151" s="342">
        <v>6</v>
      </c>
      <c r="B151" s="284" t="s">
        <v>16091</v>
      </c>
      <c r="C151" s="367" t="s">
        <v>522</v>
      </c>
      <c r="D151" s="284" t="s">
        <v>10412</v>
      </c>
      <c r="E151" s="284" t="s">
        <v>16092</v>
      </c>
      <c r="F151" s="305" t="s">
        <v>16093</v>
      </c>
      <c r="G151" s="284" t="str">
        <f>HYPERLINK("https://quintadapedra.pt","quintadapedra.pt")</f>
        <v>quintadapedra.pt</v>
      </c>
      <c r="H151" s="284" t="s">
        <v>16094</v>
      </c>
      <c r="I151" s="364" t="str">
        <f>HYPERLINK("https://www.google.com/maps/search/Quinta%20da%20Pedra%20%28Enoturismo%20Pico%29%20A%C3%A7ores%20Portugal/@38.4801,-28.4001,17z","🍇 Quinta da Pedra (Enoturismo…")</f>
        <v>🍇 Quinta da Pedra (Enoturismo…</v>
      </c>
    </row>
    <row r="152" spans="1:9" ht="110" customHeight="1" x14ac:dyDescent="0.35">
      <c r="A152" s="344">
        <v>7</v>
      </c>
      <c r="B152" s="281" t="s">
        <v>16095</v>
      </c>
      <c r="C152" s="282" t="s">
        <v>522</v>
      </c>
      <c r="D152" s="281" t="s">
        <v>2252</v>
      </c>
      <c r="E152" s="281" t="s">
        <v>16096</v>
      </c>
      <c r="F152" s="304" t="s">
        <v>16097</v>
      </c>
      <c r="G152" s="281" t="str">
        <f>HYPERLINK("https://museuvinhodopico.pt","museuvinhodopico.pt")</f>
        <v>museuvinhodopico.pt</v>
      </c>
      <c r="H152" s="281" t="s">
        <v>16098</v>
      </c>
      <c r="I152" s="290" t="str">
        <f>HYPERLINK("https://www.google.com/maps/search/Museu%20do%20Vinho%20do%20Pico%20A%C3%A7ores%20Portugal/@38.5301,-28.3901,17z","🍇 Museu do Vinho do Pico")</f>
        <v>🍇 Museu do Vinho do Pico</v>
      </c>
    </row>
    <row r="153" spans="1:9" ht="110" customHeight="1" x14ac:dyDescent="0.35">
      <c r="A153" s="342">
        <v>8</v>
      </c>
      <c r="B153" s="284" t="s">
        <v>16099</v>
      </c>
      <c r="C153" s="367" t="s">
        <v>522</v>
      </c>
      <c r="D153" s="284" t="s">
        <v>2247</v>
      </c>
      <c r="E153" s="284" t="s">
        <v>16100</v>
      </c>
      <c r="F153" s="305" t="s">
        <v>16101</v>
      </c>
      <c r="G153" s="284" t="str">
        <f>HYPERLINK("https://coopcoop.pt","coopcoop.pt")</f>
        <v>coopcoop.pt</v>
      </c>
      <c r="H153" s="284" t="s">
        <v>16102</v>
      </c>
      <c r="I153" s="364" t="str">
        <f>HYPERLINK("https://www.google.com/maps/search/Cooperativa%20Agr%C3%ADcola%20de%20Angra%20%28Terceira%29%20A%C3%A7ores%20Portugal/@38.6601,-27.2201,17z","🍇 Cooperativa Agrícola de Ang…")</f>
        <v>🍇 Cooperativa Agrícola de Ang…</v>
      </c>
    </row>
    <row r="154" spans="1:9" ht="110" customHeight="1" x14ac:dyDescent="0.35">
      <c r="A154" s="344">
        <v>9</v>
      </c>
      <c r="B154" s="281" t="s">
        <v>16103</v>
      </c>
      <c r="C154" s="282" t="s">
        <v>522</v>
      </c>
      <c r="D154" s="281" t="s">
        <v>16104</v>
      </c>
      <c r="E154" s="281" t="s">
        <v>16105</v>
      </c>
      <c r="F154" s="304" t="s">
        <v>16106</v>
      </c>
      <c r="G154" s="281" t="str">
        <f>HYPERLINK("https://biscoitoswinery.com","biscoitoswinery.com")</f>
        <v>biscoitoswinery.com</v>
      </c>
      <c r="H154" s="281" t="s">
        <v>16107</v>
      </c>
      <c r="I154" s="290" t="str">
        <f>HYPERLINK("https://www.google.com/maps/search/Biscoitos%20Winery%20%28Terceira%29%20A%C3%A7ores%20Portugal/@38.7601,-27.3001,17z","🍇 Biscoitos Winery (Terceira)")</f>
        <v>🍇 Biscoitos Winery (Terceira)</v>
      </c>
    </row>
    <row r="155" spans="1:9" ht="110" customHeight="1" x14ac:dyDescent="0.35">
      <c r="A155" s="342">
        <v>10</v>
      </c>
      <c r="B155" s="284" t="s">
        <v>16108</v>
      </c>
      <c r="C155" s="367" t="s">
        <v>522</v>
      </c>
      <c r="D155" s="284" t="s">
        <v>12214</v>
      </c>
      <c r="E155" s="284" t="s">
        <v>16109</v>
      </c>
      <c r="F155" s="305" t="s">
        <v>16110</v>
      </c>
      <c r="G155" s="284" t="str">
        <f>HYPERLINK("https://herdadelaranjeiras.pt","herdadelaranjeiras.pt")</f>
        <v>herdadelaranjeiras.pt</v>
      </c>
      <c r="H155" s="284" t="s">
        <v>16111</v>
      </c>
      <c r="I155" s="364" t="str">
        <f>HYPERLINK("https://www.google.com/maps/search/Herdade%20das%20Laranjeiras%20%28S%C3%A3o%20Miguel%29%20A%C3%A7ores%20Portugal/@37.7801,-25.5001,17z","🍇 Herdade das Laranjeiras (Sã…")</f>
        <v>🍇 Herdade das Laranjeiras (Sã…</v>
      </c>
    </row>
    <row r="156" spans="1:9" ht="110" customHeight="1" x14ac:dyDescent="0.35">
      <c r="A156" s="344">
        <v>11</v>
      </c>
      <c r="B156" s="281" t="s">
        <v>16112</v>
      </c>
      <c r="C156" s="282" t="s">
        <v>522</v>
      </c>
      <c r="D156" s="281" t="s">
        <v>2255</v>
      </c>
      <c r="E156" s="281" t="s">
        <v>16113</v>
      </c>
      <c r="F156" s="304" t="s">
        <v>16114</v>
      </c>
      <c r="G156" s="281" t="str">
        <f>HYPERLINK("https://quintasantabarbara.pt","quintasantabarbara.pt")</f>
        <v>quintasantabarbara.pt</v>
      </c>
      <c r="H156" s="281" t="s">
        <v>16115</v>
      </c>
      <c r="I156" s="290" t="str">
        <f>HYPERLINK("https://www.google.com/maps/search/Quinta%20de%20Santa%20B%C3%A1rbara%20%28S%C3%A3o%20Miguel%29%20A%C3%A7ores%20Portugal/@37.8401,-25.6601,17z","🍇 Quinta de Santa Bárbara (Sã…")</f>
        <v>🍇 Quinta de Santa Bárbara (Sã…</v>
      </c>
    </row>
    <row r="157" spans="1:9" ht="110" customHeight="1" x14ac:dyDescent="0.35">
      <c r="A157" s="342">
        <v>12</v>
      </c>
      <c r="B157" s="284" t="s">
        <v>16116</v>
      </c>
      <c r="C157" s="367" t="s">
        <v>522</v>
      </c>
      <c r="D157" s="284" t="s">
        <v>2255</v>
      </c>
      <c r="E157" s="284" t="s">
        <v>16117</v>
      </c>
      <c r="F157" s="305" t="s">
        <v>16118</v>
      </c>
      <c r="G157" s="284" t="str">
        <f>HYPERLINK("https://ananasdosacores.com","ananasdosacores.com")</f>
        <v>ananasdosacores.com</v>
      </c>
      <c r="H157" s="284" t="s">
        <v>16119</v>
      </c>
      <c r="I157" s="364" t="str">
        <f>HYPERLINK("https://www.google.com/maps/search/Associa%C3%A7%C3%A3o%20dos%20Produtores%20de%20Anan%C3%A1s%20dos%20A%C3%A7ores%20Portugal/@37.8201,-25.6601,17z","🍇 Associação dos Produtores d…")</f>
        <v>🍇 Associação dos Produtores d…</v>
      </c>
    </row>
    <row r="158" spans="1:9" ht="110" customHeight="1" x14ac:dyDescent="0.35">
      <c r="A158" s="344">
        <v>13</v>
      </c>
      <c r="B158" s="281" t="s">
        <v>16120</v>
      </c>
      <c r="C158" s="282" t="s">
        <v>522</v>
      </c>
      <c r="D158" s="281" t="s">
        <v>16121</v>
      </c>
      <c r="E158" s="281" t="s">
        <v>16122</v>
      </c>
      <c r="F158" s="304" t="s">
        <v>16123</v>
      </c>
      <c r="G158" s="281" t="str">
        <f>HYPERLINK("https://queijodefaial.pt","queijodefaial.pt")</f>
        <v>queijodefaial.pt</v>
      </c>
      <c r="H158" s="281" t="s">
        <v>16124</v>
      </c>
      <c r="I158" s="290" t="str">
        <f>HYPERLINK("https://www.google.com/maps/search/Queijaria%20Artesanal%20do%20Faial%20A%C3%A7ores%20Portugal/@38.5301,-28.7001,17z","🍇 Queijaria Artesanal do Faial")</f>
        <v>🍇 Queijaria Artesanal do Faial</v>
      </c>
    </row>
    <row r="159" spans="1:9" ht="110" customHeight="1" x14ac:dyDescent="0.35">
      <c r="A159" s="342">
        <v>14</v>
      </c>
      <c r="B159" s="284" t="s">
        <v>16125</v>
      </c>
      <c r="C159" s="367" t="s">
        <v>522</v>
      </c>
      <c r="D159" s="284" t="s">
        <v>16126</v>
      </c>
      <c r="E159" s="284" t="s">
        <v>16127</v>
      </c>
      <c r="F159" s="305" t="s">
        <v>16128</v>
      </c>
      <c r="G159" s="284" t="str">
        <f>HYPERLINK("https://coopgraciosa.pt","coopgraciosa.pt")</f>
        <v>coopgraciosa.pt</v>
      </c>
      <c r="H159" s="284" t="s">
        <v>16129</v>
      </c>
      <c r="I159" s="364" t="str">
        <f>HYPERLINK("https://www.google.com/maps/search/Cooperativa%20da%20Graciosa%20A%C3%A7ores%20Portugal/@39.0501,-28.0101,17z","🍇 Cooperativa da Graciosa")</f>
        <v>🍇 Cooperativa da Graciosa</v>
      </c>
    </row>
    <row r="160" spans="1:9" ht="110" customHeight="1" x14ac:dyDescent="0.35">
      <c r="A160" s="344">
        <v>15</v>
      </c>
      <c r="B160" s="281" t="s">
        <v>16130</v>
      </c>
      <c r="C160" s="282" t="s">
        <v>522</v>
      </c>
      <c r="D160" s="281" t="s">
        <v>8741</v>
      </c>
      <c r="E160" s="281" t="s">
        <v>16131</v>
      </c>
      <c r="F160" s="304" t="s">
        <v>16132</v>
      </c>
      <c r="G160" s="281" t="str">
        <f>HYPERLINK("https://terrasdelava.pt","terrasdelava.pt")</f>
        <v>terrasdelava.pt</v>
      </c>
      <c r="H160" s="281" t="s">
        <v>16133</v>
      </c>
      <c r="I160" s="290" t="str">
        <f>HYPERLINK("https://www.google.com/maps/search/Adega%20Terras%20de%20Lava%20%28S%C3%A3o%20Miguel%29%20A%C3%A7ores%20Portugal/@37.7001,-25.4801,17z","🍇 Adega Terras de Lava (São M…")</f>
        <v>🍇 Adega Terras de Lava (São M…</v>
      </c>
    </row>
    <row r="161" spans="1:9" ht="110" customHeight="1" x14ac:dyDescent="0.35">
      <c r="A161" s="342">
        <v>16</v>
      </c>
      <c r="B161" s="284" t="s">
        <v>16134</v>
      </c>
      <c r="C161" s="367" t="s">
        <v>522</v>
      </c>
      <c r="D161" s="284" t="s">
        <v>16135</v>
      </c>
      <c r="E161" s="284" t="s">
        <v>16136</v>
      </c>
      <c r="F161" s="305" t="s">
        <v>16137</v>
      </c>
      <c r="G161" s="284" t="str">
        <f>HYPERLINK("https://abelheira-flores.pt","abelheira-flores.pt")</f>
        <v>abelheira-flores.pt</v>
      </c>
      <c r="H161" s="284" t="s">
        <v>16138</v>
      </c>
      <c r="I161" s="364" t="str">
        <f>HYPERLINK("https://www.google.com/maps/search/Quinta%20da%20Abelheira%20%28Flores%29%20A%C3%A7ores%20Portugal/@39.4501,-31.2101,17z","🍇 Quinta da Abelheira (Flores)")</f>
        <v>🍇 Quinta da Abelheira (Flores)</v>
      </c>
    </row>
    <row r="162" spans="1:9" ht="110" customHeight="1" x14ac:dyDescent="0.35">
      <c r="A162" s="344">
        <v>17</v>
      </c>
      <c r="B162" s="281" t="s">
        <v>16139</v>
      </c>
      <c r="C162" s="282" t="s">
        <v>522</v>
      </c>
      <c r="D162" s="281" t="s">
        <v>16140</v>
      </c>
      <c r="E162" s="281" t="s">
        <v>16141</v>
      </c>
      <c r="F162" s="304" t="s">
        <v>16142</v>
      </c>
      <c r="G162" s="281" t="str">
        <f>HYPERLINK("https://museudocha.pt","museudocha.pt")</f>
        <v>museudocha.pt</v>
      </c>
      <c r="H162" s="281" t="s">
        <v>16143</v>
      </c>
      <c r="I162" s="290" t="str">
        <f>HYPERLINK("https://www.google.com/maps/search/Museu%20do%20Ch%C3%A1%20e%20da%20Agricultura%20%28S%C3%A3o%20Miguel%29%20A%C3%A7ores%20Portugal/@37.8201,-25.4901,17z","🍇 Museu do Chá e da Agricultu…")</f>
        <v>🍇 Museu do Chá e da Agricultu…</v>
      </c>
    </row>
    <row r="163" spans="1:9" ht="110" customHeight="1" x14ac:dyDescent="0.35">
      <c r="A163" s="342">
        <v>18</v>
      </c>
      <c r="B163" s="284" t="s">
        <v>16144</v>
      </c>
      <c r="C163" s="367" t="s">
        <v>522</v>
      </c>
      <c r="D163" s="284" t="s">
        <v>8906</v>
      </c>
      <c r="E163" s="284" t="s">
        <v>16145</v>
      </c>
      <c r="F163" s="305" t="s">
        <v>16146</v>
      </c>
      <c r="G163" s="284" t="str">
        <f>HYPERLINK("https://serrabranca.pt","serrabranca.pt")</f>
        <v>serrabranca.pt</v>
      </c>
      <c r="H163" s="284" t="s">
        <v>16147</v>
      </c>
      <c r="I163" s="364" t="str">
        <f>HYPERLINK("https://www.google.com/maps/search/Queijaria%20Serra%20Branca%20%28S%C3%A3o%20Jorge%29%20A%C3%A7ores%20Portugal/@38.6501,-28.0501,17z","🍇 Queijaria Serra Branca (São…")</f>
        <v>🍇 Queijaria Serra Branca (São…</v>
      </c>
    </row>
    <row r="164" spans="1:9" ht="110" customHeight="1" x14ac:dyDescent="0.35">
      <c r="A164" s="344">
        <v>19</v>
      </c>
      <c r="B164" s="281" t="s">
        <v>16148</v>
      </c>
      <c r="C164" s="282" t="s">
        <v>522</v>
      </c>
      <c r="D164" s="281" t="s">
        <v>16149</v>
      </c>
      <c r="E164" s="281" t="s">
        <v>16150</v>
      </c>
      <c r="F164" s="304" t="s">
        <v>16151</v>
      </c>
      <c r="G164" s="281" t="str">
        <f>HYPERLINK("https://acpico.pt","acpico.pt")</f>
        <v>acpico.pt</v>
      </c>
      <c r="H164" s="281" t="s">
        <v>16152</v>
      </c>
      <c r="I164" s="290" t="str">
        <f>HYPERLINK("https://www.google.com/maps/search/Adega%20Cooperativa%20do%20Pico%20A%C3%A7ores%20Portugal/@38.5101,-28.3801,17z","🍇 Adega Cooperativa do Pico")</f>
        <v>🍇 Adega Cooperativa do Pico</v>
      </c>
    </row>
    <row r="165" spans="1:9" ht="110" customHeight="1" x14ac:dyDescent="0.35">
      <c r="A165" s="342">
        <v>20</v>
      </c>
      <c r="B165" s="284" t="s">
        <v>16153</v>
      </c>
      <c r="C165" s="367" t="s">
        <v>522</v>
      </c>
      <c r="D165" s="284" t="s">
        <v>2247</v>
      </c>
      <c r="E165" s="284" t="s">
        <v>16154</v>
      </c>
      <c r="F165" s="305" t="s">
        <v>16155</v>
      </c>
      <c r="G165" s="284" t="str">
        <f>HYPERLINK("https://quintadasrosas.pt","quintadasrosas.pt")</f>
        <v>quintadasrosas.pt</v>
      </c>
      <c r="H165" s="284" t="s">
        <v>16156</v>
      </c>
      <c r="I165" s="364" t="str">
        <f>HYPERLINK("https://www.google.com/maps/search/Quinta%20das%20Rosas%20%28Terceira%29%20A%C3%A7ores%20Portugal/@38.6501,-27.2301,17z","🍇 Quinta das Rosas (Terceira)")</f>
        <v>🍇 Quinta das Rosas (Terceira)</v>
      </c>
    </row>
    <row r="166" spans="1:9" ht="110" customHeight="1" x14ac:dyDescent="0.35">
      <c r="A166" s="344">
        <v>21</v>
      </c>
      <c r="B166" s="281" t="s">
        <v>16157</v>
      </c>
      <c r="C166" s="282" t="s">
        <v>522</v>
      </c>
      <c r="D166" s="281" t="s">
        <v>8906</v>
      </c>
      <c r="E166" s="281" t="s">
        <v>16158</v>
      </c>
      <c r="F166" s="304" t="s">
        <v>16159</v>
      </c>
      <c r="G166" s="281" t="str">
        <f>HYPERLINK("https://queijocalheta.pt","queijocalheta.pt")</f>
        <v>queijocalheta.pt</v>
      </c>
      <c r="H166" s="281" t="s">
        <v>16160</v>
      </c>
      <c r="I166" s="290" t="str">
        <f>HYPERLINK("https://www.google.com/maps/search/F%C3%A1brica%20de%20Queijo%20Calheta%20%28S%C3%A3o%20Jorge%29%20A%C3%A7ores%20Portugal/@38.5901,-28.0101,17z","🍇 Fábrica de Queijo Calheta (…")</f>
        <v>🍇 Fábrica de Queijo Calheta (…</v>
      </c>
    </row>
    <row r="167" spans="1:9" ht="110" customHeight="1" x14ac:dyDescent="0.35">
      <c r="A167" s="342">
        <v>22</v>
      </c>
      <c r="B167" s="284" t="s">
        <v>16161</v>
      </c>
      <c r="C167" s="367" t="s">
        <v>522</v>
      </c>
      <c r="D167" s="284" t="s">
        <v>5326</v>
      </c>
      <c r="E167" s="284" t="s">
        <v>16162</v>
      </c>
      <c r="F167" s="305" t="s">
        <v>16163</v>
      </c>
      <c r="G167" s="284" t="str">
        <f>HYPERLINK("https://vistaalegre-pico.pt","vistaalegre-pico.pt")</f>
        <v>vistaalegre-pico.pt</v>
      </c>
      <c r="H167" s="284" t="s">
        <v>16164</v>
      </c>
      <c r="I167" s="364" t="str">
        <f>HYPERLINK("https://www.google.com/maps/search/Quinta%20da%20Vista%20Alegre%20%28Pico%29%20A%C3%A7ores%20Portugal/@38.5201,-28.4101,17z","🍇 Quinta da Vista Alegre (Pico)")</f>
        <v>🍇 Quinta da Vista Alegre (Pico)</v>
      </c>
    </row>
    <row r="168" spans="1:9" ht="110" customHeight="1" x14ac:dyDescent="0.35">
      <c r="A168" s="344">
        <v>23</v>
      </c>
      <c r="B168" s="281" t="s">
        <v>16165</v>
      </c>
      <c r="C168" s="282" t="s">
        <v>522</v>
      </c>
      <c r="D168" s="281" t="s">
        <v>3070</v>
      </c>
      <c r="E168" s="281" t="s">
        <v>16166</v>
      </c>
      <c r="F168" s="304" t="s">
        <v>16167</v>
      </c>
      <c r="G168" s="281" t="str">
        <f>HYPERLINK("https://floricultores.pt","floricultores.pt")</f>
        <v>floricultores.pt</v>
      </c>
      <c r="H168" s="281" t="s">
        <v>16168</v>
      </c>
      <c r="I168" s="290" t="str">
        <f>HYPERLINK("https://www.google.com/maps/search/Cooperativa%20dos%20Floricultores%20%28S%C3%A3o%20Miguel%29%20A%C3%A7ores%20Portugal/@37.7601,-25.6801,17z","🍇 Cooperativa dos Floricultor…")</f>
        <v>🍇 Cooperativa dos Floricultor…</v>
      </c>
    </row>
    <row r="169" spans="1:9" ht="110" customHeight="1" x14ac:dyDescent="0.35">
      <c r="A169" s="342">
        <v>24</v>
      </c>
      <c r="B169" s="284" t="s">
        <v>16169</v>
      </c>
      <c r="C169" s="367" t="s">
        <v>522</v>
      </c>
      <c r="D169" s="284" t="s">
        <v>8760</v>
      </c>
      <c r="E169" s="284" t="s">
        <v>16170</v>
      </c>
      <c r="F169" s="305" t="s">
        <v>16171</v>
      </c>
      <c r="G169" s="284" t="str">
        <f>HYPERLINK("https://quintasantacruzflores.pt","quintasantacruzflores.pt")</f>
        <v>quintasantacruzflores.pt</v>
      </c>
      <c r="H169" s="284" t="s">
        <v>16172</v>
      </c>
      <c r="I169" s="364" t="str">
        <f>HYPERLINK("https://www.google.com/maps/search/Quinta%20de%20Santa%20Cruz%20%28Flores%29%20A%C3%A7ores%20Portugal/@39.4401,-31.1901,17z","🍇 Quinta de Santa Cruz (Flores)")</f>
        <v>🍇 Quinta de Santa Cruz (Flores)</v>
      </c>
    </row>
    <row r="170" spans="1:9" ht="110" customHeight="1" x14ac:dyDescent="0.35">
      <c r="A170" s="344">
        <v>25</v>
      </c>
      <c r="B170" s="281" t="s">
        <v>16173</v>
      </c>
      <c r="C170" s="282" t="s">
        <v>522</v>
      </c>
      <c r="D170" s="281" t="s">
        <v>6622</v>
      </c>
      <c r="E170" s="281" t="s">
        <v>16174</v>
      </c>
      <c r="F170" s="304" t="s">
        <v>16175</v>
      </c>
      <c r="G170" s="281" t="str">
        <f>HYPERLINK("https://terrantezdopico.pt","terrantezdopico.pt")</f>
        <v>terrantezdopico.pt</v>
      </c>
      <c r="H170" s="281" t="s">
        <v>16176</v>
      </c>
      <c r="I170" s="290" t="str">
        <f>HYPERLINK("https://www.google.com/maps/search/Adega%20Terrantez%20do%20Pico%20A%C3%A7ores%20Portugal/@38.5301,-28.3601,17z","🍇 Adega Terrantez do Pico")</f>
        <v>🍇 Adega Terrantez do Pico</v>
      </c>
    </row>
    <row r="171" spans="1:9" ht="110" customHeight="1" x14ac:dyDescent="0.35">
      <c r="A171" s="342">
        <v>26</v>
      </c>
      <c r="B171" s="284" t="s">
        <v>16177</v>
      </c>
      <c r="C171" s="367" t="s">
        <v>522</v>
      </c>
      <c r="D171" s="284" t="s">
        <v>16178</v>
      </c>
      <c r="E171" s="284" t="s">
        <v>16179</v>
      </c>
      <c r="F171" s="305" t="s">
        <v>16180</v>
      </c>
      <c r="G171" s="284" t="str">
        <f>HYPERLINK("https://coopocorvo.pt","coopocorvo.pt")</f>
        <v>coopocorvo.pt</v>
      </c>
      <c r="H171" s="284" t="s">
        <v>16181</v>
      </c>
      <c r="I171" s="364" t="str">
        <f>HYPERLINK("https://www.google.com/maps/search/Cooperativa%20dos%20Criadores%20de%20Corvo%20A%C3%A7ores%20Portugal/@39.7001,-31.1101,17z","🍇 Cooperativa dos Criadores d…")</f>
        <v>🍇 Cooperativa dos Criadores d…</v>
      </c>
    </row>
    <row r="172" spans="1:9" ht="110" customHeight="1" x14ac:dyDescent="0.35">
      <c r="A172" s="344">
        <v>27</v>
      </c>
      <c r="B172" s="281" t="s">
        <v>16182</v>
      </c>
      <c r="C172" s="282" t="s">
        <v>522</v>
      </c>
      <c r="D172" s="281" t="s">
        <v>8741</v>
      </c>
      <c r="E172" s="281" t="s">
        <v>16183</v>
      </c>
      <c r="F172" s="304" t="s">
        <v>16184</v>
      </c>
      <c r="G172" s="281" t="str">
        <f>HYPERLINK("https://beloverpico.pt","beloverpico.pt")</f>
        <v>beloverpico.pt</v>
      </c>
      <c r="H172" s="281" t="s">
        <v>16185</v>
      </c>
      <c r="I172" s="290" t="str">
        <f>HYPERLINK("https://www.google.com/maps/search/Quinta%20do%20Belo%20Ver%20%28S%C3%A3o%20Miguel%29%20A%C3%A7ores%20Portugal/@37.8001,-25.4701,17z","🍇 Quinta do Belo Ver (São Mig…")</f>
        <v>🍇 Quinta do Belo Ver (São Mig…</v>
      </c>
    </row>
    <row r="173" spans="1:9" ht="110" customHeight="1" x14ac:dyDescent="0.35">
      <c r="A173" s="342">
        <v>28</v>
      </c>
      <c r="B173" s="284" t="s">
        <v>16186</v>
      </c>
      <c r="C173" s="367" t="s">
        <v>522</v>
      </c>
      <c r="D173" s="284" t="s">
        <v>16140</v>
      </c>
      <c r="E173" s="284" t="s">
        <v>16187</v>
      </c>
      <c r="F173" s="305" t="s">
        <v>16188</v>
      </c>
      <c r="G173" s="284" t="str">
        <f>HYPERLINK("https://sanordeste.pt","sanordeste.pt")</f>
        <v>sanordeste.pt</v>
      </c>
      <c r="H173" s="284" t="s">
        <v>16189</v>
      </c>
      <c r="I173" s="364" t="str">
        <f>HYPERLINK("https://www.google.com/maps/search/Soc.%20Agricultores%20Nordeste%20%28S%C3%A3o%20Miguel%29%20A%C3%A7ores%20Portugal/@37.8701,-25.1601,17z","🍇 Soc. Agricultores Nordeste …")</f>
        <v>🍇 Soc. Agricultores Nordeste …</v>
      </c>
    </row>
    <row r="174" spans="1:9" ht="110" customHeight="1" x14ac:dyDescent="0.35">
      <c r="A174" s="344">
        <v>29</v>
      </c>
      <c r="B174" s="281" t="s">
        <v>16190</v>
      </c>
      <c r="C174" s="282" t="s">
        <v>522</v>
      </c>
      <c r="D174" s="281" t="s">
        <v>2841</v>
      </c>
      <c r="E174" s="281" t="s">
        <v>16191</v>
      </c>
      <c r="F174" s="304" t="s">
        <v>16192</v>
      </c>
      <c r="G174" s="281" t="str">
        <f>HYPERLINK("https://quintabioterceira.pt","quintabioterceira.pt")</f>
        <v>quintabioterceira.pt</v>
      </c>
      <c r="H174" s="281" t="s">
        <v>16193</v>
      </c>
      <c r="I174" s="290" t="str">
        <f>HYPERLINK("https://www.google.com/maps/search/Quinta%20Biol%C3%B3gica%20da%20Terceira%20A%C3%A7ores%20Portugal/@38.6901,-27.2301,17z","🍇 Quinta Biológica da Terceira")</f>
        <v>🍇 Quinta Biológica da Terceira</v>
      </c>
    </row>
    <row r="175" spans="1:9" ht="110" customHeight="1" x14ac:dyDescent="0.35">
      <c r="A175" s="342">
        <v>30</v>
      </c>
      <c r="B175" s="284" t="s">
        <v>16194</v>
      </c>
      <c r="C175" s="367" t="s">
        <v>522</v>
      </c>
      <c r="D175" s="284" t="s">
        <v>3070</v>
      </c>
      <c r="E175" s="284" t="s">
        <v>16195</v>
      </c>
      <c r="F175" s="305" t="s">
        <v>16196</v>
      </c>
      <c r="G175" s="284" t="str">
        <f>HYPERLINK("https://arintodosacores.pt","arintodosacores.pt")</f>
        <v>arintodosacores.pt</v>
      </c>
      <c r="H175" s="284" t="s">
        <v>16197</v>
      </c>
      <c r="I175" s="364" t="str">
        <f>HYPERLINK("https://www.google.com/maps/search/Arinto%20dos%20A%C3%A7ores%20Wine%20Estate%20%28S%C3%A3o%20Miguel%29%20Portugal/@37.7201,-25.6901,17z","🍇 Arinto dos Açores Wine Esta…")</f>
        <v>🍇 Arinto dos Açores Wine Esta…</v>
      </c>
    </row>
    <row r="176" spans="1:9" ht="22" customHeight="1" x14ac:dyDescent="0.35">
      <c r="A176" s="1370" t="s">
        <v>16198</v>
      </c>
      <c r="B176" s="1313"/>
      <c r="C176" s="1313"/>
      <c r="D176" s="1313"/>
      <c r="E176" s="1313"/>
      <c r="F176" s="1313"/>
      <c r="G176" s="1313"/>
      <c r="H176" s="1313"/>
      <c r="I176" s="1313"/>
    </row>
    <row r="177" spans="1:9" ht="110" customHeight="1" x14ac:dyDescent="0.35">
      <c r="A177" s="350">
        <v>1</v>
      </c>
      <c r="B177" s="251" t="s">
        <v>16199</v>
      </c>
      <c r="C177" s="252" t="s">
        <v>524</v>
      </c>
      <c r="D177" s="251" t="s">
        <v>16200</v>
      </c>
      <c r="E177" s="251" t="s">
        <v>16201</v>
      </c>
      <c r="F177" s="304" t="s">
        <v>16202</v>
      </c>
      <c r="G177" s="251" t="str">
        <f>HYPERLINK("https://blandys.com","blandys.com")</f>
        <v>blandys.com</v>
      </c>
      <c r="H177" s="251" t="s">
        <v>16203</v>
      </c>
      <c r="I177" s="291" t="str">
        <f>HYPERLINK("https://www.google.com/maps/search/Blandy%27s%20Wine%20Lodge%20Madeira%20Portugal/@32.6501,-16.9081,17z","🍇 Blandy's Wine Lodge")</f>
        <v>🍇 Blandy's Wine Lodge</v>
      </c>
    </row>
    <row r="178" spans="1:9" ht="110" customHeight="1" x14ac:dyDescent="0.35">
      <c r="A178" s="356">
        <v>2</v>
      </c>
      <c r="B178" s="254" t="s">
        <v>16204</v>
      </c>
      <c r="C178" s="255" t="s">
        <v>524</v>
      </c>
      <c r="D178" s="254" t="s">
        <v>16205</v>
      </c>
      <c r="E178" s="254" t="s">
        <v>16206</v>
      </c>
      <c r="F178" s="305" t="s">
        <v>16207</v>
      </c>
      <c r="G178" s="254" t="str">
        <f>HYPERLINK("https://henriquesehenriques.pt","henriquesehenriques.pt")</f>
        <v>henriquesehenriques.pt</v>
      </c>
      <c r="H178" s="254" t="s">
        <v>16208</v>
      </c>
      <c r="I178" s="366" t="str">
        <f>HYPERLINK("https://www.google.com/maps/search/Henriques%20%26%20Henriques%20Madeira%20Portugal/@32.6912,-17.0471,17z","🍇 Henriques &amp; Henriques")</f>
        <v>🍇 Henriques &amp; Henriques</v>
      </c>
    </row>
    <row r="179" spans="1:9" ht="110" customHeight="1" x14ac:dyDescent="0.35">
      <c r="A179" s="350">
        <v>3</v>
      </c>
      <c r="B179" s="251" t="s">
        <v>12273</v>
      </c>
      <c r="C179" s="252" t="s">
        <v>524</v>
      </c>
      <c r="D179" s="251" t="s">
        <v>16209</v>
      </c>
      <c r="E179" s="251" t="s">
        <v>16210</v>
      </c>
      <c r="F179" s="304" t="s">
        <v>16211</v>
      </c>
      <c r="G179" s="251" t="str">
        <f>HYPERLINK("https://quintadofurao.com","quintadofurao.com")</f>
        <v>quintadofurao.com</v>
      </c>
      <c r="H179" s="251" t="s">
        <v>16212</v>
      </c>
      <c r="I179" s="291" t="str">
        <f>HYPERLINK("https://www.google.com/maps/search/Quinta%20do%20Fur%C3%A3o%20Madeira%20Portugal/@32.7712,-16.8651,17z","🍇 Quinta do Furão")</f>
        <v>🍇 Quinta do Furão</v>
      </c>
    </row>
    <row r="180" spans="1:9" ht="110" customHeight="1" x14ac:dyDescent="0.35">
      <c r="A180" s="356">
        <v>4</v>
      </c>
      <c r="B180" s="254" t="s">
        <v>16213</v>
      </c>
      <c r="C180" s="255" t="s">
        <v>524</v>
      </c>
      <c r="D180" s="254" t="s">
        <v>16214</v>
      </c>
      <c r="E180" s="254" t="s">
        <v>16215</v>
      </c>
      <c r="F180" s="305" t="s">
        <v>16216</v>
      </c>
      <c r="G180" s="254" t="str">
        <f>HYPERLINK("https://adegas-sao-vicente.com","adegas-sao-vicente.com")</f>
        <v>adegas-sao-vicente.com</v>
      </c>
      <c r="H180" s="254" t="s">
        <v>16217</v>
      </c>
      <c r="I180" s="366" t="str">
        <f>HYPERLINK("https://www.google.com/maps/search/Adega%20S%C3%A3o%20Vicente%20Madeira%20Portugal/@32.8021,-17.0341,17z","🍇 Adega São Vicente")</f>
        <v>🍇 Adega São Vicente</v>
      </c>
    </row>
    <row r="181" spans="1:9" ht="110" customHeight="1" x14ac:dyDescent="0.35">
      <c r="A181" s="350">
        <v>5</v>
      </c>
      <c r="B181" s="251" t="s">
        <v>16218</v>
      </c>
      <c r="C181" s="252" t="s">
        <v>524</v>
      </c>
      <c r="D181" s="251" t="s">
        <v>16219</v>
      </c>
      <c r="E181" s="251" t="s">
        <v>16220</v>
      </c>
      <c r="F181" s="304" t="s">
        <v>16221</v>
      </c>
      <c r="G181" s="251" t="str">
        <f>HYPERLINK("https://solardosloios.pt","solardosloios.pt")</f>
        <v>solardosloios.pt</v>
      </c>
      <c r="H181" s="251" t="s">
        <v>16222</v>
      </c>
      <c r="I181" s="291" t="str">
        <f>HYPERLINK("https://www.google.com/maps/search/Solar%20dos%20Loios%20%28C.%20de%20Lobos%29%20Madeira%20Portugal/@32.6421,-16.9801,17z","🍇 Solar dos Loios (C. de Lobos)")</f>
        <v>🍇 Solar dos Loios (C. de Lobos)</v>
      </c>
    </row>
    <row r="182" spans="1:9" ht="110" customHeight="1" x14ac:dyDescent="0.35">
      <c r="A182" s="356">
        <v>6</v>
      </c>
      <c r="B182" s="254" t="s">
        <v>16223</v>
      </c>
      <c r="C182" s="255" t="s">
        <v>524</v>
      </c>
      <c r="D182" s="254" t="s">
        <v>16224</v>
      </c>
      <c r="E182" s="254" t="s">
        <v>16225</v>
      </c>
      <c r="F182" s="305" t="s">
        <v>16226</v>
      </c>
      <c r="G182" s="254" t="str">
        <f>HYPERLINK("https://quintadomoledo.pt","quintadomoledo.pt")</f>
        <v>quintadomoledo.pt</v>
      </c>
      <c r="H182" s="254" t="s">
        <v>16227</v>
      </c>
      <c r="I182" s="366" t="str">
        <f>HYPERLINK("https://www.google.com/maps/search/Quinta%20do%20Moledo%20Madeira%20Portugal/@32.7201,-16.8401,17z","🍇 Quinta do Moledo")</f>
        <v>🍇 Quinta do Moledo</v>
      </c>
    </row>
    <row r="183" spans="1:9" ht="110" customHeight="1" x14ac:dyDescent="0.35">
      <c r="A183" s="350">
        <v>7</v>
      </c>
      <c r="B183" s="251" t="s">
        <v>16228</v>
      </c>
      <c r="C183" s="252" t="s">
        <v>524</v>
      </c>
      <c r="D183" s="251" t="s">
        <v>16229</v>
      </c>
      <c r="E183" s="251" t="s">
        <v>16230</v>
      </c>
      <c r="F183" s="304" t="s">
        <v>16231</v>
      </c>
      <c r="G183" s="251" t="str">
        <f>HYPERLINK("https://vinhobarbeito.com","vinhobarbeito.com")</f>
        <v>vinhobarbeito.com</v>
      </c>
      <c r="H183" s="251" t="s">
        <v>16232</v>
      </c>
      <c r="I183" s="291" t="str">
        <f>HYPERLINK("https://www.google.com/maps/search/Destilaria%20Barbeito%20Madeira%20Portugal/@32.6501,-16.9201,17z","🍇 Destilaria Barbeito")</f>
        <v>🍇 Destilaria Barbeito</v>
      </c>
    </row>
    <row r="184" spans="1:9" ht="110" customHeight="1" x14ac:dyDescent="0.35">
      <c r="A184" s="356">
        <v>8</v>
      </c>
      <c r="B184" s="254" t="s">
        <v>16233</v>
      </c>
      <c r="C184" s="255" t="s">
        <v>524</v>
      </c>
      <c r="D184" s="254" t="s">
        <v>16234</v>
      </c>
      <c r="E184" s="254" t="s">
        <v>16235</v>
      </c>
      <c r="F184" s="305" t="s">
        <v>16236</v>
      </c>
      <c r="G184" s="254" t="str">
        <f>HYPERLINK("https://justinosmadeira.com","justinosmadeira.com")</f>
        <v>justinosmadeira.com</v>
      </c>
      <c r="H184" s="254" t="s">
        <v>16237</v>
      </c>
      <c r="I184" s="366" t="str">
        <f>HYPERLINK("https://www.google.com/maps/search/Justino%27s%20Madeira%20Wines%20Portugal/@32.6401,-16.8901,17z","🍇 Justino's Madeira Wines")</f>
        <v>🍇 Justino's Madeira Wines</v>
      </c>
    </row>
    <row r="185" spans="1:9" ht="110" customHeight="1" x14ac:dyDescent="0.35">
      <c r="A185" s="350">
        <v>9</v>
      </c>
      <c r="B185" s="251" t="s">
        <v>16238</v>
      </c>
      <c r="C185" s="252" t="s">
        <v>524</v>
      </c>
      <c r="D185" s="251" t="s">
        <v>16239</v>
      </c>
      <c r="E185" s="251" t="s">
        <v>16240</v>
      </c>
      <c r="F185" s="304" t="s">
        <v>16241</v>
      </c>
      <c r="G185" s="251" t="str">
        <f>HYPERLINK("https://oliveira.pt","oliveira.pt")</f>
        <v>oliveira.pt</v>
      </c>
      <c r="H185" s="251" t="s">
        <v>16242</v>
      </c>
      <c r="I185" s="291" t="str">
        <f>HYPERLINK("https://www.google.com/maps/search/Pereira%20d%27Oliveira%20Madeira%20Portugal/@32.6501,-16.9081,17z","🍇 Pereira d'Oliveira")</f>
        <v>🍇 Pereira d'Oliveira</v>
      </c>
    </row>
    <row r="186" spans="1:9" ht="110" customHeight="1" x14ac:dyDescent="0.35">
      <c r="A186" s="356">
        <v>10</v>
      </c>
      <c r="B186" s="254" t="s">
        <v>16243</v>
      </c>
      <c r="C186" s="255" t="s">
        <v>524</v>
      </c>
      <c r="D186" s="254" t="s">
        <v>16244</v>
      </c>
      <c r="E186" s="254" t="s">
        <v>16245</v>
      </c>
      <c r="F186" s="305" t="s">
        <v>16246</v>
      </c>
      <c r="G186" s="254" t="str">
        <f>HYPERLINK("https://quintadavigia.pt","quintadavigia.pt")</f>
        <v>quintadavigia.pt</v>
      </c>
      <c r="H186" s="254" t="s">
        <v>16247</v>
      </c>
      <c r="I186" s="366" t="str">
        <f>HYPERLINK("https://www.google.com/maps/search/Quinta%20da%20Vigia%20Madeira%20Portugal/@32.6512,-16.9001,17z","🍇 Quinta da Vigia")</f>
        <v>🍇 Quinta da Vigia</v>
      </c>
    </row>
    <row r="187" spans="1:9" ht="110" customHeight="1" x14ac:dyDescent="0.35">
      <c r="A187" s="350">
        <v>11</v>
      </c>
      <c r="B187" s="251" t="s">
        <v>16248</v>
      </c>
      <c r="C187" s="252" t="s">
        <v>524</v>
      </c>
      <c r="D187" s="251" t="s">
        <v>2234</v>
      </c>
      <c r="E187" s="251" t="s">
        <v>16249</v>
      </c>
      <c r="F187" s="304" t="s">
        <v>16250</v>
      </c>
      <c r="G187" s="251" t="str">
        <f>HYPERLINK("https://quinatavalepires.pt","quinatavalepires.pt")</f>
        <v>quinatavalepires.pt</v>
      </c>
      <c r="H187" s="251" t="s">
        <v>16251</v>
      </c>
      <c r="I187" s="291" t="str">
        <f>HYPERLINK("https://www.google.com/maps/search/Quinta%20Vale%20Pires%20%28Agricultura%20Biol%C3%B3gica%29%20Madeira%20Portugal/@32.7101,-17.0201,17z","🍇 Quinta Vale Pires (Agricult…")</f>
        <v>🍇 Quinta Vale Pires (Agricult…</v>
      </c>
    </row>
    <row r="188" spans="1:9" ht="110" customHeight="1" x14ac:dyDescent="0.35">
      <c r="A188" s="356">
        <v>12</v>
      </c>
      <c r="B188" s="254" t="s">
        <v>16252</v>
      </c>
      <c r="C188" s="255" t="s">
        <v>524</v>
      </c>
      <c r="D188" s="254" t="s">
        <v>16253</v>
      </c>
      <c r="E188" s="254" t="s">
        <v>16254</v>
      </c>
      <c r="F188" s="305" t="s">
        <v>16255</v>
      </c>
      <c r="G188" s="254" t="str">
        <f>HYPERLINK("https://ecm.pt","ecm.pt")</f>
        <v>ecm.pt</v>
      </c>
      <c r="H188" s="254" t="s">
        <v>16256</v>
      </c>
      <c r="I188" s="366" t="str">
        <f>HYPERLINK("https://www.google.com/maps/search/Empresa%20de%20Cervejas%20da%20Madeira%20Portugal/@32.6601,-16.9101,17z","🍇 Empresa de Cervejas da Made…")</f>
        <v>🍇 Empresa de Cervejas da Made…</v>
      </c>
    </row>
    <row r="189" spans="1:9" ht="110" customHeight="1" x14ac:dyDescent="0.35">
      <c r="A189" s="350">
        <v>13</v>
      </c>
      <c r="B189" s="251" t="s">
        <v>16257</v>
      </c>
      <c r="C189" s="252" t="s">
        <v>524</v>
      </c>
      <c r="D189" s="251" t="s">
        <v>16258</v>
      </c>
      <c r="E189" s="251" t="s">
        <v>16259</v>
      </c>
      <c r="F189" s="304" t="s">
        <v>16260</v>
      </c>
      <c r="G189" s="251" t="str">
        <f>HYPERLINK("https://agrosma.pt","agrosma.pt")</f>
        <v>agrosma.pt</v>
      </c>
      <c r="H189" s="251" t="s">
        <v>16261</v>
      </c>
      <c r="I189" s="291" t="str">
        <f>HYPERLINK("https://www.google.com/maps/search/Associa%C3%A7%C3%A3o%20Agr%C3%ADcola%20de%20S%C3%A3o%20Miguel%20%28Madeira%29%20Portugal/@32.6601,-17.0701,17z","🍇 Associação Agrícola de São …")</f>
        <v>🍇 Associação Agrícola de São …</v>
      </c>
    </row>
    <row r="190" spans="1:9" ht="110" customHeight="1" x14ac:dyDescent="0.35">
      <c r="A190" s="356">
        <v>14</v>
      </c>
      <c r="B190" s="254" t="s">
        <v>16262</v>
      </c>
      <c r="C190" s="255" t="s">
        <v>524</v>
      </c>
      <c r="D190" s="254" t="s">
        <v>16263</v>
      </c>
      <c r="E190" s="254" t="s">
        <v>16264</v>
      </c>
      <c r="F190" s="305" t="s">
        <v>16265</v>
      </c>
      <c r="G190" s="254" t="str">
        <f>HYPERLINK("https://quintadobarbusano.pt","quintadobarbusano.pt")</f>
        <v>quintadobarbusano.pt</v>
      </c>
      <c r="H190" s="254" t="s">
        <v>16266</v>
      </c>
      <c r="I190" s="366" t="str">
        <f>HYPERLINK("https://www.google.com/maps/search/Quinta%20do%20Barbusano%20Madeira%20Portugal/@32.7821,-16.8501,17z","🍇 Quinta do Barbusano")</f>
        <v>🍇 Quinta do Barbusano</v>
      </c>
    </row>
    <row r="191" spans="1:9" ht="110" customHeight="1" x14ac:dyDescent="0.35">
      <c r="A191" s="350">
        <v>15</v>
      </c>
      <c r="B191" s="251" t="s">
        <v>16267</v>
      </c>
      <c r="C191" s="252" t="s">
        <v>524</v>
      </c>
      <c r="D191" s="251" t="s">
        <v>16268</v>
      </c>
      <c r="E191" s="251" t="s">
        <v>16269</v>
      </c>
      <c r="F191" s="304" t="s">
        <v>16270</v>
      </c>
      <c r="G191" s="251" t="str">
        <f>HYPERLINK("https://palheiroestate.com","palheiroestate.com")</f>
        <v>palheiroestate.com</v>
      </c>
      <c r="H191" s="251" t="s">
        <v>16271</v>
      </c>
      <c r="I191" s="291" t="str">
        <f>HYPERLINK("https://www.google.com/maps/search/Casa%20de%20Ch%C3%A1%20da%20Quinta%20do%20Palheiro%20Madeira%20Portugal/@32.6701,-16.8501,17z","🍇 Casa de Chá da Quinta do Pa…")</f>
        <v>🍇 Casa de Chá da Quinta do Pa…</v>
      </c>
    </row>
    <row r="192" spans="1:9" ht="110" customHeight="1" x14ac:dyDescent="0.35">
      <c r="A192" s="356">
        <v>16</v>
      </c>
      <c r="B192" s="254" t="s">
        <v>16272</v>
      </c>
      <c r="C192" s="255" t="s">
        <v>524</v>
      </c>
      <c r="D192" s="254" t="s">
        <v>16273</v>
      </c>
      <c r="E192" s="254" t="s">
        <v>16274</v>
      </c>
      <c r="F192" s="305" t="s">
        <v>16275</v>
      </c>
      <c r="G192" s="254" t="str">
        <f>HYPERLINK("https://cm-funchal.pt","cm-funchal.pt")</f>
        <v>cm-funchal.pt</v>
      </c>
      <c r="H192" s="254" t="s">
        <v>16276</v>
      </c>
      <c r="I192" s="366" t="str">
        <f>HYPERLINK("https://www.google.com/maps/search/Mercado%20dos%20Lavradores%20%28Funchal%29%20Madeira%20Portugal/@32.6501,-16.9001,17z","🍇 Mercado dos Lavradores (Fun…")</f>
        <v>🍇 Mercado dos Lavradores (Fun…</v>
      </c>
    </row>
    <row r="193" spans="1:9" ht="110" customHeight="1" x14ac:dyDescent="0.35">
      <c r="A193" s="350">
        <v>17</v>
      </c>
      <c r="B193" s="251" t="s">
        <v>16277</v>
      </c>
      <c r="C193" s="252" t="s">
        <v>524</v>
      </c>
      <c r="D193" s="251" t="s">
        <v>16278</v>
      </c>
      <c r="E193" s="251" t="s">
        <v>16279</v>
      </c>
      <c r="F193" s="304" t="s">
        <v>16280</v>
      </c>
      <c r="G193" s="251" t="str">
        <f>HYPERLINK("https://quintadasvinhas.pt","quintadasvinhas.pt")</f>
        <v>quintadasvinhas.pt</v>
      </c>
      <c r="H193" s="251" t="s">
        <v>16281</v>
      </c>
      <c r="I193" s="291" t="str">
        <f>HYPERLINK("https://www.google.com/maps/search/Quinta%20das%20Vinhas%20%28Porto%20Moniz%29%20Madeira%20Portugal/@32.8601,-17.1701,17z","🍇 Quinta das Vinhas (Porto Mo…")</f>
        <v>🍇 Quinta das Vinhas (Porto Mo…</v>
      </c>
    </row>
    <row r="194" spans="1:9" ht="110" customHeight="1" x14ac:dyDescent="0.35">
      <c r="A194" s="356">
        <v>18</v>
      </c>
      <c r="B194" s="254" t="s">
        <v>16282</v>
      </c>
      <c r="C194" s="255" t="s">
        <v>524</v>
      </c>
      <c r="D194" s="254" t="s">
        <v>2228</v>
      </c>
      <c r="E194" s="254" t="s">
        <v>16283</v>
      </c>
      <c r="F194" s="305" t="s">
        <v>16284</v>
      </c>
      <c r="G194" s="254" t="str">
        <f>HYPERLINK("https://adegatorreao.pt","adegatorreao.pt")</f>
        <v>adegatorreao.pt</v>
      </c>
      <c r="H194" s="254" t="s">
        <v>16285</v>
      </c>
      <c r="I194" s="366" t="str">
        <f>HYPERLINK("https://www.google.com/maps/search/Adegas%20do%20Torre%C3%A3o%20%28C%C3%A2mara%20de%20Lobos%29%20Madeira%20Portugal/@32.6421,-16.9801,17z","🍇 Adegas do Torreão (Câmara d…")</f>
        <v>🍇 Adegas do Torreão (Câmara d…</v>
      </c>
    </row>
    <row r="195" spans="1:9" ht="110" customHeight="1" x14ac:dyDescent="0.35">
      <c r="A195" s="350">
        <v>19</v>
      </c>
      <c r="B195" s="251" t="s">
        <v>16286</v>
      </c>
      <c r="C195" s="252" t="s">
        <v>524</v>
      </c>
      <c r="D195" s="251" t="s">
        <v>2234</v>
      </c>
      <c r="E195" s="251" t="s">
        <v>16287</v>
      </c>
      <c r="F195" s="304" t="s">
        <v>16288</v>
      </c>
      <c r="G195" s="251" t="str">
        <f>HYPERLINK("https://chaodoslouros.pt","chaodoslouros.pt")</f>
        <v>chaodoslouros.pt</v>
      </c>
      <c r="H195" s="251" t="s">
        <v>16289</v>
      </c>
      <c r="I195" s="291" t="str">
        <f>HYPERLINK("https://www.google.com/maps/search/Ch%C3%A3o%20dos%20Louros%20%28Floresta%20Laurissilva%29%20Madeira%20Portugal/@32.7701,-17.0501,17z","🍇 Chão dos Louros (Floresta L…")</f>
        <v>🍇 Chão dos Louros (Floresta L…</v>
      </c>
    </row>
    <row r="196" spans="1:9" ht="110" customHeight="1" x14ac:dyDescent="0.35">
      <c r="A196" s="356">
        <v>20</v>
      </c>
      <c r="B196" s="254" t="s">
        <v>16290</v>
      </c>
      <c r="C196" s="255" t="s">
        <v>524</v>
      </c>
      <c r="D196" s="254" t="s">
        <v>1750</v>
      </c>
      <c r="E196" s="254" t="s">
        <v>16291</v>
      </c>
      <c r="F196" s="305" t="s">
        <v>16292</v>
      </c>
      <c r="G196" s="254" t="str">
        <f>HYPERLINK("https://quintadaserra.pt","quintadaserra.pt")</f>
        <v>quintadaserra.pt</v>
      </c>
      <c r="H196" s="254" t="s">
        <v>16293</v>
      </c>
      <c r="I196" s="366" t="str">
        <f>HYPERLINK("https://www.google.com/maps/search/Quinta%20da%20Serra%20%28Monte%20Olivete%29%20Madeira%20Portugal/@32.7001,-16.9101,17z","🍇 Quinta da Serra (Monte Oliv…")</f>
        <v>🍇 Quinta da Serra (Monte Oliv…</v>
      </c>
    </row>
    <row r="197" spans="1:9" ht="110" customHeight="1" x14ac:dyDescent="0.35">
      <c r="A197" s="350">
        <v>21</v>
      </c>
      <c r="B197" s="251" t="s">
        <v>16294</v>
      </c>
      <c r="C197" s="252" t="s">
        <v>524</v>
      </c>
      <c r="D197" s="251" t="s">
        <v>2219</v>
      </c>
      <c r="E197" s="251" t="s">
        <v>16295</v>
      </c>
      <c r="F197" s="304" t="s">
        <v>16296</v>
      </c>
      <c r="G197" s="251" t="str">
        <f>HYPERLINK("https://coagri.pt","coagri.pt")</f>
        <v>coagri.pt</v>
      </c>
      <c r="H197" s="251" t="s">
        <v>16297</v>
      </c>
      <c r="I197" s="291" t="str">
        <f>HYPERLINK("https://www.google.com/maps/search/Cooperativa%20dos%20Agricultores%20da%20Madeira%20Portugal/@32.6601,-16.9201,17z","🍇 Cooperativa dos Agricultore…")</f>
        <v>🍇 Cooperativa dos Agricultore…</v>
      </c>
    </row>
    <row r="198" spans="1:9" ht="110" customHeight="1" x14ac:dyDescent="0.35">
      <c r="A198" s="356">
        <v>22</v>
      </c>
      <c r="B198" s="254" t="s">
        <v>16298</v>
      </c>
      <c r="C198" s="255" t="s">
        <v>524</v>
      </c>
      <c r="D198" s="254" t="s">
        <v>16299</v>
      </c>
      <c r="E198" s="254" t="s">
        <v>16300</v>
      </c>
      <c r="F198" s="305" t="s">
        <v>16301</v>
      </c>
      <c r="G198" s="254" t="str">
        <f>HYPERLINK("https://quintadolem.pt","quintadolem.pt")</f>
        <v>quintadolem.pt</v>
      </c>
      <c r="H198" s="254" t="s">
        <v>16302</v>
      </c>
      <c r="I198" s="366" t="str">
        <f>HYPERLINK("https://www.google.com/maps/search/Quinta%20do%20Lem%20%28Cani%C3%A7o%29%20Madeira%20Portugal/@32.6401,-16.8401,17z","🍇 Quinta do Lem (Caniço)")</f>
        <v>🍇 Quinta do Lem (Caniço)</v>
      </c>
    </row>
    <row r="199" spans="1:9" ht="110" customHeight="1" x14ac:dyDescent="0.35">
      <c r="A199" s="350">
        <v>23</v>
      </c>
      <c r="B199" s="251" t="s">
        <v>16303</v>
      </c>
      <c r="C199" s="252" t="s">
        <v>524</v>
      </c>
      <c r="D199" s="251" t="s">
        <v>16304</v>
      </c>
      <c r="E199" s="251" t="s">
        <v>16305</v>
      </c>
      <c r="F199" s="304" t="s">
        <v>16306</v>
      </c>
      <c r="G199" s="251" t="str">
        <f>HYPERLINK("https://ranchomadeirense.pt","ranchomadeirense.pt")</f>
        <v>ranchomadeirense.pt</v>
      </c>
      <c r="H199" s="251" t="s">
        <v>16307</v>
      </c>
      <c r="I199" s="291" t="str">
        <f>HYPERLINK("https://www.google.com/maps/search/Rancho%20Madeirense%20%28Turismo%20Rural%29%20Madeira%20Portugal/@32.7301,-16.8901,17z","🍇 Rancho Madeirense (Turismo …")</f>
        <v>🍇 Rancho Madeirense (Turismo …</v>
      </c>
    </row>
    <row r="200" spans="1:9" ht="110" customHeight="1" x14ac:dyDescent="0.35">
      <c r="A200" s="356">
        <v>24</v>
      </c>
      <c r="B200" s="254" t="s">
        <v>16308</v>
      </c>
      <c r="C200" s="255" t="s">
        <v>524</v>
      </c>
      <c r="D200" s="254" t="s">
        <v>16309</v>
      </c>
      <c r="E200" s="254" t="s">
        <v>16310</v>
      </c>
      <c r="F200" s="305" t="s">
        <v>16311</v>
      </c>
      <c r="G200" s="254" t="str">
        <f>HYPERLINK("https://museudovinho.pt","museudovinho.pt")</f>
        <v>museudovinho.pt</v>
      </c>
      <c r="H200" s="254" t="s">
        <v>16312</v>
      </c>
      <c r="I200" s="366" t="str">
        <f>HYPERLINK("https://www.google.com/maps/search/Museu%20do%20Vinho%20da%20Madeira%20%28Funchal%29%20Portugal/@32.6501,-16.9081,17z","🍇 Museu do Vinho da Madeira (…")</f>
        <v>🍇 Museu do Vinho da Madeira (…</v>
      </c>
    </row>
    <row r="201" spans="1:9" ht="110" customHeight="1" x14ac:dyDescent="0.35">
      <c r="A201" s="350">
        <v>25</v>
      </c>
      <c r="B201" s="251" t="s">
        <v>16313</v>
      </c>
      <c r="C201" s="252" t="s">
        <v>524</v>
      </c>
      <c r="D201" s="251" t="s">
        <v>9434</v>
      </c>
      <c r="E201" s="251" t="s">
        <v>16314</v>
      </c>
      <c r="F201" s="304" t="s">
        <v>16315</v>
      </c>
      <c r="G201" s="251" t="str">
        <f>HYPERLINK("https://picovermelho.pt","picovermelho.pt")</f>
        <v>picovermelho.pt</v>
      </c>
      <c r="H201" s="251" t="s">
        <v>16316</v>
      </c>
      <c r="I201" s="291" t="str">
        <f>HYPERLINK("https://www.google.com/maps/search/Quinta%20do%20Pico%20Vermelho%20%28Estufa%29%20Madeira%20Portugal/@32.6801,-17.0601,17z","🍇 Quinta do Pico Vermelho (Es…")</f>
        <v>🍇 Quinta do Pico Vermelho (Es…</v>
      </c>
    </row>
    <row r="202" spans="1:9" ht="110" customHeight="1" x14ac:dyDescent="0.35">
      <c r="A202" s="356">
        <v>26</v>
      </c>
      <c r="B202" s="254" t="s">
        <v>16317</v>
      </c>
      <c r="C202" s="255" t="s">
        <v>524</v>
      </c>
      <c r="D202" s="254" t="s">
        <v>3598</v>
      </c>
      <c r="E202" s="254" t="s">
        <v>16318</v>
      </c>
      <c r="F202" s="305" t="s">
        <v>16319</v>
      </c>
      <c r="G202" s="254" t="str">
        <f>HYPERLINK("https://hortadossabores.pt","hortadossabores.pt")</f>
        <v>hortadossabores.pt</v>
      </c>
      <c r="H202" s="254" t="s">
        <v>16320</v>
      </c>
      <c r="I202" s="366" t="str">
        <f>HYPERLINK("https://www.google.com/maps/search/Horta%20dos%20Sabores%20%28Funchal%29%20Madeira%20Portugal/@32.6501,-16.9101,17z","🍇 Horta dos Sabores (Funchal)")</f>
        <v>🍇 Horta dos Sabores (Funchal)</v>
      </c>
    </row>
    <row r="203" spans="1:9" ht="110" customHeight="1" x14ac:dyDescent="0.35">
      <c r="A203" s="350">
        <v>27</v>
      </c>
      <c r="B203" s="251" t="s">
        <v>16321</v>
      </c>
      <c r="C203" s="252" t="s">
        <v>524</v>
      </c>
      <c r="D203" s="251" t="s">
        <v>16322</v>
      </c>
      <c r="E203" s="251" t="s">
        <v>16323</v>
      </c>
      <c r="F203" s="304" t="s">
        <v>16324</v>
      </c>
      <c r="G203" s="251" t="str">
        <f>HYPERLINK("https://pontinha-destilaria.pt","pontinha-destilaria.pt")</f>
        <v>pontinha-destilaria.pt</v>
      </c>
      <c r="H203" s="251" t="s">
        <v>16325</v>
      </c>
      <c r="I203" s="291" t="str">
        <f>HYPERLINK("https://www.google.com/maps/search/Destilaria%20da%20Pontinha%20%28Poncha%29%20Madeira%20Portugal/@32.6501,-16.9181,17z","🍇 Destilaria da Pontinha (Pon…")</f>
        <v>🍇 Destilaria da Pontinha (Pon…</v>
      </c>
    </row>
    <row r="204" spans="1:9" ht="110" customHeight="1" x14ac:dyDescent="0.35">
      <c r="A204" s="356">
        <v>28</v>
      </c>
      <c r="B204" s="254" t="s">
        <v>16326</v>
      </c>
      <c r="C204" s="255" t="s">
        <v>524</v>
      </c>
      <c r="D204" s="254" t="s">
        <v>7530</v>
      </c>
      <c r="E204" s="254" t="s">
        <v>16327</v>
      </c>
      <c r="F204" s="305" t="s">
        <v>16328</v>
      </c>
      <c r="G204" s="254" t="str">
        <f>HYPERLINK("https://casaldesperanca.pt","casaldesperanca.pt")</f>
        <v>casaldesperanca.pt</v>
      </c>
      <c r="H204" s="254" t="s">
        <v>16329</v>
      </c>
      <c r="I204" s="366" t="str">
        <f>HYPERLINK("https://www.google.com/maps/search/Casal%20da%20Esperan%C3%A7a%20%28Porto%20Santo%29%20Madeira%20Portugal/@33.0601,-16.3401,17z","🍇 Casal da Esperança (Porto S…")</f>
        <v>🍇 Casal da Esperança (Porto S…</v>
      </c>
    </row>
    <row r="205" spans="1:9" ht="110" customHeight="1" x14ac:dyDescent="0.35">
      <c r="A205" s="350">
        <v>29</v>
      </c>
      <c r="B205" s="251" t="s">
        <v>16330</v>
      </c>
      <c r="C205" s="252" t="s">
        <v>524</v>
      </c>
      <c r="D205" s="251" t="s">
        <v>16331</v>
      </c>
      <c r="E205" s="251" t="s">
        <v>16332</v>
      </c>
      <c r="F205" s="304" t="s">
        <v>16333</v>
      </c>
      <c r="G205" s="251" t="str">
        <f>HYPERLINK("https://quintadospinheiros.pt","quintadospinheiros.pt")</f>
        <v>quintadospinheiros.pt</v>
      </c>
      <c r="H205" s="251" t="s">
        <v>16334</v>
      </c>
      <c r="I205" s="291" t="str">
        <f>HYPERLINK("https://www.google.com/maps/search/Quinta%20dos%20Pinheiros%20%28Calheta%29%20Madeira%20Portugal/@32.7201,-17.1701,17z","🍇 Quinta dos Pinheiros (Calhe…")</f>
        <v>🍇 Quinta dos Pinheiros (Calhe…</v>
      </c>
    </row>
    <row r="206" spans="1:9" ht="110" customHeight="1" x14ac:dyDescent="0.35">
      <c r="A206" s="356">
        <v>30</v>
      </c>
      <c r="B206" s="254" t="s">
        <v>16335</v>
      </c>
      <c r="C206" s="255" t="s">
        <v>524</v>
      </c>
      <c r="D206" s="254" t="s">
        <v>2234</v>
      </c>
      <c r="E206" s="254" t="s">
        <v>16336</v>
      </c>
      <c r="F206" s="305" t="s">
        <v>16337</v>
      </c>
      <c r="G206" s="254" t="str">
        <f>HYPERLINK("https://biomadeira.pt","biomadeira.pt")</f>
        <v>biomadeira.pt</v>
      </c>
      <c r="H206" s="254" t="s">
        <v>16338</v>
      </c>
      <c r="I206" s="366" t="str">
        <f>HYPERLINK("https://www.google.com/maps/search/Bio-Madeira%20%28Cooperativa%20Biol%C3%B3gica%29%20Portugal/@32.7001,-17.0401,17z","🍇 Bio-Madeira (Cooperativa Bi…")</f>
        <v>🍇 Bio-Madeira (Cooperativa Bi…</v>
      </c>
    </row>
    <row r="208" spans="1:9" x14ac:dyDescent="0.35">
      <c r="A208" s="1353" t="s">
        <v>19694</v>
      </c>
      <c r="B208" s="1354"/>
      <c r="C208" s="1354"/>
      <c r="D208" s="1354"/>
      <c r="E208" s="1354"/>
      <c r="F208" s="1354"/>
      <c r="G208" s="1354"/>
      <c r="H208" s="1354"/>
      <c r="I208" s="1354"/>
    </row>
  </sheetData>
  <mergeCells count="9">
    <mergeCell ref="A208:I208"/>
    <mergeCell ref="A145:I145"/>
    <mergeCell ref="A2:I2"/>
    <mergeCell ref="A81:I81"/>
    <mergeCell ref="A1:I1"/>
    <mergeCell ref="A176:I176"/>
    <mergeCell ref="A114:I114"/>
    <mergeCell ref="A47:I47"/>
    <mergeCell ref="A4:I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50</vt:i4>
      </vt:variant>
    </vt:vector>
  </HeadingPairs>
  <TitlesOfParts>
    <vt:vector size="50" baseType="lpstr">
      <vt:lpstr>🔧 MongoDB Schema</vt:lpstr>
      <vt:lpstr>🔧 Ingestão Config</vt:lpstr>
      <vt:lpstr>📊 Dashboard</vt:lpstr>
      <vt:lpstr>Categorias</vt:lpstr>
      <vt:lpstr>Base de Dados POI</vt:lpstr>
      <vt:lpstr>🗺 Guia do Viajante</vt:lpstr>
      <vt:lpstr>🚌 Transportes</vt:lpstr>
      <vt:lpstr>Música Tradicional</vt:lpstr>
      <vt:lpstr>Sopas Típicas</vt:lpstr>
      <vt:lpstr>Barragens e Albufeiras</vt:lpstr>
      <vt:lpstr>Pratos Típicos</vt:lpstr>
      <vt:lpstr>Doçaria Regional</vt:lpstr>
      <vt:lpstr>Festivais de Música</vt:lpstr>
      <vt:lpstr>Festas e Romarias</vt:lpstr>
      <vt:lpstr>Percursos Pedestres</vt:lpstr>
      <vt:lpstr>Ofícios e Artesanato</vt:lpstr>
      <vt:lpstr>Mercados e Feiras</vt:lpstr>
      <vt:lpstr>Tabernas Históricas</vt:lpstr>
      <vt:lpstr>Museus</vt:lpstr>
      <vt:lpstr>Fauna Autóctone</vt:lpstr>
      <vt:lpstr>Flora Autóctone</vt:lpstr>
      <vt:lpstr>Aventura e Natureza</vt:lpstr>
      <vt:lpstr>Natureza Especializada</vt:lpstr>
      <vt:lpstr>Flora Botânica</vt:lpstr>
      <vt:lpstr>Castelos</vt:lpstr>
      <vt:lpstr>Palácios e Solares</vt:lpstr>
      <vt:lpstr>Surf</vt:lpstr>
      <vt:lpstr>Praias Fluviais</vt:lpstr>
      <vt:lpstr>Produtores DOP e Locais</vt:lpstr>
      <vt:lpstr>Restaurantes e Gastronomia</vt:lpstr>
      <vt:lpstr>Parques de Campismo</vt:lpstr>
      <vt:lpstr>Pousadas de Juventude</vt:lpstr>
      <vt:lpstr>Rotas Temáticas</vt:lpstr>
      <vt:lpstr>Grande Expedição 2026</vt:lpstr>
      <vt:lpstr>Biodiversidade | Avistamentos</vt:lpstr>
      <vt:lpstr>Miradouros Portugal</vt:lpstr>
      <vt:lpstr>Património Ferroviário</vt:lpstr>
      <vt:lpstr>Arte Urbana e Intervenção</vt:lpstr>
      <vt:lpstr>Cascatas e Poços Naturais</vt:lpstr>
      <vt:lpstr>Termas e Banhos</vt:lpstr>
      <vt:lpstr>Pérolas de Portugal</vt:lpstr>
      <vt:lpstr>Moinhos e Azenhas</vt:lpstr>
      <vt:lpstr>Arqueologia, Geologia e Mineral</vt:lpstr>
      <vt:lpstr>Ecovias e Passadiços</vt:lpstr>
      <vt:lpstr>Praias Bandeira Azul</vt:lpstr>
      <vt:lpstr>Faróis</vt:lpstr>
      <vt:lpstr>Alojamentos Rurais</vt:lpstr>
      <vt:lpstr>Entidades e Operadores</vt:lpstr>
      <vt:lpstr>Agentes Turísticos</vt:lpstr>
      <vt:lpstr>Agroturismo e Enoturismo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Beato</cp:lastModifiedBy>
  <dcterms:created xsi:type="dcterms:W3CDTF">2026-02-21T11:23:13Z</dcterms:created>
  <dcterms:modified xsi:type="dcterms:W3CDTF">2026-03-22T00:38:52Z</dcterms:modified>
</cp:coreProperties>
</file>